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radingmentor-my.sharepoint.com/personal/colin_aats_au/Documents/AATS M15 FX SYSTEM RESULTS/"/>
    </mc:Choice>
  </mc:AlternateContent>
  <xr:revisionPtr revIDLastSave="0" documentId="8_{66B8B516-F553-4B5A-A391-BEFF51B82B88}" xr6:coauthVersionLast="47" xr6:coauthVersionMax="47" xr10:uidLastSave="{00000000-0000-0000-0000-000000000000}"/>
  <bookViews>
    <workbookView xWindow="-120" yWindow="-120" windowWidth="29040" windowHeight="15840" tabRatio="862" activeTab="4" xr2:uid="{00000000-000D-0000-FFFF-FFFF00000000}"/>
  </bookViews>
  <sheets>
    <sheet name="Master" sheetId="34" r:id="rId1"/>
    <sheet name="Profit Summary" sheetId="6" r:id="rId2"/>
    <sheet name="Reference Table" sheetId="11" r:id="rId3"/>
    <sheet name="Template" sheetId="41" state="hidden" r:id="rId4"/>
    <sheet name="EURUSD" sheetId="42" r:id="rId5"/>
    <sheet name="GBPJPY" sheetId="43" r:id="rId6"/>
    <sheet name="USDJPY" sheetId="44" r:id="rId7"/>
    <sheet name="XAUUSD" sheetId="45" r:id="rId8"/>
    <sheet name="GER30" sheetId="46" r:id="rId9"/>
    <sheet name="NDX100" sheetId="47" r:id="rId10"/>
    <sheet name="SPX500" sheetId="48" r:id="rId11"/>
  </sheets>
  <definedNames>
    <definedName name="_xlnm.Print_Area" localSheetId="4">EURUSD!$A$1:$AH$21</definedName>
    <definedName name="_xlnm.Print_Area" localSheetId="5">GBPJPY!$A$1:$AH$22</definedName>
    <definedName name="_xlnm.Print_Area" localSheetId="8">'GER30'!$A$1:$AH$25</definedName>
    <definedName name="_xlnm.Print_Area" localSheetId="0">Master!$A$1:$AH$17</definedName>
    <definedName name="_xlnm.Print_Area" localSheetId="9">'NDX100'!$A$1:$AH$21</definedName>
    <definedName name="_xlnm.Print_Area" localSheetId="10">'SPX500'!$A$1:$AH$23</definedName>
    <definedName name="_xlnm.Print_Area" localSheetId="3">Template!$A$1:$AH$17</definedName>
    <definedName name="_xlnm.Print_Area" localSheetId="6">USDJPY!$A$1:$AH$18</definedName>
    <definedName name="_xlnm.Print_Area" localSheetId="7">XAUUSD!$A$1:$AH$18</definedName>
  </definedNames>
  <calcPr calcId="191029" concurrentCalc="0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34" l="1"/>
  <c r="D30" i="34"/>
  <c r="D33" i="34"/>
  <c r="D36" i="34"/>
  <c r="D39" i="34"/>
  <c r="D40" i="34"/>
  <c r="D50" i="34"/>
  <c r="D55" i="34"/>
  <c r="D57" i="34"/>
  <c r="D59" i="34"/>
  <c r="D67" i="34"/>
  <c r="D69" i="34"/>
  <c r="D72" i="34"/>
  <c r="D81" i="34"/>
  <c r="D85" i="34"/>
  <c r="D89" i="34"/>
  <c r="D93" i="34"/>
  <c r="D100" i="34"/>
  <c r="D104" i="34"/>
  <c r="D109" i="34"/>
  <c r="D114" i="34"/>
  <c r="D118" i="34"/>
  <c r="D127" i="34"/>
  <c r="D132" i="34"/>
  <c r="D133" i="34"/>
  <c r="D135" i="34"/>
  <c r="D140" i="34"/>
  <c r="D141" i="34"/>
  <c r="D147" i="34"/>
  <c r="D150" i="34"/>
  <c r="D154" i="34"/>
  <c r="D160" i="34"/>
  <c r="D163" i="34"/>
  <c r="D166" i="34"/>
  <c r="D172" i="34"/>
  <c r="D178" i="34"/>
  <c r="D185" i="34"/>
  <c r="D191" i="34"/>
  <c r="D198" i="34"/>
  <c r="D202" i="34"/>
  <c r="D204" i="34"/>
  <c r="D209" i="34"/>
  <c r="D211" i="34"/>
  <c r="D215" i="34"/>
  <c r="D223" i="34"/>
  <c r="D232" i="34"/>
  <c r="D240" i="34"/>
  <c r="D241" i="34"/>
  <c r="D247" i="34"/>
  <c r="D250" i="34"/>
  <c r="D252" i="34"/>
  <c r="D262" i="34"/>
  <c r="D275" i="34"/>
  <c r="D280" i="34"/>
  <c r="D284" i="34"/>
  <c r="D287" i="34"/>
  <c r="D291" i="34"/>
  <c r="D297" i="34"/>
  <c r="D300" i="34"/>
  <c r="D304" i="34"/>
  <c r="D307" i="34"/>
  <c r="D316" i="34"/>
  <c r="D317" i="34"/>
  <c r="D325" i="34"/>
  <c r="D328" i="34"/>
  <c r="D338" i="34"/>
  <c r="D343" i="34"/>
  <c r="D344" i="34"/>
  <c r="D348" i="34"/>
  <c r="D352" i="34"/>
  <c r="D358" i="34"/>
  <c r="D362" i="34"/>
  <c r="D372" i="34"/>
  <c r="D375" i="34"/>
  <c r="D378" i="34"/>
  <c r="D387" i="34"/>
  <c r="D392" i="34"/>
  <c r="D396" i="34"/>
  <c r="D400" i="34"/>
  <c r="D405" i="34"/>
  <c r="D411" i="34"/>
  <c r="D413" i="34"/>
  <c r="D419" i="34"/>
  <c r="D422" i="34"/>
  <c r="D427" i="34"/>
  <c r="D436" i="34"/>
  <c r="D447" i="34"/>
  <c r="D459" i="34"/>
  <c r="D463" i="34"/>
  <c r="D466" i="34"/>
  <c r="D474" i="34"/>
  <c r="D486" i="34"/>
  <c r="D494" i="34"/>
  <c r="D499" i="34"/>
  <c r="D502" i="34"/>
  <c r="D512" i="34"/>
  <c r="D516" i="34"/>
  <c r="D517" i="34"/>
  <c r="D521" i="34"/>
  <c r="D523" i="34"/>
  <c r="D526" i="34"/>
  <c r="D533" i="34"/>
  <c r="D539" i="34"/>
  <c r="D540" i="34"/>
  <c r="D542" i="34"/>
  <c r="D545" i="34"/>
  <c r="D554" i="34"/>
  <c r="D555" i="34"/>
  <c r="D562" i="34"/>
  <c r="D564" i="34"/>
  <c r="D571" i="34"/>
  <c r="D573" i="34"/>
  <c r="D577" i="34"/>
  <c r="D582" i="34"/>
  <c r="D594" i="34"/>
  <c r="D598" i="34"/>
  <c r="D606" i="34"/>
  <c r="D612" i="34"/>
  <c r="D617" i="34"/>
  <c r="D618" i="34"/>
  <c r="D625" i="34"/>
  <c r="D629" i="34"/>
  <c r="D636" i="34"/>
  <c r="D637" i="34"/>
  <c r="D641" i="34"/>
  <c r="D644" i="34"/>
  <c r="D649" i="34"/>
  <c r="D652" i="34"/>
  <c r="D656" i="34"/>
  <c r="D659" i="34"/>
  <c r="D662" i="34"/>
  <c r="D664" i="34"/>
  <c r="D665" i="34"/>
  <c r="D676" i="34"/>
  <c r="D678" i="34"/>
  <c r="D687" i="34"/>
  <c r="D692" i="34"/>
  <c r="D698" i="34"/>
  <c r="D699" i="34"/>
  <c r="D700" i="34"/>
  <c r="D705" i="34"/>
  <c r="D713" i="34"/>
  <c r="D717" i="34"/>
  <c r="D723" i="34"/>
  <c r="D725" i="34"/>
  <c r="D728" i="34"/>
  <c r="D732" i="34"/>
  <c r="D737" i="34"/>
  <c r="D741" i="34"/>
  <c r="D744" i="34"/>
  <c r="D748" i="34"/>
  <c r="D752" i="34"/>
  <c r="D754" i="34"/>
  <c r="D758" i="34"/>
  <c r="D760" i="34"/>
  <c r="D770" i="34"/>
  <c r="D776" i="34"/>
  <c r="D781" i="34"/>
  <c r="D785" i="34"/>
  <c r="D788" i="34"/>
  <c r="D790" i="34"/>
  <c r="D792" i="34"/>
  <c r="D795" i="34"/>
  <c r="D800" i="34"/>
  <c r="D805" i="34"/>
  <c r="D806" i="34"/>
  <c r="D811" i="34"/>
  <c r="D813" i="34"/>
  <c r="D821" i="34"/>
  <c r="D826" i="34"/>
  <c r="D828" i="34"/>
  <c r="I22" i="34"/>
  <c r="I30" i="34"/>
  <c r="I33" i="34"/>
  <c r="I36" i="34"/>
  <c r="I39" i="34"/>
  <c r="I40" i="34"/>
  <c r="I50" i="34"/>
  <c r="I55" i="34"/>
  <c r="I57" i="34"/>
  <c r="I59" i="34"/>
  <c r="I67" i="34"/>
  <c r="I69" i="34"/>
  <c r="I72" i="34"/>
  <c r="I81" i="34"/>
  <c r="I85" i="34"/>
  <c r="I89" i="34"/>
  <c r="I93" i="34"/>
  <c r="I100" i="34"/>
  <c r="I104" i="34"/>
  <c r="I109" i="34"/>
  <c r="I114" i="34"/>
  <c r="I118" i="34"/>
  <c r="I127" i="34"/>
  <c r="I132" i="34"/>
  <c r="I133" i="34"/>
  <c r="I135" i="34"/>
  <c r="I140" i="34"/>
  <c r="I141" i="34"/>
  <c r="I147" i="34"/>
  <c r="I150" i="34"/>
  <c r="I154" i="34"/>
  <c r="I160" i="34"/>
  <c r="I163" i="34"/>
  <c r="I166" i="34"/>
  <c r="I172" i="34"/>
  <c r="I178" i="34"/>
  <c r="I185" i="34"/>
  <c r="I191" i="34"/>
  <c r="I198" i="34"/>
  <c r="I202" i="34"/>
  <c r="I204" i="34"/>
  <c r="I209" i="34"/>
  <c r="I211" i="34"/>
  <c r="I215" i="34"/>
  <c r="I223" i="34"/>
  <c r="I232" i="34"/>
  <c r="I240" i="34"/>
  <c r="I241" i="34"/>
  <c r="I247" i="34"/>
  <c r="I250" i="34"/>
  <c r="I252" i="34"/>
  <c r="I262" i="34"/>
  <c r="I275" i="34"/>
  <c r="I280" i="34"/>
  <c r="I284" i="34"/>
  <c r="I287" i="34"/>
  <c r="I291" i="34"/>
  <c r="I297" i="34"/>
  <c r="I300" i="34"/>
  <c r="I304" i="34"/>
  <c r="I307" i="34"/>
  <c r="I316" i="34"/>
  <c r="I317" i="34"/>
  <c r="I325" i="34"/>
  <c r="I328" i="34"/>
  <c r="I338" i="34"/>
  <c r="I343" i="34"/>
  <c r="I344" i="34"/>
  <c r="I348" i="34"/>
  <c r="I352" i="34"/>
  <c r="I358" i="34"/>
  <c r="I362" i="34"/>
  <c r="I372" i="34"/>
  <c r="I375" i="34"/>
  <c r="I378" i="34"/>
  <c r="I387" i="34"/>
  <c r="I392" i="34"/>
  <c r="I396" i="34"/>
  <c r="I400" i="34"/>
  <c r="I405" i="34"/>
  <c r="I411" i="34"/>
  <c r="I413" i="34"/>
  <c r="I419" i="34"/>
  <c r="I422" i="34"/>
  <c r="I427" i="34"/>
  <c r="I436" i="34"/>
  <c r="I447" i="34"/>
  <c r="I459" i="34"/>
  <c r="I463" i="34"/>
  <c r="I466" i="34"/>
  <c r="I474" i="34"/>
  <c r="I486" i="34"/>
  <c r="I494" i="34"/>
  <c r="I499" i="34"/>
  <c r="I502" i="34"/>
  <c r="I512" i="34"/>
  <c r="I516" i="34"/>
  <c r="I517" i="34"/>
  <c r="I521" i="34"/>
  <c r="I523" i="34"/>
  <c r="I526" i="34"/>
  <c r="I533" i="34"/>
  <c r="I539" i="34"/>
  <c r="I540" i="34"/>
  <c r="I542" i="34"/>
  <c r="I545" i="34"/>
  <c r="I554" i="34"/>
  <c r="I555" i="34"/>
  <c r="I562" i="34"/>
  <c r="I564" i="34"/>
  <c r="I571" i="34"/>
  <c r="I573" i="34"/>
  <c r="I577" i="34"/>
  <c r="I582" i="34"/>
  <c r="I594" i="34"/>
  <c r="I598" i="34"/>
  <c r="I606" i="34"/>
  <c r="I612" i="34"/>
  <c r="I617" i="34"/>
  <c r="I618" i="34"/>
  <c r="I625" i="34"/>
  <c r="I629" i="34"/>
  <c r="I636" i="34"/>
  <c r="I637" i="34"/>
  <c r="I641" i="34"/>
  <c r="I644" i="34"/>
  <c r="I649" i="34"/>
  <c r="I652" i="34"/>
  <c r="I656" i="34"/>
  <c r="I659" i="34"/>
  <c r="I662" i="34"/>
  <c r="I664" i="34"/>
  <c r="I665" i="34"/>
  <c r="I676" i="34"/>
  <c r="I678" i="34"/>
  <c r="I687" i="34"/>
  <c r="I692" i="34"/>
  <c r="I698" i="34"/>
  <c r="I699" i="34"/>
  <c r="I700" i="34"/>
  <c r="I705" i="34"/>
  <c r="I713" i="34"/>
  <c r="I717" i="34"/>
  <c r="I723" i="34"/>
  <c r="I725" i="34"/>
  <c r="I728" i="34"/>
  <c r="I732" i="34"/>
  <c r="I737" i="34"/>
  <c r="I741" i="34"/>
  <c r="I744" i="34"/>
  <c r="I748" i="34"/>
  <c r="I752" i="34"/>
  <c r="I754" i="34"/>
  <c r="I758" i="34"/>
  <c r="I760" i="34"/>
  <c r="I770" i="34"/>
  <c r="I776" i="34"/>
  <c r="I781" i="34"/>
  <c r="I785" i="34"/>
  <c r="I788" i="34"/>
  <c r="I790" i="34"/>
  <c r="I792" i="34"/>
  <c r="I795" i="34"/>
  <c r="I800" i="34"/>
  <c r="I805" i="34"/>
  <c r="I806" i="34"/>
  <c r="I811" i="34"/>
  <c r="I813" i="34"/>
  <c r="I821" i="34"/>
  <c r="I826" i="34"/>
  <c r="I828" i="34"/>
  <c r="M22" i="34"/>
  <c r="M30" i="34"/>
  <c r="M33" i="34"/>
  <c r="M36" i="34"/>
  <c r="M39" i="34"/>
  <c r="M40" i="34"/>
  <c r="M50" i="34"/>
  <c r="M55" i="34"/>
  <c r="M57" i="34"/>
  <c r="M59" i="34"/>
  <c r="M67" i="34"/>
  <c r="M69" i="34"/>
  <c r="M72" i="34"/>
  <c r="M81" i="34"/>
  <c r="M85" i="34"/>
  <c r="M89" i="34"/>
  <c r="M93" i="34"/>
  <c r="M100" i="34"/>
  <c r="M104" i="34"/>
  <c r="M109" i="34"/>
  <c r="M114" i="34"/>
  <c r="M118" i="34"/>
  <c r="M127" i="34"/>
  <c r="M132" i="34"/>
  <c r="M133" i="34"/>
  <c r="M135" i="34"/>
  <c r="M140" i="34"/>
  <c r="M141" i="34"/>
  <c r="M147" i="34"/>
  <c r="M150" i="34"/>
  <c r="M154" i="34"/>
  <c r="M160" i="34"/>
  <c r="M163" i="34"/>
  <c r="M166" i="34"/>
  <c r="M172" i="34"/>
  <c r="M178" i="34"/>
  <c r="M185" i="34"/>
  <c r="M191" i="34"/>
  <c r="M198" i="34"/>
  <c r="M202" i="34"/>
  <c r="M204" i="34"/>
  <c r="M209" i="34"/>
  <c r="M211" i="34"/>
  <c r="M215" i="34"/>
  <c r="M223" i="34"/>
  <c r="M232" i="34"/>
  <c r="M240" i="34"/>
  <c r="M241" i="34"/>
  <c r="M247" i="34"/>
  <c r="M250" i="34"/>
  <c r="M252" i="34"/>
  <c r="M262" i="34"/>
  <c r="M275" i="34"/>
  <c r="M280" i="34"/>
  <c r="M284" i="34"/>
  <c r="M287" i="34"/>
  <c r="M291" i="34"/>
  <c r="M297" i="34"/>
  <c r="M300" i="34"/>
  <c r="M304" i="34"/>
  <c r="M307" i="34"/>
  <c r="M316" i="34"/>
  <c r="M317" i="34"/>
  <c r="M325" i="34"/>
  <c r="M328" i="34"/>
  <c r="M338" i="34"/>
  <c r="M343" i="34"/>
  <c r="M344" i="34"/>
  <c r="M348" i="34"/>
  <c r="M352" i="34"/>
  <c r="M358" i="34"/>
  <c r="M362" i="34"/>
  <c r="M372" i="34"/>
  <c r="M375" i="34"/>
  <c r="M378" i="34"/>
  <c r="M387" i="34"/>
  <c r="M392" i="34"/>
  <c r="M396" i="34"/>
  <c r="M400" i="34"/>
  <c r="M405" i="34"/>
  <c r="M411" i="34"/>
  <c r="M413" i="34"/>
  <c r="M419" i="34"/>
  <c r="M422" i="34"/>
  <c r="M427" i="34"/>
  <c r="M436" i="34"/>
  <c r="M447" i="34"/>
  <c r="M459" i="34"/>
  <c r="M463" i="34"/>
  <c r="M466" i="34"/>
  <c r="M474" i="34"/>
  <c r="M486" i="34"/>
  <c r="M494" i="34"/>
  <c r="M499" i="34"/>
  <c r="M502" i="34"/>
  <c r="M512" i="34"/>
  <c r="M516" i="34"/>
  <c r="M517" i="34"/>
  <c r="M521" i="34"/>
  <c r="M523" i="34"/>
  <c r="M526" i="34"/>
  <c r="M533" i="34"/>
  <c r="M539" i="34"/>
  <c r="M540" i="34"/>
  <c r="M542" i="34"/>
  <c r="M545" i="34"/>
  <c r="M554" i="34"/>
  <c r="M555" i="34"/>
  <c r="M562" i="34"/>
  <c r="M564" i="34"/>
  <c r="M571" i="34"/>
  <c r="M573" i="34"/>
  <c r="M577" i="34"/>
  <c r="M582" i="34"/>
  <c r="M594" i="34"/>
  <c r="M598" i="34"/>
  <c r="M606" i="34"/>
  <c r="M612" i="34"/>
  <c r="M617" i="34"/>
  <c r="M618" i="34"/>
  <c r="M625" i="34"/>
  <c r="M629" i="34"/>
  <c r="M636" i="34"/>
  <c r="M637" i="34"/>
  <c r="M641" i="34"/>
  <c r="M644" i="34"/>
  <c r="M649" i="34"/>
  <c r="M652" i="34"/>
  <c r="M656" i="34"/>
  <c r="M659" i="34"/>
  <c r="M662" i="34"/>
  <c r="M664" i="34"/>
  <c r="M665" i="34"/>
  <c r="M676" i="34"/>
  <c r="M678" i="34"/>
  <c r="M687" i="34"/>
  <c r="M692" i="34"/>
  <c r="M698" i="34"/>
  <c r="M699" i="34"/>
  <c r="M700" i="34"/>
  <c r="M705" i="34"/>
  <c r="M713" i="34"/>
  <c r="M717" i="34"/>
  <c r="M723" i="34"/>
  <c r="M725" i="34"/>
  <c r="M728" i="34"/>
  <c r="M732" i="34"/>
  <c r="M737" i="34"/>
  <c r="M741" i="34"/>
  <c r="M744" i="34"/>
  <c r="M748" i="34"/>
  <c r="M752" i="34"/>
  <c r="M754" i="34"/>
  <c r="M758" i="34"/>
  <c r="M760" i="34"/>
  <c r="M770" i="34"/>
  <c r="M776" i="34"/>
  <c r="M781" i="34"/>
  <c r="M785" i="34"/>
  <c r="M788" i="34"/>
  <c r="M790" i="34"/>
  <c r="M792" i="34"/>
  <c r="M795" i="34"/>
  <c r="M800" i="34"/>
  <c r="M805" i="34"/>
  <c r="M806" i="34"/>
  <c r="M811" i="34"/>
  <c r="M813" i="34"/>
  <c r="M821" i="34"/>
  <c r="M826" i="34"/>
  <c r="M828" i="34"/>
  <c r="N22" i="34"/>
  <c r="N30" i="34"/>
  <c r="N33" i="34"/>
  <c r="N36" i="34"/>
  <c r="N39" i="34"/>
  <c r="N40" i="34"/>
  <c r="N50" i="34"/>
  <c r="N55" i="34"/>
  <c r="N57" i="34"/>
  <c r="N59" i="34"/>
  <c r="N67" i="34"/>
  <c r="N69" i="34"/>
  <c r="N72" i="34"/>
  <c r="N81" i="34"/>
  <c r="N85" i="34"/>
  <c r="N89" i="34"/>
  <c r="N93" i="34"/>
  <c r="N100" i="34"/>
  <c r="N104" i="34"/>
  <c r="N109" i="34"/>
  <c r="N114" i="34"/>
  <c r="N118" i="34"/>
  <c r="N127" i="34"/>
  <c r="N132" i="34"/>
  <c r="N133" i="34"/>
  <c r="N135" i="34"/>
  <c r="N140" i="34"/>
  <c r="N141" i="34"/>
  <c r="N147" i="34"/>
  <c r="N150" i="34"/>
  <c r="N154" i="34"/>
  <c r="N160" i="34"/>
  <c r="N163" i="34"/>
  <c r="N166" i="34"/>
  <c r="N172" i="34"/>
  <c r="N178" i="34"/>
  <c r="N185" i="34"/>
  <c r="N191" i="34"/>
  <c r="N198" i="34"/>
  <c r="N202" i="34"/>
  <c r="N204" i="34"/>
  <c r="N209" i="34"/>
  <c r="N211" i="34"/>
  <c r="N215" i="34"/>
  <c r="N223" i="34"/>
  <c r="N232" i="34"/>
  <c r="N240" i="34"/>
  <c r="N241" i="34"/>
  <c r="N247" i="34"/>
  <c r="N250" i="34"/>
  <c r="N252" i="34"/>
  <c r="N262" i="34"/>
  <c r="N275" i="34"/>
  <c r="N280" i="34"/>
  <c r="N284" i="34"/>
  <c r="N287" i="34"/>
  <c r="N291" i="34"/>
  <c r="N297" i="34"/>
  <c r="N300" i="34"/>
  <c r="N304" i="34"/>
  <c r="N307" i="34"/>
  <c r="N316" i="34"/>
  <c r="N317" i="34"/>
  <c r="N325" i="34"/>
  <c r="N328" i="34"/>
  <c r="N338" i="34"/>
  <c r="N343" i="34"/>
  <c r="N344" i="34"/>
  <c r="N348" i="34"/>
  <c r="N352" i="34"/>
  <c r="N358" i="34"/>
  <c r="N362" i="34"/>
  <c r="N372" i="34"/>
  <c r="N375" i="34"/>
  <c r="N378" i="34"/>
  <c r="N387" i="34"/>
  <c r="N392" i="34"/>
  <c r="N396" i="34"/>
  <c r="N400" i="34"/>
  <c r="N405" i="34"/>
  <c r="N411" i="34"/>
  <c r="N413" i="34"/>
  <c r="N419" i="34"/>
  <c r="N422" i="34"/>
  <c r="N427" i="34"/>
  <c r="N436" i="34"/>
  <c r="N447" i="34"/>
  <c r="N459" i="34"/>
  <c r="N463" i="34"/>
  <c r="N466" i="34"/>
  <c r="N474" i="34"/>
  <c r="N486" i="34"/>
  <c r="N494" i="34"/>
  <c r="N499" i="34"/>
  <c r="N502" i="34"/>
  <c r="N512" i="34"/>
  <c r="N516" i="34"/>
  <c r="N517" i="34"/>
  <c r="N521" i="34"/>
  <c r="N523" i="34"/>
  <c r="N526" i="34"/>
  <c r="N533" i="34"/>
  <c r="N539" i="34"/>
  <c r="N540" i="34"/>
  <c r="N542" i="34"/>
  <c r="N545" i="34"/>
  <c r="N554" i="34"/>
  <c r="N555" i="34"/>
  <c r="N562" i="34"/>
  <c r="N564" i="34"/>
  <c r="N571" i="34"/>
  <c r="N573" i="34"/>
  <c r="N577" i="34"/>
  <c r="N582" i="34"/>
  <c r="N594" i="34"/>
  <c r="N598" i="34"/>
  <c r="N606" i="34"/>
  <c r="N612" i="34"/>
  <c r="N617" i="34"/>
  <c r="N618" i="34"/>
  <c r="N625" i="34"/>
  <c r="N629" i="34"/>
  <c r="N636" i="34"/>
  <c r="N637" i="34"/>
  <c r="N641" i="34"/>
  <c r="N644" i="34"/>
  <c r="N649" i="34"/>
  <c r="N652" i="34"/>
  <c r="N656" i="34"/>
  <c r="N659" i="34"/>
  <c r="N662" i="34"/>
  <c r="N664" i="34"/>
  <c r="N665" i="34"/>
  <c r="N676" i="34"/>
  <c r="N678" i="34"/>
  <c r="N687" i="34"/>
  <c r="N692" i="34"/>
  <c r="N698" i="34"/>
  <c r="N699" i="34"/>
  <c r="N700" i="34"/>
  <c r="N705" i="34"/>
  <c r="N713" i="34"/>
  <c r="N717" i="34"/>
  <c r="N723" i="34"/>
  <c r="N725" i="34"/>
  <c r="N728" i="34"/>
  <c r="N732" i="34"/>
  <c r="N737" i="34"/>
  <c r="N741" i="34"/>
  <c r="N744" i="34"/>
  <c r="N748" i="34"/>
  <c r="N752" i="34"/>
  <c r="N754" i="34"/>
  <c r="N758" i="34"/>
  <c r="N760" i="34"/>
  <c r="N770" i="34"/>
  <c r="N776" i="34"/>
  <c r="N781" i="34"/>
  <c r="N785" i="34"/>
  <c r="N788" i="34"/>
  <c r="N790" i="34"/>
  <c r="N792" i="34"/>
  <c r="N795" i="34"/>
  <c r="N800" i="34"/>
  <c r="N805" i="34"/>
  <c r="N806" i="34"/>
  <c r="N811" i="34"/>
  <c r="N813" i="34"/>
  <c r="N821" i="34"/>
  <c r="N826" i="34"/>
  <c r="N828" i="34"/>
  <c r="O22" i="34"/>
  <c r="O30" i="34"/>
  <c r="O33" i="34"/>
  <c r="O36" i="34"/>
  <c r="O39" i="34"/>
  <c r="O40" i="34"/>
  <c r="O50" i="34"/>
  <c r="O55" i="34"/>
  <c r="O57" i="34"/>
  <c r="O59" i="34"/>
  <c r="O67" i="34"/>
  <c r="O69" i="34"/>
  <c r="O72" i="34"/>
  <c r="O81" i="34"/>
  <c r="O85" i="34"/>
  <c r="O89" i="34"/>
  <c r="O93" i="34"/>
  <c r="O100" i="34"/>
  <c r="O104" i="34"/>
  <c r="O109" i="34"/>
  <c r="O114" i="34"/>
  <c r="O118" i="34"/>
  <c r="O127" i="34"/>
  <c r="O132" i="34"/>
  <c r="O133" i="34"/>
  <c r="O135" i="34"/>
  <c r="O140" i="34"/>
  <c r="O141" i="34"/>
  <c r="O147" i="34"/>
  <c r="O150" i="34"/>
  <c r="O154" i="34"/>
  <c r="O160" i="34"/>
  <c r="O163" i="34"/>
  <c r="O166" i="34"/>
  <c r="O172" i="34"/>
  <c r="O178" i="34"/>
  <c r="O185" i="34"/>
  <c r="O191" i="34"/>
  <c r="O198" i="34"/>
  <c r="O202" i="34"/>
  <c r="O204" i="34"/>
  <c r="O209" i="34"/>
  <c r="O211" i="34"/>
  <c r="O215" i="34"/>
  <c r="O223" i="34"/>
  <c r="O232" i="34"/>
  <c r="O240" i="34"/>
  <c r="O241" i="34"/>
  <c r="O247" i="34"/>
  <c r="O250" i="34"/>
  <c r="O252" i="34"/>
  <c r="O262" i="34"/>
  <c r="O275" i="34"/>
  <c r="O280" i="34"/>
  <c r="O284" i="34"/>
  <c r="O287" i="34"/>
  <c r="O291" i="34"/>
  <c r="O297" i="34"/>
  <c r="O300" i="34"/>
  <c r="O304" i="34"/>
  <c r="O307" i="34"/>
  <c r="O316" i="34"/>
  <c r="O317" i="34"/>
  <c r="O325" i="34"/>
  <c r="O328" i="34"/>
  <c r="O338" i="34"/>
  <c r="O343" i="34"/>
  <c r="O344" i="34"/>
  <c r="O348" i="34"/>
  <c r="O352" i="34"/>
  <c r="O358" i="34"/>
  <c r="O362" i="34"/>
  <c r="O372" i="34"/>
  <c r="O375" i="34"/>
  <c r="O378" i="34"/>
  <c r="O387" i="34"/>
  <c r="O392" i="34"/>
  <c r="O396" i="34"/>
  <c r="O400" i="34"/>
  <c r="O405" i="34"/>
  <c r="O411" i="34"/>
  <c r="O413" i="34"/>
  <c r="O419" i="34"/>
  <c r="O422" i="34"/>
  <c r="O427" i="34"/>
  <c r="O436" i="34"/>
  <c r="O447" i="34"/>
  <c r="O459" i="34"/>
  <c r="O463" i="34"/>
  <c r="O466" i="34"/>
  <c r="O474" i="34"/>
  <c r="O486" i="34"/>
  <c r="O494" i="34"/>
  <c r="O499" i="34"/>
  <c r="O502" i="34"/>
  <c r="O512" i="34"/>
  <c r="O516" i="34"/>
  <c r="O517" i="34"/>
  <c r="O521" i="34"/>
  <c r="O523" i="34"/>
  <c r="O526" i="34"/>
  <c r="O533" i="34"/>
  <c r="O539" i="34"/>
  <c r="O540" i="34"/>
  <c r="O542" i="34"/>
  <c r="O545" i="34"/>
  <c r="O554" i="34"/>
  <c r="O555" i="34"/>
  <c r="O562" i="34"/>
  <c r="O564" i="34"/>
  <c r="O571" i="34"/>
  <c r="O573" i="34"/>
  <c r="O577" i="34"/>
  <c r="O582" i="34"/>
  <c r="O594" i="34"/>
  <c r="O598" i="34"/>
  <c r="O606" i="34"/>
  <c r="O612" i="34"/>
  <c r="O617" i="34"/>
  <c r="O618" i="34"/>
  <c r="O625" i="34"/>
  <c r="O629" i="34"/>
  <c r="O636" i="34"/>
  <c r="O637" i="34"/>
  <c r="O641" i="34"/>
  <c r="O644" i="34"/>
  <c r="O649" i="34"/>
  <c r="O652" i="34"/>
  <c r="O656" i="34"/>
  <c r="O659" i="34"/>
  <c r="O662" i="34"/>
  <c r="O664" i="34"/>
  <c r="O665" i="34"/>
  <c r="O676" i="34"/>
  <c r="O678" i="34"/>
  <c r="O687" i="34"/>
  <c r="O692" i="34"/>
  <c r="O698" i="34"/>
  <c r="O699" i="34"/>
  <c r="O700" i="34"/>
  <c r="O705" i="34"/>
  <c r="O713" i="34"/>
  <c r="O717" i="34"/>
  <c r="O723" i="34"/>
  <c r="O725" i="34"/>
  <c r="O728" i="34"/>
  <c r="O732" i="34"/>
  <c r="O737" i="34"/>
  <c r="O741" i="34"/>
  <c r="O744" i="34"/>
  <c r="O748" i="34"/>
  <c r="O752" i="34"/>
  <c r="O754" i="34"/>
  <c r="O758" i="34"/>
  <c r="O760" i="34"/>
  <c r="O770" i="34"/>
  <c r="O776" i="34"/>
  <c r="O781" i="34"/>
  <c r="O785" i="34"/>
  <c r="O788" i="34"/>
  <c r="O790" i="34"/>
  <c r="O792" i="34"/>
  <c r="O795" i="34"/>
  <c r="O800" i="34"/>
  <c r="O805" i="34"/>
  <c r="O806" i="34"/>
  <c r="O811" i="34"/>
  <c r="O813" i="34"/>
  <c r="O821" i="34"/>
  <c r="O826" i="34"/>
  <c r="O828" i="34"/>
  <c r="P22" i="34"/>
  <c r="P30" i="34"/>
  <c r="P33" i="34"/>
  <c r="P36" i="34"/>
  <c r="P39" i="34"/>
  <c r="P40" i="34"/>
  <c r="P50" i="34"/>
  <c r="P55" i="34"/>
  <c r="P57" i="34"/>
  <c r="P59" i="34"/>
  <c r="P67" i="34"/>
  <c r="P69" i="34"/>
  <c r="P72" i="34"/>
  <c r="P81" i="34"/>
  <c r="P85" i="34"/>
  <c r="P89" i="34"/>
  <c r="P93" i="34"/>
  <c r="P100" i="34"/>
  <c r="P104" i="34"/>
  <c r="P109" i="34"/>
  <c r="P114" i="34"/>
  <c r="P118" i="34"/>
  <c r="P127" i="34"/>
  <c r="P132" i="34"/>
  <c r="P133" i="34"/>
  <c r="P135" i="34"/>
  <c r="P140" i="34"/>
  <c r="P141" i="34"/>
  <c r="P147" i="34"/>
  <c r="P150" i="34"/>
  <c r="P154" i="34"/>
  <c r="P160" i="34"/>
  <c r="P163" i="34"/>
  <c r="P166" i="34"/>
  <c r="P172" i="34"/>
  <c r="P178" i="34"/>
  <c r="P185" i="34"/>
  <c r="P191" i="34"/>
  <c r="P198" i="34"/>
  <c r="P202" i="34"/>
  <c r="P204" i="34"/>
  <c r="P209" i="34"/>
  <c r="P211" i="34"/>
  <c r="P215" i="34"/>
  <c r="P223" i="34"/>
  <c r="P232" i="34"/>
  <c r="P240" i="34"/>
  <c r="P241" i="34"/>
  <c r="P247" i="34"/>
  <c r="P250" i="34"/>
  <c r="P252" i="34"/>
  <c r="P262" i="34"/>
  <c r="P275" i="34"/>
  <c r="P280" i="34"/>
  <c r="P284" i="34"/>
  <c r="P287" i="34"/>
  <c r="P291" i="34"/>
  <c r="P297" i="34"/>
  <c r="P300" i="34"/>
  <c r="P304" i="34"/>
  <c r="P307" i="34"/>
  <c r="P316" i="34"/>
  <c r="P317" i="34"/>
  <c r="P325" i="34"/>
  <c r="P328" i="34"/>
  <c r="P338" i="34"/>
  <c r="P343" i="34"/>
  <c r="P344" i="34"/>
  <c r="P348" i="34"/>
  <c r="P352" i="34"/>
  <c r="P358" i="34"/>
  <c r="P362" i="34"/>
  <c r="P372" i="34"/>
  <c r="P375" i="34"/>
  <c r="P378" i="34"/>
  <c r="P387" i="34"/>
  <c r="P392" i="34"/>
  <c r="P396" i="34"/>
  <c r="P400" i="34"/>
  <c r="P405" i="34"/>
  <c r="P411" i="34"/>
  <c r="P413" i="34"/>
  <c r="P419" i="34"/>
  <c r="P422" i="34"/>
  <c r="P427" i="34"/>
  <c r="P436" i="34"/>
  <c r="P447" i="34"/>
  <c r="P459" i="34"/>
  <c r="P463" i="34"/>
  <c r="P466" i="34"/>
  <c r="P474" i="34"/>
  <c r="P486" i="34"/>
  <c r="P494" i="34"/>
  <c r="P499" i="34"/>
  <c r="P502" i="34"/>
  <c r="P512" i="34"/>
  <c r="P516" i="34"/>
  <c r="P517" i="34"/>
  <c r="P521" i="34"/>
  <c r="P523" i="34"/>
  <c r="P526" i="34"/>
  <c r="P533" i="34"/>
  <c r="P539" i="34"/>
  <c r="P540" i="34"/>
  <c r="P542" i="34"/>
  <c r="P545" i="34"/>
  <c r="P554" i="34"/>
  <c r="P555" i="34"/>
  <c r="P562" i="34"/>
  <c r="P564" i="34"/>
  <c r="P571" i="34"/>
  <c r="P573" i="34"/>
  <c r="P577" i="34"/>
  <c r="P582" i="34"/>
  <c r="P594" i="34"/>
  <c r="P598" i="34"/>
  <c r="P606" i="34"/>
  <c r="P612" i="34"/>
  <c r="P617" i="34"/>
  <c r="P618" i="34"/>
  <c r="P625" i="34"/>
  <c r="P629" i="34"/>
  <c r="P636" i="34"/>
  <c r="P637" i="34"/>
  <c r="P641" i="34"/>
  <c r="P644" i="34"/>
  <c r="P649" i="34"/>
  <c r="P652" i="34"/>
  <c r="P656" i="34"/>
  <c r="P659" i="34"/>
  <c r="P662" i="34"/>
  <c r="P664" i="34"/>
  <c r="P665" i="34"/>
  <c r="P676" i="34"/>
  <c r="P678" i="34"/>
  <c r="P687" i="34"/>
  <c r="P692" i="34"/>
  <c r="P698" i="34"/>
  <c r="P699" i="34"/>
  <c r="P700" i="34"/>
  <c r="P705" i="34"/>
  <c r="P713" i="34"/>
  <c r="P717" i="34"/>
  <c r="P723" i="34"/>
  <c r="P725" i="34"/>
  <c r="P728" i="34"/>
  <c r="P732" i="34"/>
  <c r="P737" i="34"/>
  <c r="P741" i="34"/>
  <c r="P744" i="34"/>
  <c r="P748" i="34"/>
  <c r="P752" i="34"/>
  <c r="P754" i="34"/>
  <c r="P758" i="34"/>
  <c r="P760" i="34"/>
  <c r="P770" i="34"/>
  <c r="P776" i="34"/>
  <c r="P781" i="34"/>
  <c r="P785" i="34"/>
  <c r="P788" i="34"/>
  <c r="P790" i="34"/>
  <c r="P792" i="34"/>
  <c r="P795" i="34"/>
  <c r="P800" i="34"/>
  <c r="P805" i="34"/>
  <c r="P806" i="34"/>
  <c r="P811" i="34"/>
  <c r="P813" i="34"/>
  <c r="P821" i="34"/>
  <c r="P826" i="34"/>
  <c r="P828" i="34"/>
  <c r="Q22" i="34"/>
  <c r="Q30" i="34"/>
  <c r="Q33" i="34"/>
  <c r="Q36" i="34"/>
  <c r="Q39" i="34"/>
  <c r="Q40" i="34"/>
  <c r="Q50" i="34"/>
  <c r="Q55" i="34"/>
  <c r="Q57" i="34"/>
  <c r="Q59" i="34"/>
  <c r="Q67" i="34"/>
  <c r="Q69" i="34"/>
  <c r="Q72" i="34"/>
  <c r="Q81" i="34"/>
  <c r="Q85" i="34"/>
  <c r="Q89" i="34"/>
  <c r="Q93" i="34"/>
  <c r="Q100" i="34"/>
  <c r="Q104" i="34"/>
  <c r="Q109" i="34"/>
  <c r="Q114" i="34"/>
  <c r="Q118" i="34"/>
  <c r="Q127" i="34"/>
  <c r="Q132" i="34"/>
  <c r="Q133" i="34"/>
  <c r="Q135" i="34"/>
  <c r="Q140" i="34"/>
  <c r="Q141" i="34"/>
  <c r="Q147" i="34"/>
  <c r="Q150" i="34"/>
  <c r="Q154" i="34"/>
  <c r="Q160" i="34"/>
  <c r="Q163" i="34"/>
  <c r="Q166" i="34"/>
  <c r="Q172" i="34"/>
  <c r="Q178" i="34"/>
  <c r="Q185" i="34"/>
  <c r="Q191" i="34"/>
  <c r="Q198" i="34"/>
  <c r="Q202" i="34"/>
  <c r="Q204" i="34"/>
  <c r="Q209" i="34"/>
  <c r="Q211" i="34"/>
  <c r="Q215" i="34"/>
  <c r="Q223" i="34"/>
  <c r="Q232" i="34"/>
  <c r="Q240" i="34"/>
  <c r="Q241" i="34"/>
  <c r="Q247" i="34"/>
  <c r="Q250" i="34"/>
  <c r="Q252" i="34"/>
  <c r="Q262" i="34"/>
  <c r="Q275" i="34"/>
  <c r="Q280" i="34"/>
  <c r="Q284" i="34"/>
  <c r="Q287" i="34"/>
  <c r="Q291" i="34"/>
  <c r="Q297" i="34"/>
  <c r="Q300" i="34"/>
  <c r="Q304" i="34"/>
  <c r="Q307" i="34"/>
  <c r="Q316" i="34"/>
  <c r="Q317" i="34"/>
  <c r="Q325" i="34"/>
  <c r="Q328" i="34"/>
  <c r="Q338" i="34"/>
  <c r="Q343" i="34"/>
  <c r="Q344" i="34"/>
  <c r="Q348" i="34"/>
  <c r="Q352" i="34"/>
  <c r="Q358" i="34"/>
  <c r="Q362" i="34"/>
  <c r="Q372" i="34"/>
  <c r="Q375" i="34"/>
  <c r="Q378" i="34"/>
  <c r="Q387" i="34"/>
  <c r="Q392" i="34"/>
  <c r="Q396" i="34"/>
  <c r="Q400" i="34"/>
  <c r="Q405" i="34"/>
  <c r="Q411" i="34"/>
  <c r="Q413" i="34"/>
  <c r="Q419" i="34"/>
  <c r="Q422" i="34"/>
  <c r="Q427" i="34"/>
  <c r="Q436" i="34"/>
  <c r="Q447" i="34"/>
  <c r="Q459" i="34"/>
  <c r="Q463" i="34"/>
  <c r="Q466" i="34"/>
  <c r="Q474" i="34"/>
  <c r="Q486" i="34"/>
  <c r="Q494" i="34"/>
  <c r="Q499" i="34"/>
  <c r="Q502" i="34"/>
  <c r="Q512" i="34"/>
  <c r="Q516" i="34"/>
  <c r="Q517" i="34"/>
  <c r="Q521" i="34"/>
  <c r="Q523" i="34"/>
  <c r="Q526" i="34"/>
  <c r="Q533" i="34"/>
  <c r="Q539" i="34"/>
  <c r="Q540" i="34"/>
  <c r="Q542" i="34"/>
  <c r="Q545" i="34"/>
  <c r="Q554" i="34"/>
  <c r="Q555" i="34"/>
  <c r="Q562" i="34"/>
  <c r="Q564" i="34"/>
  <c r="Q571" i="34"/>
  <c r="Q573" i="34"/>
  <c r="Q577" i="34"/>
  <c r="Q582" i="34"/>
  <c r="Q594" i="34"/>
  <c r="Q598" i="34"/>
  <c r="Q606" i="34"/>
  <c r="Q612" i="34"/>
  <c r="Q617" i="34"/>
  <c r="Q618" i="34"/>
  <c r="Q625" i="34"/>
  <c r="Q629" i="34"/>
  <c r="Q636" i="34"/>
  <c r="Q637" i="34"/>
  <c r="Q641" i="34"/>
  <c r="Q644" i="34"/>
  <c r="Q649" i="34"/>
  <c r="Q652" i="34"/>
  <c r="Q656" i="34"/>
  <c r="Q659" i="34"/>
  <c r="Q662" i="34"/>
  <c r="Q664" i="34"/>
  <c r="Q665" i="34"/>
  <c r="Q676" i="34"/>
  <c r="Q678" i="34"/>
  <c r="Q687" i="34"/>
  <c r="Q692" i="34"/>
  <c r="Q698" i="34"/>
  <c r="Q699" i="34"/>
  <c r="Q700" i="34"/>
  <c r="Q705" i="34"/>
  <c r="Q713" i="34"/>
  <c r="Q717" i="34"/>
  <c r="Q723" i="34"/>
  <c r="Q725" i="34"/>
  <c r="Q728" i="34"/>
  <c r="Q732" i="34"/>
  <c r="Q737" i="34"/>
  <c r="Q741" i="34"/>
  <c r="Q744" i="34"/>
  <c r="Q748" i="34"/>
  <c r="Q752" i="34"/>
  <c r="Q754" i="34"/>
  <c r="Q758" i="34"/>
  <c r="Q760" i="34"/>
  <c r="Q770" i="34"/>
  <c r="Q776" i="34"/>
  <c r="Q781" i="34"/>
  <c r="Q785" i="34"/>
  <c r="Q788" i="34"/>
  <c r="Q790" i="34"/>
  <c r="Q792" i="34"/>
  <c r="Q795" i="34"/>
  <c r="Q800" i="34"/>
  <c r="Q805" i="34"/>
  <c r="Q806" i="34"/>
  <c r="Q811" i="34"/>
  <c r="Q813" i="34"/>
  <c r="Q821" i="34"/>
  <c r="Q826" i="34"/>
  <c r="Q828" i="34"/>
  <c r="M18" i="34"/>
  <c r="I18" i="34"/>
  <c r="N18" i="34"/>
  <c r="M837" i="34"/>
  <c r="I837" i="34"/>
  <c r="N837" i="34"/>
  <c r="S837" i="34"/>
  <c r="M836" i="34"/>
  <c r="I836" i="34"/>
  <c r="N836" i="34"/>
  <c r="S836" i="34"/>
  <c r="M835" i="34"/>
  <c r="I835" i="34"/>
  <c r="N835" i="34"/>
  <c r="S835" i="34"/>
  <c r="M834" i="34"/>
  <c r="I834" i="34"/>
  <c r="N834" i="34"/>
  <c r="S834" i="34"/>
  <c r="M833" i="34"/>
  <c r="I833" i="34"/>
  <c r="N833" i="34"/>
  <c r="S833" i="34"/>
  <c r="M832" i="34"/>
  <c r="I832" i="34"/>
  <c r="N832" i="34"/>
  <c r="S832" i="34"/>
  <c r="M831" i="34"/>
  <c r="I831" i="34"/>
  <c r="N831" i="34"/>
  <c r="S831" i="34"/>
  <c r="M830" i="34"/>
  <c r="I830" i="34"/>
  <c r="N830" i="34"/>
  <c r="S830" i="34"/>
  <c r="M829" i="34"/>
  <c r="I829" i="34"/>
  <c r="N829" i="34"/>
  <c r="S829" i="34"/>
  <c r="S828" i="34"/>
  <c r="M827" i="34"/>
  <c r="I827" i="34"/>
  <c r="N827" i="34"/>
  <c r="S827" i="34"/>
  <c r="S826" i="34"/>
  <c r="M825" i="34"/>
  <c r="I825" i="34"/>
  <c r="N825" i="34"/>
  <c r="S825" i="34"/>
  <c r="M824" i="34"/>
  <c r="I824" i="34"/>
  <c r="N824" i="34"/>
  <c r="S824" i="34"/>
  <c r="M823" i="34"/>
  <c r="I823" i="34"/>
  <c r="N823" i="34"/>
  <c r="S823" i="34"/>
  <c r="M822" i="34"/>
  <c r="I822" i="34"/>
  <c r="N822" i="34"/>
  <c r="S822" i="34"/>
  <c r="S821" i="34"/>
  <c r="M820" i="34"/>
  <c r="I820" i="34"/>
  <c r="N820" i="34"/>
  <c r="S820" i="34"/>
  <c r="M819" i="34"/>
  <c r="I819" i="34"/>
  <c r="N819" i="34"/>
  <c r="S819" i="34"/>
  <c r="M818" i="34"/>
  <c r="I818" i="34"/>
  <c r="N818" i="34"/>
  <c r="S818" i="34"/>
  <c r="M817" i="34"/>
  <c r="I817" i="34"/>
  <c r="N817" i="34"/>
  <c r="S817" i="34"/>
  <c r="M816" i="34"/>
  <c r="I816" i="34"/>
  <c r="N816" i="34"/>
  <c r="S816" i="34"/>
  <c r="M815" i="34"/>
  <c r="I815" i="34"/>
  <c r="N815" i="34"/>
  <c r="S815" i="34"/>
  <c r="M814" i="34"/>
  <c r="I814" i="34"/>
  <c r="N814" i="34"/>
  <c r="S814" i="34"/>
  <c r="S813" i="34"/>
  <c r="M812" i="34"/>
  <c r="I812" i="34"/>
  <c r="N812" i="34"/>
  <c r="S812" i="34"/>
  <c r="S811" i="34"/>
  <c r="M810" i="34"/>
  <c r="I810" i="34"/>
  <c r="N810" i="34"/>
  <c r="S810" i="34"/>
  <c r="M809" i="34"/>
  <c r="I809" i="34"/>
  <c r="N809" i="34"/>
  <c r="S809" i="34"/>
  <c r="M808" i="34"/>
  <c r="I808" i="34"/>
  <c r="N808" i="34"/>
  <c r="S808" i="34"/>
  <c r="M807" i="34"/>
  <c r="I807" i="34"/>
  <c r="N807" i="34"/>
  <c r="S807" i="34"/>
  <c r="S806" i="34"/>
  <c r="S805" i="34"/>
  <c r="M804" i="34"/>
  <c r="I804" i="34"/>
  <c r="N804" i="34"/>
  <c r="S804" i="34"/>
  <c r="M803" i="34"/>
  <c r="I803" i="34"/>
  <c r="N803" i="34"/>
  <c r="S803" i="34"/>
  <c r="M802" i="34"/>
  <c r="I802" i="34"/>
  <c r="N802" i="34"/>
  <c r="S802" i="34"/>
  <c r="M801" i="34"/>
  <c r="I801" i="34"/>
  <c r="N801" i="34"/>
  <c r="S801" i="34"/>
  <c r="S800" i="34"/>
  <c r="M799" i="34"/>
  <c r="I799" i="34"/>
  <c r="N799" i="34"/>
  <c r="S799" i="34"/>
  <c r="M798" i="34"/>
  <c r="I798" i="34"/>
  <c r="N798" i="34"/>
  <c r="S798" i="34"/>
  <c r="M797" i="34"/>
  <c r="I797" i="34"/>
  <c r="N797" i="34"/>
  <c r="S797" i="34"/>
  <c r="M796" i="34"/>
  <c r="I796" i="34"/>
  <c r="N796" i="34"/>
  <c r="S796" i="34"/>
  <c r="S795" i="34"/>
  <c r="M794" i="34"/>
  <c r="I794" i="34"/>
  <c r="N794" i="34"/>
  <c r="S794" i="34"/>
  <c r="M793" i="34"/>
  <c r="I793" i="34"/>
  <c r="N793" i="34"/>
  <c r="S793" i="34"/>
  <c r="S792" i="34"/>
  <c r="M791" i="34"/>
  <c r="I791" i="34"/>
  <c r="N791" i="34"/>
  <c r="S791" i="34"/>
  <c r="S790" i="34"/>
  <c r="M789" i="34"/>
  <c r="I789" i="34"/>
  <c r="N789" i="34"/>
  <c r="S789" i="34"/>
  <c r="S788" i="34"/>
  <c r="M787" i="34"/>
  <c r="I787" i="34"/>
  <c r="N787" i="34"/>
  <c r="S787" i="34"/>
  <c r="M786" i="34"/>
  <c r="I786" i="34"/>
  <c r="N786" i="34"/>
  <c r="S786" i="34"/>
  <c r="S785" i="34"/>
  <c r="M784" i="34"/>
  <c r="I784" i="34"/>
  <c r="N784" i="34"/>
  <c r="S784" i="34"/>
  <c r="M783" i="34"/>
  <c r="I783" i="34"/>
  <c r="N783" i="34"/>
  <c r="S783" i="34"/>
  <c r="M782" i="34"/>
  <c r="I782" i="34"/>
  <c r="N782" i="34"/>
  <c r="S782" i="34"/>
  <c r="S781" i="34"/>
  <c r="M780" i="34"/>
  <c r="I780" i="34"/>
  <c r="N780" i="34"/>
  <c r="S780" i="34"/>
  <c r="M779" i="34"/>
  <c r="I779" i="34"/>
  <c r="N779" i="34"/>
  <c r="S779" i="34"/>
  <c r="M778" i="34"/>
  <c r="I778" i="34"/>
  <c r="N778" i="34"/>
  <c r="S778" i="34"/>
  <c r="M777" i="34"/>
  <c r="I777" i="34"/>
  <c r="N777" i="34"/>
  <c r="S777" i="34"/>
  <c r="S776" i="34"/>
  <c r="M775" i="34"/>
  <c r="I775" i="34"/>
  <c r="N775" i="34"/>
  <c r="S775" i="34"/>
  <c r="M774" i="34"/>
  <c r="I774" i="34"/>
  <c r="N774" i="34"/>
  <c r="S774" i="34"/>
  <c r="M773" i="34"/>
  <c r="I773" i="34"/>
  <c r="N773" i="34"/>
  <c r="S773" i="34"/>
  <c r="M772" i="34"/>
  <c r="I772" i="34"/>
  <c r="N772" i="34"/>
  <c r="S772" i="34"/>
  <c r="M771" i="34"/>
  <c r="I771" i="34"/>
  <c r="N771" i="34"/>
  <c r="S771" i="34"/>
  <c r="S770" i="34"/>
  <c r="M769" i="34"/>
  <c r="I769" i="34"/>
  <c r="N769" i="34"/>
  <c r="S769" i="34"/>
  <c r="M768" i="34"/>
  <c r="I768" i="34"/>
  <c r="N768" i="34"/>
  <c r="S768" i="34"/>
  <c r="M767" i="34"/>
  <c r="I767" i="34"/>
  <c r="N767" i="34"/>
  <c r="S767" i="34"/>
  <c r="M766" i="34"/>
  <c r="I766" i="34"/>
  <c r="N766" i="34"/>
  <c r="S766" i="34"/>
  <c r="M765" i="34"/>
  <c r="I765" i="34"/>
  <c r="N765" i="34"/>
  <c r="S765" i="34"/>
  <c r="M764" i="34"/>
  <c r="I764" i="34"/>
  <c r="N764" i="34"/>
  <c r="S764" i="34"/>
  <c r="M763" i="34"/>
  <c r="I763" i="34"/>
  <c r="N763" i="34"/>
  <c r="S763" i="34"/>
  <c r="M762" i="34"/>
  <c r="I762" i="34"/>
  <c r="N762" i="34"/>
  <c r="S762" i="34"/>
  <c r="M761" i="34"/>
  <c r="I761" i="34"/>
  <c r="N761" i="34"/>
  <c r="S761" i="34"/>
  <c r="S760" i="34"/>
  <c r="M759" i="34"/>
  <c r="I759" i="34"/>
  <c r="N759" i="34"/>
  <c r="S759" i="34"/>
  <c r="S758" i="34"/>
  <c r="M757" i="34"/>
  <c r="I757" i="34"/>
  <c r="N757" i="34"/>
  <c r="S757" i="34"/>
  <c r="M756" i="34"/>
  <c r="I756" i="34"/>
  <c r="N756" i="34"/>
  <c r="S756" i="34"/>
  <c r="M755" i="34"/>
  <c r="I755" i="34"/>
  <c r="N755" i="34"/>
  <c r="S755" i="34"/>
  <c r="S754" i="34"/>
  <c r="M753" i="34"/>
  <c r="I753" i="34"/>
  <c r="N753" i="34"/>
  <c r="S753" i="34"/>
  <c r="S752" i="34"/>
  <c r="M751" i="34"/>
  <c r="I751" i="34"/>
  <c r="N751" i="34"/>
  <c r="S751" i="34"/>
  <c r="M750" i="34"/>
  <c r="I750" i="34"/>
  <c r="N750" i="34"/>
  <c r="S750" i="34"/>
  <c r="M749" i="34"/>
  <c r="I749" i="34"/>
  <c r="N749" i="34"/>
  <c r="S749" i="34"/>
  <c r="S748" i="34"/>
  <c r="M747" i="34"/>
  <c r="I747" i="34"/>
  <c r="N747" i="34"/>
  <c r="S747" i="34"/>
  <c r="M746" i="34"/>
  <c r="I746" i="34"/>
  <c r="N746" i="34"/>
  <c r="S746" i="34"/>
  <c r="M745" i="34"/>
  <c r="I745" i="34"/>
  <c r="N745" i="34"/>
  <c r="S745" i="34"/>
  <c r="S744" i="34"/>
  <c r="M743" i="34"/>
  <c r="I743" i="34"/>
  <c r="N743" i="34"/>
  <c r="S743" i="34"/>
  <c r="M742" i="34"/>
  <c r="I742" i="34"/>
  <c r="N742" i="34"/>
  <c r="S742" i="34"/>
  <c r="S741" i="34"/>
  <c r="M740" i="34"/>
  <c r="I740" i="34"/>
  <c r="N740" i="34"/>
  <c r="S740" i="34"/>
  <c r="M739" i="34"/>
  <c r="I739" i="34"/>
  <c r="N739" i="34"/>
  <c r="S739" i="34"/>
  <c r="M738" i="34"/>
  <c r="I738" i="34"/>
  <c r="N738" i="34"/>
  <c r="S738" i="34"/>
  <c r="S737" i="34"/>
  <c r="M736" i="34"/>
  <c r="I736" i="34"/>
  <c r="N736" i="34"/>
  <c r="S736" i="34"/>
  <c r="M735" i="34"/>
  <c r="I735" i="34"/>
  <c r="N735" i="34"/>
  <c r="S735" i="34"/>
  <c r="M734" i="34"/>
  <c r="I734" i="34"/>
  <c r="N734" i="34"/>
  <c r="S734" i="34"/>
  <c r="M733" i="34"/>
  <c r="I733" i="34"/>
  <c r="N733" i="34"/>
  <c r="S733" i="34"/>
  <c r="S732" i="34"/>
  <c r="M731" i="34"/>
  <c r="I731" i="34"/>
  <c r="N731" i="34"/>
  <c r="S731" i="34"/>
  <c r="M730" i="34"/>
  <c r="I730" i="34"/>
  <c r="N730" i="34"/>
  <c r="S730" i="34"/>
  <c r="M729" i="34"/>
  <c r="I729" i="34"/>
  <c r="N729" i="34"/>
  <c r="S729" i="34"/>
  <c r="S728" i="34"/>
  <c r="M727" i="34"/>
  <c r="I727" i="34"/>
  <c r="N727" i="34"/>
  <c r="S727" i="34"/>
  <c r="M726" i="34"/>
  <c r="I726" i="34"/>
  <c r="N726" i="34"/>
  <c r="S726" i="34"/>
  <c r="S725" i="34"/>
  <c r="M724" i="34"/>
  <c r="I724" i="34"/>
  <c r="N724" i="34"/>
  <c r="S724" i="34"/>
  <c r="S723" i="34"/>
  <c r="M722" i="34"/>
  <c r="I722" i="34"/>
  <c r="N722" i="34"/>
  <c r="S722" i="34"/>
  <c r="M721" i="34"/>
  <c r="I721" i="34"/>
  <c r="N721" i="34"/>
  <c r="S721" i="34"/>
  <c r="M720" i="34"/>
  <c r="I720" i="34"/>
  <c r="N720" i="34"/>
  <c r="S720" i="34"/>
  <c r="M719" i="34"/>
  <c r="I719" i="34"/>
  <c r="N719" i="34"/>
  <c r="S719" i="34"/>
  <c r="M718" i="34"/>
  <c r="I718" i="34"/>
  <c r="N718" i="34"/>
  <c r="S718" i="34"/>
  <c r="S717" i="34"/>
  <c r="M716" i="34"/>
  <c r="I716" i="34"/>
  <c r="N716" i="34"/>
  <c r="S716" i="34"/>
  <c r="M715" i="34"/>
  <c r="I715" i="34"/>
  <c r="N715" i="34"/>
  <c r="S715" i="34"/>
  <c r="M714" i="34"/>
  <c r="I714" i="34"/>
  <c r="N714" i="34"/>
  <c r="S714" i="34"/>
  <c r="S713" i="34"/>
  <c r="M712" i="34"/>
  <c r="I712" i="34"/>
  <c r="N712" i="34"/>
  <c r="S712" i="34"/>
  <c r="M711" i="34"/>
  <c r="I711" i="34"/>
  <c r="N711" i="34"/>
  <c r="S711" i="34"/>
  <c r="M710" i="34"/>
  <c r="I710" i="34"/>
  <c r="N710" i="34"/>
  <c r="S710" i="34"/>
  <c r="M709" i="34"/>
  <c r="I709" i="34"/>
  <c r="N709" i="34"/>
  <c r="S709" i="34"/>
  <c r="M708" i="34"/>
  <c r="I708" i="34"/>
  <c r="N708" i="34"/>
  <c r="S708" i="34"/>
  <c r="M707" i="34"/>
  <c r="I707" i="34"/>
  <c r="N707" i="34"/>
  <c r="S707" i="34"/>
  <c r="M706" i="34"/>
  <c r="I706" i="34"/>
  <c r="N706" i="34"/>
  <c r="S706" i="34"/>
  <c r="S705" i="34"/>
  <c r="M704" i="34"/>
  <c r="I704" i="34"/>
  <c r="N704" i="34"/>
  <c r="S704" i="34"/>
  <c r="M703" i="34"/>
  <c r="I703" i="34"/>
  <c r="N703" i="34"/>
  <c r="S703" i="34"/>
  <c r="M702" i="34"/>
  <c r="I702" i="34"/>
  <c r="N702" i="34"/>
  <c r="S702" i="34"/>
  <c r="M701" i="34"/>
  <c r="I701" i="34"/>
  <c r="N701" i="34"/>
  <c r="S701" i="34"/>
  <c r="S700" i="34"/>
  <c r="S699" i="34"/>
  <c r="S698" i="34"/>
  <c r="M697" i="34"/>
  <c r="I697" i="34"/>
  <c r="N697" i="34"/>
  <c r="S697" i="34"/>
  <c r="M696" i="34"/>
  <c r="I696" i="34"/>
  <c r="N696" i="34"/>
  <c r="S696" i="34"/>
  <c r="M695" i="34"/>
  <c r="I695" i="34"/>
  <c r="N695" i="34"/>
  <c r="S695" i="34"/>
  <c r="M694" i="34"/>
  <c r="I694" i="34"/>
  <c r="N694" i="34"/>
  <c r="S694" i="34"/>
  <c r="M693" i="34"/>
  <c r="I693" i="34"/>
  <c r="N693" i="34"/>
  <c r="S693" i="34"/>
  <c r="S692" i="34"/>
  <c r="M691" i="34"/>
  <c r="I691" i="34"/>
  <c r="N691" i="34"/>
  <c r="S691" i="34"/>
  <c r="M690" i="34"/>
  <c r="I690" i="34"/>
  <c r="N690" i="34"/>
  <c r="S690" i="34"/>
  <c r="M689" i="34"/>
  <c r="I689" i="34"/>
  <c r="N689" i="34"/>
  <c r="S689" i="34"/>
  <c r="M688" i="34"/>
  <c r="I688" i="34"/>
  <c r="N688" i="34"/>
  <c r="S688" i="34"/>
  <c r="S687" i="34"/>
  <c r="M686" i="34"/>
  <c r="I686" i="34"/>
  <c r="N686" i="34"/>
  <c r="S686" i="34"/>
  <c r="M685" i="34"/>
  <c r="I685" i="34"/>
  <c r="N685" i="34"/>
  <c r="S685" i="34"/>
  <c r="M684" i="34"/>
  <c r="I684" i="34"/>
  <c r="N684" i="34"/>
  <c r="S684" i="34"/>
  <c r="M683" i="34"/>
  <c r="I683" i="34"/>
  <c r="N683" i="34"/>
  <c r="S683" i="34"/>
  <c r="M682" i="34"/>
  <c r="I682" i="34"/>
  <c r="N682" i="34"/>
  <c r="S682" i="34"/>
  <c r="M681" i="34"/>
  <c r="I681" i="34"/>
  <c r="N681" i="34"/>
  <c r="S681" i="34"/>
  <c r="M680" i="34"/>
  <c r="I680" i="34"/>
  <c r="N680" i="34"/>
  <c r="S680" i="34"/>
  <c r="M679" i="34"/>
  <c r="I679" i="34"/>
  <c r="N679" i="34"/>
  <c r="S679" i="34"/>
  <c r="S678" i="34"/>
  <c r="M677" i="34"/>
  <c r="I677" i="34"/>
  <c r="N677" i="34"/>
  <c r="S677" i="34"/>
  <c r="S676" i="34"/>
  <c r="M675" i="34"/>
  <c r="I675" i="34"/>
  <c r="N675" i="34"/>
  <c r="S675" i="34"/>
  <c r="M674" i="34"/>
  <c r="I674" i="34"/>
  <c r="N674" i="34"/>
  <c r="S674" i="34"/>
  <c r="M673" i="34"/>
  <c r="I673" i="34"/>
  <c r="N673" i="34"/>
  <c r="S673" i="34"/>
  <c r="M672" i="34"/>
  <c r="I672" i="34"/>
  <c r="N672" i="34"/>
  <c r="S672" i="34"/>
  <c r="M671" i="34"/>
  <c r="I671" i="34"/>
  <c r="N671" i="34"/>
  <c r="S671" i="34"/>
  <c r="M670" i="34"/>
  <c r="I670" i="34"/>
  <c r="N670" i="34"/>
  <c r="S670" i="34"/>
  <c r="M669" i="34"/>
  <c r="I669" i="34"/>
  <c r="N669" i="34"/>
  <c r="S669" i="34"/>
  <c r="M668" i="34"/>
  <c r="I668" i="34"/>
  <c r="N668" i="34"/>
  <c r="S668" i="34"/>
  <c r="M667" i="34"/>
  <c r="I667" i="34"/>
  <c r="N667" i="34"/>
  <c r="S667" i="34"/>
  <c r="M666" i="34"/>
  <c r="I666" i="34"/>
  <c r="N666" i="34"/>
  <c r="S666" i="34"/>
  <c r="S665" i="34"/>
  <c r="S664" i="34"/>
  <c r="M663" i="34"/>
  <c r="I663" i="34"/>
  <c r="N663" i="34"/>
  <c r="S663" i="34"/>
  <c r="S662" i="34"/>
  <c r="M661" i="34"/>
  <c r="I661" i="34"/>
  <c r="N661" i="34"/>
  <c r="S661" i="34"/>
  <c r="M660" i="34"/>
  <c r="I660" i="34"/>
  <c r="N660" i="34"/>
  <c r="S660" i="34"/>
  <c r="S659" i="34"/>
  <c r="M658" i="34"/>
  <c r="I658" i="34"/>
  <c r="N658" i="34"/>
  <c r="S658" i="34"/>
  <c r="M657" i="34"/>
  <c r="I657" i="34"/>
  <c r="N657" i="34"/>
  <c r="S657" i="34"/>
  <c r="S656" i="34"/>
  <c r="M655" i="34"/>
  <c r="I655" i="34"/>
  <c r="N655" i="34"/>
  <c r="S655" i="34"/>
  <c r="M654" i="34"/>
  <c r="I654" i="34"/>
  <c r="N654" i="34"/>
  <c r="S654" i="34"/>
  <c r="M653" i="34"/>
  <c r="I653" i="34"/>
  <c r="N653" i="34"/>
  <c r="S653" i="34"/>
  <c r="S652" i="34"/>
  <c r="M651" i="34"/>
  <c r="I651" i="34"/>
  <c r="N651" i="34"/>
  <c r="S651" i="34"/>
  <c r="M650" i="34"/>
  <c r="I650" i="34"/>
  <c r="N650" i="34"/>
  <c r="S650" i="34"/>
  <c r="S649" i="34"/>
  <c r="M648" i="34"/>
  <c r="I648" i="34"/>
  <c r="N648" i="34"/>
  <c r="S648" i="34"/>
  <c r="M647" i="34"/>
  <c r="I647" i="34"/>
  <c r="N647" i="34"/>
  <c r="S647" i="34"/>
  <c r="M646" i="34"/>
  <c r="I646" i="34"/>
  <c r="N646" i="34"/>
  <c r="S646" i="34"/>
  <c r="M645" i="34"/>
  <c r="I645" i="34"/>
  <c r="N645" i="34"/>
  <c r="S645" i="34"/>
  <c r="S644" i="34"/>
  <c r="M643" i="34"/>
  <c r="I643" i="34"/>
  <c r="N643" i="34"/>
  <c r="S643" i="34"/>
  <c r="M642" i="34"/>
  <c r="I642" i="34"/>
  <c r="N642" i="34"/>
  <c r="S642" i="34"/>
  <c r="S641" i="34"/>
  <c r="M640" i="34"/>
  <c r="I640" i="34"/>
  <c r="N640" i="34"/>
  <c r="S640" i="34"/>
  <c r="M639" i="34"/>
  <c r="I639" i="34"/>
  <c r="N639" i="34"/>
  <c r="S639" i="34"/>
  <c r="M638" i="34"/>
  <c r="I638" i="34"/>
  <c r="N638" i="34"/>
  <c r="S638" i="34"/>
  <c r="S637" i="34"/>
  <c r="S636" i="34"/>
  <c r="M635" i="34"/>
  <c r="I635" i="34"/>
  <c r="N635" i="34"/>
  <c r="S635" i="34"/>
  <c r="M634" i="34"/>
  <c r="I634" i="34"/>
  <c r="N634" i="34"/>
  <c r="S634" i="34"/>
  <c r="M633" i="34"/>
  <c r="I633" i="34"/>
  <c r="N633" i="34"/>
  <c r="S633" i="34"/>
  <c r="M632" i="34"/>
  <c r="I632" i="34"/>
  <c r="N632" i="34"/>
  <c r="S632" i="34"/>
  <c r="M631" i="34"/>
  <c r="I631" i="34"/>
  <c r="N631" i="34"/>
  <c r="S631" i="34"/>
  <c r="M630" i="34"/>
  <c r="I630" i="34"/>
  <c r="N630" i="34"/>
  <c r="S630" i="34"/>
  <c r="S629" i="34"/>
  <c r="M628" i="34"/>
  <c r="I628" i="34"/>
  <c r="N628" i="34"/>
  <c r="S628" i="34"/>
  <c r="M627" i="34"/>
  <c r="I627" i="34"/>
  <c r="N627" i="34"/>
  <c r="S627" i="34"/>
  <c r="M626" i="34"/>
  <c r="I626" i="34"/>
  <c r="N626" i="34"/>
  <c r="S626" i="34"/>
  <c r="S625" i="34"/>
  <c r="M624" i="34"/>
  <c r="I624" i="34"/>
  <c r="N624" i="34"/>
  <c r="S624" i="34"/>
  <c r="M623" i="34"/>
  <c r="I623" i="34"/>
  <c r="N623" i="34"/>
  <c r="S623" i="34"/>
  <c r="M622" i="34"/>
  <c r="I622" i="34"/>
  <c r="N622" i="34"/>
  <c r="S622" i="34"/>
  <c r="M621" i="34"/>
  <c r="I621" i="34"/>
  <c r="N621" i="34"/>
  <c r="S621" i="34"/>
  <c r="M620" i="34"/>
  <c r="I620" i="34"/>
  <c r="N620" i="34"/>
  <c r="S620" i="34"/>
  <c r="M619" i="34"/>
  <c r="I619" i="34"/>
  <c r="N619" i="34"/>
  <c r="S619" i="34"/>
  <c r="S618" i="34"/>
  <c r="S617" i="34"/>
  <c r="M616" i="34"/>
  <c r="I616" i="34"/>
  <c r="N616" i="34"/>
  <c r="S616" i="34"/>
  <c r="M615" i="34"/>
  <c r="I615" i="34"/>
  <c r="N615" i="34"/>
  <c r="S615" i="34"/>
  <c r="M614" i="34"/>
  <c r="I614" i="34"/>
  <c r="N614" i="34"/>
  <c r="S614" i="34"/>
  <c r="M613" i="34"/>
  <c r="I613" i="34"/>
  <c r="N613" i="34"/>
  <c r="S613" i="34"/>
  <c r="S612" i="34"/>
  <c r="M611" i="34"/>
  <c r="I611" i="34"/>
  <c r="N611" i="34"/>
  <c r="S611" i="34"/>
  <c r="M610" i="34"/>
  <c r="I610" i="34"/>
  <c r="N610" i="34"/>
  <c r="S610" i="34"/>
  <c r="M609" i="34"/>
  <c r="I609" i="34"/>
  <c r="N609" i="34"/>
  <c r="S609" i="34"/>
  <c r="M608" i="34"/>
  <c r="I608" i="34"/>
  <c r="N608" i="34"/>
  <c r="S608" i="34"/>
  <c r="M607" i="34"/>
  <c r="I607" i="34"/>
  <c r="N607" i="34"/>
  <c r="S607" i="34"/>
  <c r="S606" i="34"/>
  <c r="M605" i="34"/>
  <c r="I605" i="34"/>
  <c r="N605" i="34"/>
  <c r="S605" i="34"/>
  <c r="M604" i="34"/>
  <c r="I604" i="34"/>
  <c r="N604" i="34"/>
  <c r="S604" i="34"/>
  <c r="M603" i="34"/>
  <c r="I603" i="34"/>
  <c r="N603" i="34"/>
  <c r="S603" i="34"/>
  <c r="M602" i="34"/>
  <c r="I602" i="34"/>
  <c r="N602" i="34"/>
  <c r="S602" i="34"/>
  <c r="M601" i="34"/>
  <c r="I601" i="34"/>
  <c r="N601" i="34"/>
  <c r="S601" i="34"/>
  <c r="M600" i="34"/>
  <c r="I600" i="34"/>
  <c r="N600" i="34"/>
  <c r="S600" i="34"/>
  <c r="M599" i="34"/>
  <c r="I599" i="34"/>
  <c r="N599" i="34"/>
  <c r="S599" i="34"/>
  <c r="S598" i="34"/>
  <c r="M597" i="34"/>
  <c r="I597" i="34"/>
  <c r="N597" i="34"/>
  <c r="S597" i="34"/>
  <c r="M596" i="34"/>
  <c r="I596" i="34"/>
  <c r="N596" i="34"/>
  <c r="S596" i="34"/>
  <c r="M595" i="34"/>
  <c r="I595" i="34"/>
  <c r="N595" i="34"/>
  <c r="S595" i="34"/>
  <c r="S594" i="34"/>
  <c r="M593" i="34"/>
  <c r="I593" i="34"/>
  <c r="N593" i="34"/>
  <c r="S593" i="34"/>
  <c r="M592" i="34"/>
  <c r="I592" i="34"/>
  <c r="N592" i="34"/>
  <c r="S592" i="34"/>
  <c r="M591" i="34"/>
  <c r="I591" i="34"/>
  <c r="N591" i="34"/>
  <c r="S591" i="34"/>
  <c r="M590" i="34"/>
  <c r="I590" i="34"/>
  <c r="N590" i="34"/>
  <c r="S590" i="34"/>
  <c r="M589" i="34"/>
  <c r="I589" i="34"/>
  <c r="N589" i="34"/>
  <c r="S589" i="34"/>
  <c r="M588" i="34"/>
  <c r="I588" i="34"/>
  <c r="N588" i="34"/>
  <c r="S588" i="34"/>
  <c r="M587" i="34"/>
  <c r="I587" i="34"/>
  <c r="N587" i="34"/>
  <c r="S587" i="34"/>
  <c r="M586" i="34"/>
  <c r="I586" i="34"/>
  <c r="N586" i="34"/>
  <c r="S586" i="34"/>
  <c r="M585" i="34"/>
  <c r="I585" i="34"/>
  <c r="N585" i="34"/>
  <c r="S585" i="34"/>
  <c r="M584" i="34"/>
  <c r="I584" i="34"/>
  <c r="N584" i="34"/>
  <c r="S584" i="34"/>
  <c r="M583" i="34"/>
  <c r="I583" i="34"/>
  <c r="N583" i="34"/>
  <c r="S583" i="34"/>
  <c r="S582" i="34"/>
  <c r="M581" i="34"/>
  <c r="I581" i="34"/>
  <c r="N581" i="34"/>
  <c r="S581" i="34"/>
  <c r="M580" i="34"/>
  <c r="I580" i="34"/>
  <c r="N580" i="34"/>
  <c r="S580" i="34"/>
  <c r="M579" i="34"/>
  <c r="I579" i="34"/>
  <c r="N579" i="34"/>
  <c r="S579" i="34"/>
  <c r="M578" i="34"/>
  <c r="I578" i="34"/>
  <c r="N578" i="34"/>
  <c r="S578" i="34"/>
  <c r="S577" i="34"/>
  <c r="M576" i="34"/>
  <c r="I576" i="34"/>
  <c r="N576" i="34"/>
  <c r="S576" i="34"/>
  <c r="M575" i="34"/>
  <c r="I575" i="34"/>
  <c r="N575" i="34"/>
  <c r="S575" i="34"/>
  <c r="M574" i="34"/>
  <c r="I574" i="34"/>
  <c r="N574" i="34"/>
  <c r="S574" i="34"/>
  <c r="S573" i="34"/>
  <c r="M572" i="34"/>
  <c r="I572" i="34"/>
  <c r="N572" i="34"/>
  <c r="S572" i="34"/>
  <c r="S571" i="34"/>
  <c r="M570" i="34"/>
  <c r="I570" i="34"/>
  <c r="N570" i="34"/>
  <c r="S570" i="34"/>
  <c r="M569" i="34"/>
  <c r="I569" i="34"/>
  <c r="N569" i="34"/>
  <c r="S569" i="34"/>
  <c r="M568" i="34"/>
  <c r="I568" i="34"/>
  <c r="N568" i="34"/>
  <c r="S568" i="34"/>
  <c r="M567" i="34"/>
  <c r="I567" i="34"/>
  <c r="N567" i="34"/>
  <c r="S567" i="34"/>
  <c r="M566" i="34"/>
  <c r="I566" i="34"/>
  <c r="N566" i="34"/>
  <c r="S566" i="34"/>
  <c r="M565" i="34"/>
  <c r="I565" i="34"/>
  <c r="N565" i="34"/>
  <c r="S565" i="34"/>
  <c r="S564" i="34"/>
  <c r="M563" i="34"/>
  <c r="I563" i="34"/>
  <c r="N563" i="34"/>
  <c r="S563" i="34"/>
  <c r="S562" i="34"/>
  <c r="M561" i="34"/>
  <c r="I561" i="34"/>
  <c r="N561" i="34"/>
  <c r="S561" i="34"/>
  <c r="M560" i="34"/>
  <c r="I560" i="34"/>
  <c r="N560" i="34"/>
  <c r="S560" i="34"/>
  <c r="M559" i="34"/>
  <c r="I559" i="34"/>
  <c r="N559" i="34"/>
  <c r="S559" i="34"/>
  <c r="M558" i="34"/>
  <c r="I558" i="34"/>
  <c r="N558" i="34"/>
  <c r="S558" i="34"/>
  <c r="M557" i="34"/>
  <c r="I557" i="34"/>
  <c r="N557" i="34"/>
  <c r="S557" i="34"/>
  <c r="M556" i="34"/>
  <c r="I556" i="34"/>
  <c r="N556" i="34"/>
  <c r="S556" i="34"/>
  <c r="S555" i="34"/>
  <c r="S554" i="34"/>
  <c r="M553" i="34"/>
  <c r="I553" i="34"/>
  <c r="N553" i="34"/>
  <c r="S553" i="34"/>
  <c r="M552" i="34"/>
  <c r="I552" i="34"/>
  <c r="N552" i="34"/>
  <c r="S552" i="34"/>
  <c r="M551" i="34"/>
  <c r="I551" i="34"/>
  <c r="N551" i="34"/>
  <c r="S551" i="34"/>
  <c r="M550" i="34"/>
  <c r="I550" i="34"/>
  <c r="N550" i="34"/>
  <c r="S550" i="34"/>
  <c r="M549" i="34"/>
  <c r="I549" i="34"/>
  <c r="N549" i="34"/>
  <c r="S549" i="34"/>
  <c r="M548" i="34"/>
  <c r="I548" i="34"/>
  <c r="N548" i="34"/>
  <c r="S548" i="34"/>
  <c r="M547" i="34"/>
  <c r="I547" i="34"/>
  <c r="N547" i="34"/>
  <c r="S547" i="34"/>
  <c r="M546" i="34"/>
  <c r="I546" i="34"/>
  <c r="N546" i="34"/>
  <c r="S546" i="34"/>
  <c r="S545" i="34"/>
  <c r="M544" i="34"/>
  <c r="I544" i="34"/>
  <c r="N544" i="34"/>
  <c r="S544" i="34"/>
  <c r="M543" i="34"/>
  <c r="I543" i="34"/>
  <c r="N543" i="34"/>
  <c r="S543" i="34"/>
  <c r="S542" i="34"/>
  <c r="M541" i="34"/>
  <c r="I541" i="34"/>
  <c r="N541" i="34"/>
  <c r="S541" i="34"/>
  <c r="S540" i="34"/>
  <c r="S539" i="34"/>
  <c r="M538" i="34"/>
  <c r="I538" i="34"/>
  <c r="N538" i="34"/>
  <c r="S538" i="34"/>
  <c r="M537" i="34"/>
  <c r="I537" i="34"/>
  <c r="N537" i="34"/>
  <c r="S537" i="34"/>
  <c r="M536" i="34"/>
  <c r="I536" i="34"/>
  <c r="N536" i="34"/>
  <c r="S536" i="34"/>
  <c r="M535" i="34"/>
  <c r="I535" i="34"/>
  <c r="N535" i="34"/>
  <c r="S535" i="34"/>
  <c r="M534" i="34"/>
  <c r="I534" i="34"/>
  <c r="N534" i="34"/>
  <c r="S534" i="34"/>
  <c r="S533" i="34"/>
  <c r="M532" i="34"/>
  <c r="I532" i="34"/>
  <c r="N532" i="34"/>
  <c r="S532" i="34"/>
  <c r="M531" i="34"/>
  <c r="I531" i="34"/>
  <c r="N531" i="34"/>
  <c r="S531" i="34"/>
  <c r="M530" i="34"/>
  <c r="I530" i="34"/>
  <c r="N530" i="34"/>
  <c r="S530" i="34"/>
  <c r="M529" i="34"/>
  <c r="I529" i="34"/>
  <c r="N529" i="34"/>
  <c r="S529" i="34"/>
  <c r="M528" i="34"/>
  <c r="I528" i="34"/>
  <c r="N528" i="34"/>
  <c r="S528" i="34"/>
  <c r="M527" i="34"/>
  <c r="I527" i="34"/>
  <c r="N527" i="34"/>
  <c r="S527" i="34"/>
  <c r="S526" i="34"/>
  <c r="M525" i="34"/>
  <c r="I525" i="34"/>
  <c r="N525" i="34"/>
  <c r="S525" i="34"/>
  <c r="M524" i="34"/>
  <c r="I524" i="34"/>
  <c r="N524" i="34"/>
  <c r="S524" i="34"/>
  <c r="S523" i="34"/>
  <c r="M522" i="34"/>
  <c r="I522" i="34"/>
  <c r="N522" i="34"/>
  <c r="S522" i="34"/>
  <c r="S521" i="34"/>
  <c r="M520" i="34"/>
  <c r="I520" i="34"/>
  <c r="N520" i="34"/>
  <c r="S520" i="34"/>
  <c r="M519" i="34"/>
  <c r="I519" i="34"/>
  <c r="N519" i="34"/>
  <c r="S519" i="34"/>
  <c r="M518" i="34"/>
  <c r="I518" i="34"/>
  <c r="N518" i="34"/>
  <c r="S518" i="34"/>
  <c r="S517" i="34"/>
  <c r="S516" i="34"/>
  <c r="M515" i="34"/>
  <c r="I515" i="34"/>
  <c r="N515" i="34"/>
  <c r="S515" i="34"/>
  <c r="M514" i="34"/>
  <c r="I514" i="34"/>
  <c r="N514" i="34"/>
  <c r="S514" i="34"/>
  <c r="M513" i="34"/>
  <c r="I513" i="34"/>
  <c r="N513" i="34"/>
  <c r="S513" i="34"/>
  <c r="S512" i="34"/>
  <c r="M511" i="34"/>
  <c r="I511" i="34"/>
  <c r="N511" i="34"/>
  <c r="S511" i="34"/>
  <c r="M510" i="34"/>
  <c r="I510" i="34"/>
  <c r="N510" i="34"/>
  <c r="S510" i="34"/>
  <c r="M509" i="34"/>
  <c r="I509" i="34"/>
  <c r="N509" i="34"/>
  <c r="S509" i="34"/>
  <c r="M508" i="34"/>
  <c r="I508" i="34"/>
  <c r="N508" i="34"/>
  <c r="S508" i="34"/>
  <c r="M507" i="34"/>
  <c r="I507" i="34"/>
  <c r="N507" i="34"/>
  <c r="S507" i="34"/>
  <c r="M506" i="34"/>
  <c r="I506" i="34"/>
  <c r="N506" i="34"/>
  <c r="S506" i="34"/>
  <c r="M505" i="34"/>
  <c r="I505" i="34"/>
  <c r="N505" i="34"/>
  <c r="S505" i="34"/>
  <c r="M504" i="34"/>
  <c r="I504" i="34"/>
  <c r="N504" i="34"/>
  <c r="S504" i="34"/>
  <c r="M503" i="34"/>
  <c r="I503" i="34"/>
  <c r="N503" i="34"/>
  <c r="S503" i="34"/>
  <c r="S502" i="34"/>
  <c r="M501" i="34"/>
  <c r="I501" i="34"/>
  <c r="N501" i="34"/>
  <c r="S501" i="34"/>
  <c r="M500" i="34"/>
  <c r="I500" i="34"/>
  <c r="N500" i="34"/>
  <c r="S500" i="34"/>
  <c r="S499" i="34"/>
  <c r="M498" i="34"/>
  <c r="I498" i="34"/>
  <c r="N498" i="34"/>
  <c r="S498" i="34"/>
  <c r="M497" i="34"/>
  <c r="I497" i="34"/>
  <c r="N497" i="34"/>
  <c r="S497" i="34"/>
  <c r="M496" i="34"/>
  <c r="I496" i="34"/>
  <c r="N496" i="34"/>
  <c r="S496" i="34"/>
  <c r="M495" i="34"/>
  <c r="I495" i="34"/>
  <c r="N495" i="34"/>
  <c r="S495" i="34"/>
  <c r="S494" i="34"/>
  <c r="M493" i="34"/>
  <c r="I493" i="34"/>
  <c r="N493" i="34"/>
  <c r="S493" i="34"/>
  <c r="M492" i="34"/>
  <c r="I492" i="34"/>
  <c r="N492" i="34"/>
  <c r="S492" i="34"/>
  <c r="M491" i="34"/>
  <c r="I491" i="34"/>
  <c r="N491" i="34"/>
  <c r="S491" i="34"/>
  <c r="M490" i="34"/>
  <c r="I490" i="34"/>
  <c r="N490" i="34"/>
  <c r="S490" i="34"/>
  <c r="M489" i="34"/>
  <c r="I489" i="34"/>
  <c r="N489" i="34"/>
  <c r="S489" i="34"/>
  <c r="M488" i="34"/>
  <c r="I488" i="34"/>
  <c r="N488" i="34"/>
  <c r="S488" i="34"/>
  <c r="M487" i="34"/>
  <c r="I487" i="34"/>
  <c r="N487" i="34"/>
  <c r="S487" i="34"/>
  <c r="S486" i="34"/>
  <c r="M485" i="34"/>
  <c r="I485" i="34"/>
  <c r="N485" i="34"/>
  <c r="S485" i="34"/>
  <c r="M484" i="34"/>
  <c r="I484" i="34"/>
  <c r="N484" i="34"/>
  <c r="S484" i="34"/>
  <c r="M483" i="34"/>
  <c r="I483" i="34"/>
  <c r="N483" i="34"/>
  <c r="S483" i="34"/>
  <c r="M482" i="34"/>
  <c r="I482" i="34"/>
  <c r="N482" i="34"/>
  <c r="S482" i="34"/>
  <c r="M481" i="34"/>
  <c r="I481" i="34"/>
  <c r="N481" i="34"/>
  <c r="S481" i="34"/>
  <c r="M480" i="34"/>
  <c r="I480" i="34"/>
  <c r="N480" i="34"/>
  <c r="S480" i="34"/>
  <c r="M479" i="34"/>
  <c r="I479" i="34"/>
  <c r="N479" i="34"/>
  <c r="S479" i="34"/>
  <c r="M478" i="34"/>
  <c r="I478" i="34"/>
  <c r="N478" i="34"/>
  <c r="S478" i="34"/>
  <c r="M477" i="34"/>
  <c r="I477" i="34"/>
  <c r="N477" i="34"/>
  <c r="S477" i="34"/>
  <c r="M476" i="34"/>
  <c r="I476" i="34"/>
  <c r="N476" i="34"/>
  <c r="S476" i="34"/>
  <c r="M475" i="34"/>
  <c r="I475" i="34"/>
  <c r="N475" i="34"/>
  <c r="S475" i="34"/>
  <c r="S474" i="34"/>
  <c r="M473" i="34"/>
  <c r="I473" i="34"/>
  <c r="N473" i="34"/>
  <c r="S473" i="34"/>
  <c r="M472" i="34"/>
  <c r="I472" i="34"/>
  <c r="N472" i="34"/>
  <c r="S472" i="34"/>
  <c r="M471" i="34"/>
  <c r="I471" i="34"/>
  <c r="N471" i="34"/>
  <c r="S471" i="34"/>
  <c r="M470" i="34"/>
  <c r="I470" i="34"/>
  <c r="N470" i="34"/>
  <c r="S470" i="34"/>
  <c r="M469" i="34"/>
  <c r="I469" i="34"/>
  <c r="N469" i="34"/>
  <c r="S469" i="34"/>
  <c r="M468" i="34"/>
  <c r="I468" i="34"/>
  <c r="N468" i="34"/>
  <c r="S468" i="34"/>
  <c r="M467" i="34"/>
  <c r="I467" i="34"/>
  <c r="N467" i="34"/>
  <c r="S467" i="34"/>
  <c r="S466" i="34"/>
  <c r="M465" i="34"/>
  <c r="I465" i="34"/>
  <c r="N465" i="34"/>
  <c r="S465" i="34"/>
  <c r="M464" i="34"/>
  <c r="I464" i="34"/>
  <c r="N464" i="34"/>
  <c r="S464" i="34"/>
  <c r="S463" i="34"/>
  <c r="M462" i="34"/>
  <c r="I462" i="34"/>
  <c r="N462" i="34"/>
  <c r="S462" i="34"/>
  <c r="M461" i="34"/>
  <c r="I461" i="34"/>
  <c r="N461" i="34"/>
  <c r="S461" i="34"/>
  <c r="M460" i="34"/>
  <c r="I460" i="34"/>
  <c r="N460" i="34"/>
  <c r="S460" i="34"/>
  <c r="S459" i="34"/>
  <c r="M458" i="34"/>
  <c r="I458" i="34"/>
  <c r="N458" i="34"/>
  <c r="S458" i="34"/>
  <c r="M457" i="34"/>
  <c r="I457" i="34"/>
  <c r="N457" i="34"/>
  <c r="S457" i="34"/>
  <c r="M456" i="34"/>
  <c r="I456" i="34"/>
  <c r="N456" i="34"/>
  <c r="S456" i="34"/>
  <c r="M455" i="34"/>
  <c r="I455" i="34"/>
  <c r="N455" i="34"/>
  <c r="S455" i="34"/>
  <c r="M454" i="34"/>
  <c r="I454" i="34"/>
  <c r="N454" i="34"/>
  <c r="S454" i="34"/>
  <c r="M453" i="34"/>
  <c r="I453" i="34"/>
  <c r="N453" i="34"/>
  <c r="S453" i="34"/>
  <c r="M452" i="34"/>
  <c r="I452" i="34"/>
  <c r="N452" i="34"/>
  <c r="S452" i="34"/>
  <c r="M451" i="34"/>
  <c r="I451" i="34"/>
  <c r="N451" i="34"/>
  <c r="S451" i="34"/>
  <c r="M450" i="34"/>
  <c r="I450" i="34"/>
  <c r="N450" i="34"/>
  <c r="S450" i="34"/>
  <c r="M449" i="34"/>
  <c r="I449" i="34"/>
  <c r="N449" i="34"/>
  <c r="S449" i="34"/>
  <c r="M448" i="34"/>
  <c r="I448" i="34"/>
  <c r="N448" i="34"/>
  <c r="S448" i="34"/>
  <c r="S447" i="34"/>
  <c r="M446" i="34"/>
  <c r="I446" i="34"/>
  <c r="N446" i="34"/>
  <c r="S446" i="34"/>
  <c r="M445" i="34"/>
  <c r="I445" i="34"/>
  <c r="N445" i="34"/>
  <c r="S445" i="34"/>
  <c r="M444" i="34"/>
  <c r="I444" i="34"/>
  <c r="N444" i="34"/>
  <c r="S444" i="34"/>
  <c r="M443" i="34"/>
  <c r="I443" i="34"/>
  <c r="N443" i="34"/>
  <c r="S443" i="34"/>
  <c r="M442" i="34"/>
  <c r="I442" i="34"/>
  <c r="N442" i="34"/>
  <c r="S442" i="34"/>
  <c r="M441" i="34"/>
  <c r="I441" i="34"/>
  <c r="N441" i="34"/>
  <c r="S441" i="34"/>
  <c r="M440" i="34"/>
  <c r="I440" i="34"/>
  <c r="N440" i="34"/>
  <c r="S440" i="34"/>
  <c r="M439" i="34"/>
  <c r="I439" i="34"/>
  <c r="N439" i="34"/>
  <c r="S439" i="34"/>
  <c r="M438" i="34"/>
  <c r="I438" i="34"/>
  <c r="N438" i="34"/>
  <c r="S438" i="34"/>
  <c r="M437" i="34"/>
  <c r="I437" i="34"/>
  <c r="N437" i="34"/>
  <c r="S437" i="34"/>
  <c r="S436" i="34"/>
  <c r="M435" i="34"/>
  <c r="I435" i="34"/>
  <c r="N435" i="34"/>
  <c r="S435" i="34"/>
  <c r="M434" i="34"/>
  <c r="I434" i="34"/>
  <c r="N434" i="34"/>
  <c r="S434" i="34"/>
  <c r="M433" i="34"/>
  <c r="I433" i="34"/>
  <c r="N433" i="34"/>
  <c r="S433" i="34"/>
  <c r="M432" i="34"/>
  <c r="I432" i="34"/>
  <c r="N432" i="34"/>
  <c r="S432" i="34"/>
  <c r="M431" i="34"/>
  <c r="I431" i="34"/>
  <c r="N431" i="34"/>
  <c r="S431" i="34"/>
  <c r="M430" i="34"/>
  <c r="I430" i="34"/>
  <c r="N430" i="34"/>
  <c r="S430" i="34"/>
  <c r="M429" i="34"/>
  <c r="I429" i="34"/>
  <c r="N429" i="34"/>
  <c r="S429" i="34"/>
  <c r="M428" i="34"/>
  <c r="I428" i="34"/>
  <c r="N428" i="34"/>
  <c r="S428" i="34"/>
  <c r="S427" i="34"/>
  <c r="M426" i="34"/>
  <c r="I426" i="34"/>
  <c r="N426" i="34"/>
  <c r="S426" i="34"/>
  <c r="M425" i="34"/>
  <c r="I425" i="34"/>
  <c r="N425" i="34"/>
  <c r="S425" i="34"/>
  <c r="M424" i="34"/>
  <c r="I424" i="34"/>
  <c r="N424" i="34"/>
  <c r="S424" i="34"/>
  <c r="M423" i="34"/>
  <c r="I423" i="34"/>
  <c r="N423" i="34"/>
  <c r="S423" i="34"/>
  <c r="S422" i="34"/>
  <c r="M421" i="34"/>
  <c r="I421" i="34"/>
  <c r="N421" i="34"/>
  <c r="S421" i="34"/>
  <c r="M420" i="34"/>
  <c r="I420" i="34"/>
  <c r="N420" i="34"/>
  <c r="S420" i="34"/>
  <c r="S419" i="34"/>
  <c r="M418" i="34"/>
  <c r="I418" i="34"/>
  <c r="N418" i="34"/>
  <c r="S418" i="34"/>
  <c r="M417" i="34"/>
  <c r="I417" i="34"/>
  <c r="N417" i="34"/>
  <c r="S417" i="34"/>
  <c r="M416" i="34"/>
  <c r="I416" i="34"/>
  <c r="N416" i="34"/>
  <c r="S416" i="34"/>
  <c r="M415" i="34"/>
  <c r="I415" i="34"/>
  <c r="N415" i="34"/>
  <c r="S415" i="34"/>
  <c r="M414" i="34"/>
  <c r="I414" i="34"/>
  <c r="N414" i="34"/>
  <c r="S414" i="34"/>
  <c r="S413" i="34"/>
  <c r="M412" i="34"/>
  <c r="I412" i="34"/>
  <c r="N412" i="34"/>
  <c r="S412" i="34"/>
  <c r="S411" i="34"/>
  <c r="M410" i="34"/>
  <c r="I410" i="34"/>
  <c r="N410" i="34"/>
  <c r="S410" i="34"/>
  <c r="M409" i="34"/>
  <c r="I409" i="34"/>
  <c r="N409" i="34"/>
  <c r="S409" i="34"/>
  <c r="M408" i="34"/>
  <c r="I408" i="34"/>
  <c r="N408" i="34"/>
  <c r="S408" i="34"/>
  <c r="M407" i="34"/>
  <c r="I407" i="34"/>
  <c r="N407" i="34"/>
  <c r="S407" i="34"/>
  <c r="M406" i="34"/>
  <c r="I406" i="34"/>
  <c r="N406" i="34"/>
  <c r="S406" i="34"/>
  <c r="S405" i="34"/>
  <c r="M404" i="34"/>
  <c r="I404" i="34"/>
  <c r="N404" i="34"/>
  <c r="S404" i="34"/>
  <c r="M403" i="34"/>
  <c r="I403" i="34"/>
  <c r="N403" i="34"/>
  <c r="S403" i="34"/>
  <c r="M402" i="34"/>
  <c r="I402" i="34"/>
  <c r="N402" i="34"/>
  <c r="S402" i="34"/>
  <c r="M401" i="34"/>
  <c r="I401" i="34"/>
  <c r="N401" i="34"/>
  <c r="S401" i="34"/>
  <c r="S400" i="34"/>
  <c r="M399" i="34"/>
  <c r="I399" i="34"/>
  <c r="N399" i="34"/>
  <c r="S399" i="34"/>
  <c r="M398" i="34"/>
  <c r="I398" i="34"/>
  <c r="N398" i="34"/>
  <c r="S398" i="34"/>
  <c r="M397" i="34"/>
  <c r="I397" i="34"/>
  <c r="N397" i="34"/>
  <c r="S397" i="34"/>
  <c r="S396" i="34"/>
  <c r="M395" i="34"/>
  <c r="I395" i="34"/>
  <c r="N395" i="34"/>
  <c r="S395" i="34"/>
  <c r="M394" i="34"/>
  <c r="I394" i="34"/>
  <c r="N394" i="34"/>
  <c r="S394" i="34"/>
  <c r="M393" i="34"/>
  <c r="I393" i="34"/>
  <c r="N393" i="34"/>
  <c r="S393" i="34"/>
  <c r="S392" i="34"/>
  <c r="M391" i="34"/>
  <c r="I391" i="34"/>
  <c r="N391" i="34"/>
  <c r="S391" i="34"/>
  <c r="M390" i="34"/>
  <c r="I390" i="34"/>
  <c r="N390" i="34"/>
  <c r="S390" i="34"/>
  <c r="M389" i="34"/>
  <c r="I389" i="34"/>
  <c r="N389" i="34"/>
  <c r="S389" i="34"/>
  <c r="M388" i="34"/>
  <c r="I388" i="34"/>
  <c r="N388" i="34"/>
  <c r="S388" i="34"/>
  <c r="S387" i="34"/>
  <c r="M386" i="34"/>
  <c r="I386" i="34"/>
  <c r="N386" i="34"/>
  <c r="S386" i="34"/>
  <c r="M385" i="34"/>
  <c r="I385" i="34"/>
  <c r="N385" i="34"/>
  <c r="S385" i="34"/>
  <c r="M384" i="34"/>
  <c r="I384" i="34"/>
  <c r="N384" i="34"/>
  <c r="S384" i="34"/>
  <c r="M383" i="34"/>
  <c r="I383" i="34"/>
  <c r="N383" i="34"/>
  <c r="S383" i="34"/>
  <c r="M382" i="34"/>
  <c r="I382" i="34"/>
  <c r="N382" i="34"/>
  <c r="S382" i="34"/>
  <c r="M381" i="34"/>
  <c r="I381" i="34"/>
  <c r="N381" i="34"/>
  <c r="S381" i="34"/>
  <c r="M380" i="34"/>
  <c r="I380" i="34"/>
  <c r="N380" i="34"/>
  <c r="S380" i="34"/>
  <c r="M379" i="34"/>
  <c r="I379" i="34"/>
  <c r="N379" i="34"/>
  <c r="S379" i="34"/>
  <c r="S378" i="34"/>
  <c r="M377" i="34"/>
  <c r="I377" i="34"/>
  <c r="N377" i="34"/>
  <c r="S377" i="34"/>
  <c r="M376" i="34"/>
  <c r="I376" i="34"/>
  <c r="N376" i="34"/>
  <c r="S376" i="34"/>
  <c r="S375" i="34"/>
  <c r="M374" i="34"/>
  <c r="I374" i="34"/>
  <c r="N374" i="34"/>
  <c r="S374" i="34"/>
  <c r="M373" i="34"/>
  <c r="I373" i="34"/>
  <c r="N373" i="34"/>
  <c r="S373" i="34"/>
  <c r="S372" i="34"/>
  <c r="M371" i="34"/>
  <c r="I371" i="34"/>
  <c r="N371" i="34"/>
  <c r="S371" i="34"/>
  <c r="M370" i="34"/>
  <c r="I370" i="34"/>
  <c r="N370" i="34"/>
  <c r="S370" i="34"/>
  <c r="M369" i="34"/>
  <c r="I369" i="34"/>
  <c r="N369" i="34"/>
  <c r="S369" i="34"/>
  <c r="M368" i="34"/>
  <c r="I368" i="34"/>
  <c r="N368" i="34"/>
  <c r="S368" i="34"/>
  <c r="M367" i="34"/>
  <c r="I367" i="34"/>
  <c r="N367" i="34"/>
  <c r="S367" i="34"/>
  <c r="M366" i="34"/>
  <c r="I366" i="34"/>
  <c r="N366" i="34"/>
  <c r="S366" i="34"/>
  <c r="M365" i="34"/>
  <c r="I365" i="34"/>
  <c r="N365" i="34"/>
  <c r="S365" i="34"/>
  <c r="M364" i="34"/>
  <c r="I364" i="34"/>
  <c r="N364" i="34"/>
  <c r="S364" i="34"/>
  <c r="M363" i="34"/>
  <c r="I363" i="34"/>
  <c r="N363" i="34"/>
  <c r="S363" i="34"/>
  <c r="S362" i="34"/>
  <c r="M361" i="34"/>
  <c r="I361" i="34"/>
  <c r="N361" i="34"/>
  <c r="S361" i="34"/>
  <c r="M360" i="34"/>
  <c r="I360" i="34"/>
  <c r="N360" i="34"/>
  <c r="S360" i="34"/>
  <c r="M359" i="34"/>
  <c r="I359" i="34"/>
  <c r="N359" i="34"/>
  <c r="S359" i="34"/>
  <c r="S358" i="34"/>
  <c r="M357" i="34"/>
  <c r="I357" i="34"/>
  <c r="N357" i="34"/>
  <c r="S357" i="34"/>
  <c r="M356" i="34"/>
  <c r="I356" i="34"/>
  <c r="N356" i="34"/>
  <c r="S356" i="34"/>
  <c r="M355" i="34"/>
  <c r="I355" i="34"/>
  <c r="N355" i="34"/>
  <c r="S355" i="34"/>
  <c r="M354" i="34"/>
  <c r="I354" i="34"/>
  <c r="N354" i="34"/>
  <c r="S354" i="34"/>
  <c r="M353" i="34"/>
  <c r="I353" i="34"/>
  <c r="N353" i="34"/>
  <c r="S353" i="34"/>
  <c r="S352" i="34"/>
  <c r="M351" i="34"/>
  <c r="I351" i="34"/>
  <c r="N351" i="34"/>
  <c r="S351" i="34"/>
  <c r="M350" i="34"/>
  <c r="I350" i="34"/>
  <c r="N350" i="34"/>
  <c r="S350" i="34"/>
  <c r="M349" i="34"/>
  <c r="I349" i="34"/>
  <c r="N349" i="34"/>
  <c r="S349" i="34"/>
  <c r="S348" i="34"/>
  <c r="M347" i="34"/>
  <c r="I347" i="34"/>
  <c r="N347" i="34"/>
  <c r="S347" i="34"/>
  <c r="M346" i="34"/>
  <c r="I346" i="34"/>
  <c r="N346" i="34"/>
  <c r="S346" i="34"/>
  <c r="M345" i="34"/>
  <c r="I345" i="34"/>
  <c r="N345" i="34"/>
  <c r="S345" i="34"/>
  <c r="S344" i="34"/>
  <c r="S343" i="34"/>
  <c r="M342" i="34"/>
  <c r="I342" i="34"/>
  <c r="N342" i="34"/>
  <c r="S342" i="34"/>
  <c r="M341" i="34"/>
  <c r="I341" i="34"/>
  <c r="N341" i="34"/>
  <c r="S341" i="34"/>
  <c r="M340" i="34"/>
  <c r="I340" i="34"/>
  <c r="N340" i="34"/>
  <c r="S340" i="34"/>
  <c r="M339" i="34"/>
  <c r="I339" i="34"/>
  <c r="N339" i="34"/>
  <c r="S339" i="34"/>
  <c r="S338" i="34"/>
  <c r="M337" i="34"/>
  <c r="I337" i="34"/>
  <c r="N337" i="34"/>
  <c r="S337" i="34"/>
  <c r="M336" i="34"/>
  <c r="I336" i="34"/>
  <c r="N336" i="34"/>
  <c r="S336" i="34"/>
  <c r="M335" i="34"/>
  <c r="I335" i="34"/>
  <c r="N335" i="34"/>
  <c r="S335" i="34"/>
  <c r="M334" i="34"/>
  <c r="I334" i="34"/>
  <c r="N334" i="34"/>
  <c r="S334" i="34"/>
  <c r="M333" i="34"/>
  <c r="I333" i="34"/>
  <c r="N333" i="34"/>
  <c r="S333" i="34"/>
  <c r="M332" i="34"/>
  <c r="I332" i="34"/>
  <c r="N332" i="34"/>
  <c r="S332" i="34"/>
  <c r="M331" i="34"/>
  <c r="I331" i="34"/>
  <c r="N331" i="34"/>
  <c r="S331" i="34"/>
  <c r="M330" i="34"/>
  <c r="I330" i="34"/>
  <c r="N330" i="34"/>
  <c r="S330" i="34"/>
  <c r="M329" i="34"/>
  <c r="I329" i="34"/>
  <c r="N329" i="34"/>
  <c r="S329" i="34"/>
  <c r="S328" i="34"/>
  <c r="M327" i="34"/>
  <c r="I327" i="34"/>
  <c r="N327" i="34"/>
  <c r="S327" i="34"/>
  <c r="M326" i="34"/>
  <c r="I326" i="34"/>
  <c r="N326" i="34"/>
  <c r="S326" i="34"/>
  <c r="S325" i="34"/>
  <c r="M324" i="34"/>
  <c r="I324" i="34"/>
  <c r="N324" i="34"/>
  <c r="S324" i="34"/>
  <c r="M323" i="34"/>
  <c r="I323" i="34"/>
  <c r="N323" i="34"/>
  <c r="S323" i="34"/>
  <c r="M322" i="34"/>
  <c r="I322" i="34"/>
  <c r="N322" i="34"/>
  <c r="S322" i="34"/>
  <c r="M321" i="34"/>
  <c r="I321" i="34"/>
  <c r="N321" i="34"/>
  <c r="S321" i="34"/>
  <c r="M320" i="34"/>
  <c r="I320" i="34"/>
  <c r="N320" i="34"/>
  <c r="S320" i="34"/>
  <c r="M319" i="34"/>
  <c r="I319" i="34"/>
  <c r="N319" i="34"/>
  <c r="S319" i="34"/>
  <c r="M318" i="34"/>
  <c r="I318" i="34"/>
  <c r="N318" i="34"/>
  <c r="S318" i="34"/>
  <c r="S317" i="34"/>
  <c r="S316" i="34"/>
  <c r="M315" i="34"/>
  <c r="I315" i="34"/>
  <c r="N315" i="34"/>
  <c r="S315" i="34"/>
  <c r="M314" i="34"/>
  <c r="I314" i="34"/>
  <c r="N314" i="34"/>
  <c r="S314" i="34"/>
  <c r="M313" i="34"/>
  <c r="I313" i="34"/>
  <c r="N313" i="34"/>
  <c r="S313" i="34"/>
  <c r="M312" i="34"/>
  <c r="I312" i="34"/>
  <c r="N312" i="34"/>
  <c r="S312" i="34"/>
  <c r="M311" i="34"/>
  <c r="I311" i="34"/>
  <c r="N311" i="34"/>
  <c r="S311" i="34"/>
  <c r="M310" i="34"/>
  <c r="I310" i="34"/>
  <c r="N310" i="34"/>
  <c r="S310" i="34"/>
  <c r="M309" i="34"/>
  <c r="I309" i="34"/>
  <c r="N309" i="34"/>
  <c r="S309" i="34"/>
  <c r="M308" i="34"/>
  <c r="I308" i="34"/>
  <c r="N308" i="34"/>
  <c r="S308" i="34"/>
  <c r="S307" i="34"/>
  <c r="M306" i="34"/>
  <c r="I306" i="34"/>
  <c r="N306" i="34"/>
  <c r="S306" i="34"/>
  <c r="M305" i="34"/>
  <c r="I305" i="34"/>
  <c r="N305" i="34"/>
  <c r="S305" i="34"/>
  <c r="S304" i="34"/>
  <c r="M303" i="34"/>
  <c r="I303" i="34"/>
  <c r="N303" i="34"/>
  <c r="S303" i="34"/>
  <c r="M302" i="34"/>
  <c r="I302" i="34"/>
  <c r="N302" i="34"/>
  <c r="S302" i="34"/>
  <c r="M301" i="34"/>
  <c r="I301" i="34"/>
  <c r="N301" i="34"/>
  <c r="S301" i="34"/>
  <c r="S300" i="34"/>
  <c r="M299" i="34"/>
  <c r="I299" i="34"/>
  <c r="N299" i="34"/>
  <c r="S299" i="34"/>
  <c r="M298" i="34"/>
  <c r="I298" i="34"/>
  <c r="N298" i="34"/>
  <c r="S298" i="34"/>
  <c r="S297" i="34"/>
  <c r="M296" i="34"/>
  <c r="I296" i="34"/>
  <c r="N296" i="34"/>
  <c r="S296" i="34"/>
  <c r="M295" i="34"/>
  <c r="I295" i="34"/>
  <c r="N295" i="34"/>
  <c r="S295" i="34"/>
  <c r="M294" i="34"/>
  <c r="I294" i="34"/>
  <c r="N294" i="34"/>
  <c r="S294" i="34"/>
  <c r="M293" i="34"/>
  <c r="I293" i="34"/>
  <c r="N293" i="34"/>
  <c r="S293" i="34"/>
  <c r="M292" i="34"/>
  <c r="I292" i="34"/>
  <c r="N292" i="34"/>
  <c r="S292" i="34"/>
  <c r="S291" i="34"/>
  <c r="M290" i="34"/>
  <c r="I290" i="34"/>
  <c r="N290" i="34"/>
  <c r="S290" i="34"/>
  <c r="M289" i="34"/>
  <c r="I289" i="34"/>
  <c r="N289" i="34"/>
  <c r="S289" i="34"/>
  <c r="M288" i="34"/>
  <c r="I288" i="34"/>
  <c r="N288" i="34"/>
  <c r="S288" i="34"/>
  <c r="S287" i="34"/>
  <c r="M286" i="34"/>
  <c r="I286" i="34"/>
  <c r="N286" i="34"/>
  <c r="S286" i="34"/>
  <c r="M285" i="34"/>
  <c r="I285" i="34"/>
  <c r="N285" i="34"/>
  <c r="S285" i="34"/>
  <c r="S284" i="34"/>
  <c r="M283" i="34"/>
  <c r="I283" i="34"/>
  <c r="N283" i="34"/>
  <c r="S283" i="34"/>
  <c r="M282" i="34"/>
  <c r="I282" i="34"/>
  <c r="N282" i="34"/>
  <c r="S282" i="34"/>
  <c r="M281" i="34"/>
  <c r="I281" i="34"/>
  <c r="N281" i="34"/>
  <c r="S281" i="34"/>
  <c r="S280" i="34"/>
  <c r="M279" i="34"/>
  <c r="I279" i="34"/>
  <c r="N279" i="34"/>
  <c r="S279" i="34"/>
  <c r="M278" i="34"/>
  <c r="I278" i="34"/>
  <c r="N278" i="34"/>
  <c r="S278" i="34"/>
  <c r="M277" i="34"/>
  <c r="I277" i="34"/>
  <c r="N277" i="34"/>
  <c r="S277" i="34"/>
  <c r="M276" i="34"/>
  <c r="I276" i="34"/>
  <c r="N276" i="34"/>
  <c r="S276" i="34"/>
  <c r="S275" i="34"/>
  <c r="M274" i="34"/>
  <c r="I274" i="34"/>
  <c r="N274" i="34"/>
  <c r="S274" i="34"/>
  <c r="M273" i="34"/>
  <c r="I273" i="34"/>
  <c r="N273" i="34"/>
  <c r="S273" i="34"/>
  <c r="M272" i="34"/>
  <c r="I272" i="34"/>
  <c r="N272" i="34"/>
  <c r="S272" i="34"/>
  <c r="M271" i="34"/>
  <c r="I271" i="34"/>
  <c r="N271" i="34"/>
  <c r="S271" i="34"/>
  <c r="M270" i="34"/>
  <c r="I270" i="34"/>
  <c r="N270" i="34"/>
  <c r="S270" i="34"/>
  <c r="M269" i="34"/>
  <c r="I269" i="34"/>
  <c r="N269" i="34"/>
  <c r="S269" i="34"/>
  <c r="M268" i="34"/>
  <c r="I268" i="34"/>
  <c r="N268" i="34"/>
  <c r="S268" i="34"/>
  <c r="M267" i="34"/>
  <c r="I267" i="34"/>
  <c r="N267" i="34"/>
  <c r="S267" i="34"/>
  <c r="M266" i="34"/>
  <c r="I266" i="34"/>
  <c r="N266" i="34"/>
  <c r="S266" i="34"/>
  <c r="M265" i="34"/>
  <c r="I265" i="34"/>
  <c r="N265" i="34"/>
  <c r="S265" i="34"/>
  <c r="M264" i="34"/>
  <c r="I264" i="34"/>
  <c r="N264" i="34"/>
  <c r="S264" i="34"/>
  <c r="M263" i="34"/>
  <c r="I263" i="34"/>
  <c r="N263" i="34"/>
  <c r="S263" i="34"/>
  <c r="S262" i="34"/>
  <c r="M261" i="34"/>
  <c r="I261" i="34"/>
  <c r="N261" i="34"/>
  <c r="S261" i="34"/>
  <c r="M260" i="34"/>
  <c r="I260" i="34"/>
  <c r="N260" i="34"/>
  <c r="S260" i="34"/>
  <c r="M259" i="34"/>
  <c r="I259" i="34"/>
  <c r="N259" i="34"/>
  <c r="S259" i="34"/>
  <c r="M258" i="34"/>
  <c r="I258" i="34"/>
  <c r="N258" i="34"/>
  <c r="S258" i="34"/>
  <c r="M257" i="34"/>
  <c r="I257" i="34"/>
  <c r="N257" i="34"/>
  <c r="S257" i="34"/>
  <c r="M256" i="34"/>
  <c r="I256" i="34"/>
  <c r="N256" i="34"/>
  <c r="S256" i="34"/>
  <c r="M255" i="34"/>
  <c r="I255" i="34"/>
  <c r="N255" i="34"/>
  <c r="S255" i="34"/>
  <c r="M254" i="34"/>
  <c r="I254" i="34"/>
  <c r="N254" i="34"/>
  <c r="S254" i="34"/>
  <c r="M253" i="34"/>
  <c r="I253" i="34"/>
  <c r="N253" i="34"/>
  <c r="S253" i="34"/>
  <c r="S252" i="34"/>
  <c r="M251" i="34"/>
  <c r="I251" i="34"/>
  <c r="N251" i="34"/>
  <c r="S251" i="34"/>
  <c r="S250" i="34"/>
  <c r="M249" i="34"/>
  <c r="I249" i="34"/>
  <c r="N249" i="34"/>
  <c r="S249" i="34"/>
  <c r="M248" i="34"/>
  <c r="I248" i="34"/>
  <c r="N248" i="34"/>
  <c r="S248" i="34"/>
  <c r="S247" i="34"/>
  <c r="M246" i="34"/>
  <c r="I246" i="34"/>
  <c r="N246" i="34"/>
  <c r="S246" i="34"/>
  <c r="M245" i="34"/>
  <c r="I245" i="34"/>
  <c r="N245" i="34"/>
  <c r="S245" i="34"/>
  <c r="M244" i="34"/>
  <c r="I244" i="34"/>
  <c r="N244" i="34"/>
  <c r="S244" i="34"/>
  <c r="M243" i="34"/>
  <c r="I243" i="34"/>
  <c r="N243" i="34"/>
  <c r="S243" i="34"/>
  <c r="M242" i="34"/>
  <c r="I242" i="34"/>
  <c r="N242" i="34"/>
  <c r="S242" i="34"/>
  <c r="S241" i="34"/>
  <c r="S240" i="34"/>
  <c r="M239" i="34"/>
  <c r="I239" i="34"/>
  <c r="N239" i="34"/>
  <c r="S239" i="34"/>
  <c r="M238" i="34"/>
  <c r="I238" i="34"/>
  <c r="N238" i="34"/>
  <c r="S238" i="34"/>
  <c r="M237" i="34"/>
  <c r="I237" i="34"/>
  <c r="N237" i="34"/>
  <c r="S237" i="34"/>
  <c r="M236" i="34"/>
  <c r="I236" i="34"/>
  <c r="N236" i="34"/>
  <c r="S236" i="34"/>
  <c r="M235" i="34"/>
  <c r="I235" i="34"/>
  <c r="N235" i="34"/>
  <c r="S235" i="34"/>
  <c r="M234" i="34"/>
  <c r="I234" i="34"/>
  <c r="N234" i="34"/>
  <c r="S234" i="34"/>
  <c r="M233" i="34"/>
  <c r="I233" i="34"/>
  <c r="N233" i="34"/>
  <c r="S233" i="34"/>
  <c r="S232" i="34"/>
  <c r="M231" i="34"/>
  <c r="I231" i="34"/>
  <c r="N231" i="34"/>
  <c r="S231" i="34"/>
  <c r="M230" i="34"/>
  <c r="I230" i="34"/>
  <c r="N230" i="34"/>
  <c r="S230" i="34"/>
  <c r="M229" i="34"/>
  <c r="I229" i="34"/>
  <c r="N229" i="34"/>
  <c r="S229" i="34"/>
  <c r="M228" i="34"/>
  <c r="I228" i="34"/>
  <c r="N228" i="34"/>
  <c r="S228" i="34"/>
  <c r="M227" i="34"/>
  <c r="I227" i="34"/>
  <c r="N227" i="34"/>
  <c r="S227" i="34"/>
  <c r="M226" i="34"/>
  <c r="I226" i="34"/>
  <c r="N226" i="34"/>
  <c r="S226" i="34"/>
  <c r="M225" i="34"/>
  <c r="I225" i="34"/>
  <c r="N225" i="34"/>
  <c r="S225" i="34"/>
  <c r="M224" i="34"/>
  <c r="I224" i="34"/>
  <c r="N224" i="34"/>
  <c r="S224" i="34"/>
  <c r="S223" i="34"/>
  <c r="M222" i="34"/>
  <c r="I222" i="34"/>
  <c r="N222" i="34"/>
  <c r="S222" i="34"/>
  <c r="M221" i="34"/>
  <c r="I221" i="34"/>
  <c r="N221" i="34"/>
  <c r="S221" i="34"/>
  <c r="M220" i="34"/>
  <c r="I220" i="34"/>
  <c r="N220" i="34"/>
  <c r="S220" i="34"/>
  <c r="M219" i="34"/>
  <c r="I219" i="34"/>
  <c r="N219" i="34"/>
  <c r="S219" i="34"/>
  <c r="M218" i="34"/>
  <c r="I218" i="34"/>
  <c r="N218" i="34"/>
  <c r="S218" i="34"/>
  <c r="M217" i="34"/>
  <c r="I217" i="34"/>
  <c r="N217" i="34"/>
  <c r="S217" i="34"/>
  <c r="M216" i="34"/>
  <c r="I216" i="34"/>
  <c r="N216" i="34"/>
  <c r="S216" i="34"/>
  <c r="S215" i="34"/>
  <c r="M214" i="34"/>
  <c r="I214" i="34"/>
  <c r="N214" i="34"/>
  <c r="S214" i="34"/>
  <c r="M213" i="34"/>
  <c r="I213" i="34"/>
  <c r="N213" i="34"/>
  <c r="S213" i="34"/>
  <c r="M212" i="34"/>
  <c r="I212" i="34"/>
  <c r="N212" i="34"/>
  <c r="S212" i="34"/>
  <c r="S211" i="34"/>
  <c r="M210" i="34"/>
  <c r="I210" i="34"/>
  <c r="N210" i="34"/>
  <c r="S210" i="34"/>
  <c r="S209" i="34"/>
  <c r="M208" i="34"/>
  <c r="I208" i="34"/>
  <c r="N208" i="34"/>
  <c r="S208" i="34"/>
  <c r="M207" i="34"/>
  <c r="I207" i="34"/>
  <c r="N207" i="34"/>
  <c r="S207" i="34"/>
  <c r="M206" i="34"/>
  <c r="I206" i="34"/>
  <c r="N206" i="34"/>
  <c r="S206" i="34"/>
  <c r="M205" i="34"/>
  <c r="I205" i="34"/>
  <c r="N205" i="34"/>
  <c r="S205" i="34"/>
  <c r="S204" i="34"/>
  <c r="M203" i="34"/>
  <c r="I203" i="34"/>
  <c r="N203" i="34"/>
  <c r="S203" i="34"/>
  <c r="S202" i="34"/>
  <c r="M201" i="34"/>
  <c r="I201" i="34"/>
  <c r="N201" i="34"/>
  <c r="S201" i="34"/>
  <c r="M200" i="34"/>
  <c r="I200" i="34"/>
  <c r="N200" i="34"/>
  <c r="S200" i="34"/>
  <c r="M199" i="34"/>
  <c r="I199" i="34"/>
  <c r="N199" i="34"/>
  <c r="S199" i="34"/>
  <c r="S198" i="34"/>
  <c r="M197" i="34"/>
  <c r="I197" i="34"/>
  <c r="N197" i="34"/>
  <c r="S197" i="34"/>
  <c r="M196" i="34"/>
  <c r="I196" i="34"/>
  <c r="N196" i="34"/>
  <c r="S196" i="34"/>
  <c r="M195" i="34"/>
  <c r="I195" i="34"/>
  <c r="N195" i="34"/>
  <c r="S195" i="34"/>
  <c r="M194" i="34"/>
  <c r="I194" i="34"/>
  <c r="N194" i="34"/>
  <c r="S194" i="34"/>
  <c r="M193" i="34"/>
  <c r="I193" i="34"/>
  <c r="N193" i="34"/>
  <c r="S193" i="34"/>
  <c r="M192" i="34"/>
  <c r="I192" i="34"/>
  <c r="N192" i="34"/>
  <c r="S192" i="34"/>
  <c r="S191" i="34"/>
  <c r="M190" i="34"/>
  <c r="I190" i="34"/>
  <c r="N190" i="34"/>
  <c r="S190" i="34"/>
  <c r="M189" i="34"/>
  <c r="I189" i="34"/>
  <c r="N189" i="34"/>
  <c r="S189" i="34"/>
  <c r="M188" i="34"/>
  <c r="I188" i="34"/>
  <c r="N188" i="34"/>
  <c r="S188" i="34"/>
  <c r="M187" i="34"/>
  <c r="I187" i="34"/>
  <c r="N187" i="34"/>
  <c r="S187" i="34"/>
  <c r="M186" i="34"/>
  <c r="I186" i="34"/>
  <c r="N186" i="34"/>
  <c r="S186" i="34"/>
  <c r="S185" i="34"/>
  <c r="M184" i="34"/>
  <c r="I184" i="34"/>
  <c r="N184" i="34"/>
  <c r="S184" i="34"/>
  <c r="M183" i="34"/>
  <c r="I183" i="34"/>
  <c r="N183" i="34"/>
  <c r="S183" i="34"/>
  <c r="M182" i="34"/>
  <c r="I182" i="34"/>
  <c r="N182" i="34"/>
  <c r="S182" i="34"/>
  <c r="M181" i="34"/>
  <c r="I181" i="34"/>
  <c r="N181" i="34"/>
  <c r="S181" i="34"/>
  <c r="M180" i="34"/>
  <c r="I180" i="34"/>
  <c r="N180" i="34"/>
  <c r="S180" i="34"/>
  <c r="M179" i="34"/>
  <c r="I179" i="34"/>
  <c r="N179" i="34"/>
  <c r="S179" i="34"/>
  <c r="S178" i="34"/>
  <c r="M177" i="34"/>
  <c r="I177" i="34"/>
  <c r="N177" i="34"/>
  <c r="S177" i="34"/>
  <c r="M176" i="34"/>
  <c r="I176" i="34"/>
  <c r="N176" i="34"/>
  <c r="S176" i="34"/>
  <c r="M175" i="34"/>
  <c r="I175" i="34"/>
  <c r="N175" i="34"/>
  <c r="S175" i="34"/>
  <c r="M174" i="34"/>
  <c r="I174" i="34"/>
  <c r="N174" i="34"/>
  <c r="S174" i="34"/>
  <c r="M173" i="34"/>
  <c r="I173" i="34"/>
  <c r="N173" i="34"/>
  <c r="S173" i="34"/>
  <c r="S172" i="34"/>
  <c r="M171" i="34"/>
  <c r="I171" i="34"/>
  <c r="N171" i="34"/>
  <c r="S171" i="34"/>
  <c r="M170" i="34"/>
  <c r="I170" i="34"/>
  <c r="N170" i="34"/>
  <c r="S170" i="34"/>
  <c r="M169" i="34"/>
  <c r="I169" i="34"/>
  <c r="N169" i="34"/>
  <c r="S169" i="34"/>
  <c r="M168" i="34"/>
  <c r="I168" i="34"/>
  <c r="N168" i="34"/>
  <c r="S168" i="34"/>
  <c r="M167" i="34"/>
  <c r="I167" i="34"/>
  <c r="N167" i="34"/>
  <c r="S167" i="34"/>
  <c r="S166" i="34"/>
  <c r="M165" i="34"/>
  <c r="I165" i="34"/>
  <c r="N165" i="34"/>
  <c r="S165" i="34"/>
  <c r="M164" i="34"/>
  <c r="I164" i="34"/>
  <c r="N164" i="34"/>
  <c r="S164" i="34"/>
  <c r="S163" i="34"/>
  <c r="M162" i="34"/>
  <c r="I162" i="34"/>
  <c r="N162" i="34"/>
  <c r="S162" i="34"/>
  <c r="M161" i="34"/>
  <c r="I161" i="34"/>
  <c r="N161" i="34"/>
  <c r="S161" i="34"/>
  <c r="S160" i="34"/>
  <c r="M159" i="34"/>
  <c r="I159" i="34"/>
  <c r="N159" i="34"/>
  <c r="S159" i="34"/>
  <c r="M158" i="34"/>
  <c r="I158" i="34"/>
  <c r="N158" i="34"/>
  <c r="S158" i="34"/>
  <c r="M157" i="34"/>
  <c r="I157" i="34"/>
  <c r="N157" i="34"/>
  <c r="S157" i="34"/>
  <c r="M156" i="34"/>
  <c r="I156" i="34"/>
  <c r="N156" i="34"/>
  <c r="S156" i="34"/>
  <c r="M155" i="34"/>
  <c r="I155" i="34"/>
  <c r="N155" i="34"/>
  <c r="S155" i="34"/>
  <c r="S154" i="34"/>
  <c r="M153" i="34"/>
  <c r="I153" i="34"/>
  <c r="N153" i="34"/>
  <c r="S153" i="34"/>
  <c r="M152" i="34"/>
  <c r="I152" i="34"/>
  <c r="N152" i="34"/>
  <c r="S152" i="34"/>
  <c r="M151" i="34"/>
  <c r="I151" i="34"/>
  <c r="N151" i="34"/>
  <c r="S151" i="34"/>
  <c r="S150" i="34"/>
  <c r="M149" i="34"/>
  <c r="I149" i="34"/>
  <c r="N149" i="34"/>
  <c r="S149" i="34"/>
  <c r="M148" i="34"/>
  <c r="I148" i="34"/>
  <c r="N148" i="34"/>
  <c r="S148" i="34"/>
  <c r="S147" i="34"/>
  <c r="M146" i="34"/>
  <c r="I146" i="34"/>
  <c r="N146" i="34"/>
  <c r="S146" i="34"/>
  <c r="M145" i="34"/>
  <c r="I145" i="34"/>
  <c r="N145" i="34"/>
  <c r="S145" i="34"/>
  <c r="M144" i="34"/>
  <c r="I144" i="34"/>
  <c r="N144" i="34"/>
  <c r="S144" i="34"/>
  <c r="M143" i="34"/>
  <c r="I143" i="34"/>
  <c r="N143" i="34"/>
  <c r="S143" i="34"/>
  <c r="M142" i="34"/>
  <c r="I142" i="34"/>
  <c r="N142" i="34"/>
  <c r="S142" i="34"/>
  <c r="S141" i="34"/>
  <c r="S140" i="34"/>
  <c r="M139" i="34"/>
  <c r="I139" i="34"/>
  <c r="N139" i="34"/>
  <c r="S139" i="34"/>
  <c r="M138" i="34"/>
  <c r="I138" i="34"/>
  <c r="N138" i="34"/>
  <c r="S138" i="34"/>
  <c r="M137" i="34"/>
  <c r="I137" i="34"/>
  <c r="N137" i="34"/>
  <c r="S137" i="34"/>
  <c r="M136" i="34"/>
  <c r="I136" i="34"/>
  <c r="N136" i="34"/>
  <c r="S136" i="34"/>
  <c r="S135" i="34"/>
  <c r="M134" i="34"/>
  <c r="I134" i="34"/>
  <c r="N134" i="34"/>
  <c r="S134" i="34"/>
  <c r="S133" i="34"/>
  <c r="S132" i="34"/>
  <c r="M131" i="34"/>
  <c r="I131" i="34"/>
  <c r="N131" i="34"/>
  <c r="S131" i="34"/>
  <c r="M130" i="34"/>
  <c r="I130" i="34"/>
  <c r="N130" i="34"/>
  <c r="S130" i="34"/>
  <c r="M129" i="34"/>
  <c r="I129" i="34"/>
  <c r="N129" i="34"/>
  <c r="S129" i="34"/>
  <c r="M128" i="34"/>
  <c r="I128" i="34"/>
  <c r="N128" i="34"/>
  <c r="S128" i="34"/>
  <c r="S127" i="34"/>
  <c r="M126" i="34"/>
  <c r="I126" i="34"/>
  <c r="N126" i="34"/>
  <c r="S126" i="34"/>
  <c r="M125" i="34"/>
  <c r="I125" i="34"/>
  <c r="N125" i="34"/>
  <c r="S125" i="34"/>
  <c r="M124" i="34"/>
  <c r="I124" i="34"/>
  <c r="N124" i="34"/>
  <c r="S124" i="34"/>
  <c r="M123" i="34"/>
  <c r="I123" i="34"/>
  <c r="N123" i="34"/>
  <c r="S123" i="34"/>
  <c r="M122" i="34"/>
  <c r="I122" i="34"/>
  <c r="N122" i="34"/>
  <c r="S122" i="34"/>
  <c r="M121" i="34"/>
  <c r="I121" i="34"/>
  <c r="N121" i="34"/>
  <c r="S121" i="34"/>
  <c r="M120" i="34"/>
  <c r="I120" i="34"/>
  <c r="N120" i="34"/>
  <c r="S120" i="34"/>
  <c r="M119" i="34"/>
  <c r="I119" i="34"/>
  <c r="N119" i="34"/>
  <c r="S119" i="34"/>
  <c r="S118" i="34"/>
  <c r="M117" i="34"/>
  <c r="I117" i="34"/>
  <c r="N117" i="34"/>
  <c r="S117" i="34"/>
  <c r="M116" i="34"/>
  <c r="I116" i="34"/>
  <c r="N116" i="34"/>
  <c r="S116" i="34"/>
  <c r="M115" i="34"/>
  <c r="I115" i="34"/>
  <c r="N115" i="34"/>
  <c r="S115" i="34"/>
  <c r="S114" i="34"/>
  <c r="M113" i="34"/>
  <c r="I113" i="34"/>
  <c r="N113" i="34"/>
  <c r="S113" i="34"/>
  <c r="M112" i="34"/>
  <c r="I112" i="34"/>
  <c r="N112" i="34"/>
  <c r="S112" i="34"/>
  <c r="M111" i="34"/>
  <c r="I111" i="34"/>
  <c r="N111" i="34"/>
  <c r="S111" i="34"/>
  <c r="M110" i="34"/>
  <c r="I110" i="34"/>
  <c r="N110" i="34"/>
  <c r="S110" i="34"/>
  <c r="S109" i="34"/>
  <c r="M108" i="34"/>
  <c r="I108" i="34"/>
  <c r="N108" i="34"/>
  <c r="S108" i="34"/>
  <c r="M107" i="34"/>
  <c r="I107" i="34"/>
  <c r="N107" i="34"/>
  <c r="S107" i="34"/>
  <c r="M106" i="34"/>
  <c r="I106" i="34"/>
  <c r="N106" i="34"/>
  <c r="S106" i="34"/>
  <c r="M105" i="34"/>
  <c r="I105" i="34"/>
  <c r="N105" i="34"/>
  <c r="S105" i="34"/>
  <c r="S104" i="34"/>
  <c r="M103" i="34"/>
  <c r="I103" i="34"/>
  <c r="N103" i="34"/>
  <c r="S103" i="34"/>
  <c r="M102" i="34"/>
  <c r="I102" i="34"/>
  <c r="N102" i="34"/>
  <c r="S102" i="34"/>
  <c r="M101" i="34"/>
  <c r="I101" i="34"/>
  <c r="N101" i="34"/>
  <c r="S101" i="34"/>
  <c r="S100" i="34"/>
  <c r="M99" i="34"/>
  <c r="I99" i="34"/>
  <c r="N99" i="34"/>
  <c r="S99" i="34"/>
  <c r="M98" i="34"/>
  <c r="I98" i="34"/>
  <c r="N98" i="34"/>
  <c r="S98" i="34"/>
  <c r="M97" i="34"/>
  <c r="I97" i="34"/>
  <c r="N97" i="34"/>
  <c r="S97" i="34"/>
  <c r="M96" i="34"/>
  <c r="I96" i="34"/>
  <c r="N96" i="34"/>
  <c r="S96" i="34"/>
  <c r="M95" i="34"/>
  <c r="I95" i="34"/>
  <c r="N95" i="34"/>
  <c r="S95" i="34"/>
  <c r="M94" i="34"/>
  <c r="I94" i="34"/>
  <c r="N94" i="34"/>
  <c r="S94" i="34"/>
  <c r="S93" i="34"/>
  <c r="M92" i="34"/>
  <c r="I92" i="34"/>
  <c r="N92" i="34"/>
  <c r="S92" i="34"/>
  <c r="M91" i="34"/>
  <c r="I91" i="34"/>
  <c r="N91" i="34"/>
  <c r="S91" i="34"/>
  <c r="M90" i="34"/>
  <c r="I90" i="34"/>
  <c r="N90" i="34"/>
  <c r="S90" i="34"/>
  <c r="S89" i="34"/>
  <c r="M88" i="34"/>
  <c r="I88" i="34"/>
  <c r="N88" i="34"/>
  <c r="S88" i="34"/>
  <c r="M87" i="34"/>
  <c r="I87" i="34"/>
  <c r="N87" i="34"/>
  <c r="S87" i="34"/>
  <c r="M86" i="34"/>
  <c r="I86" i="34"/>
  <c r="N86" i="34"/>
  <c r="S86" i="34"/>
  <c r="S85" i="34"/>
  <c r="M84" i="34"/>
  <c r="I84" i="34"/>
  <c r="N84" i="34"/>
  <c r="S84" i="34"/>
  <c r="M83" i="34"/>
  <c r="I83" i="34"/>
  <c r="N83" i="34"/>
  <c r="S83" i="34"/>
  <c r="M82" i="34"/>
  <c r="I82" i="34"/>
  <c r="N82" i="34"/>
  <c r="S82" i="34"/>
  <c r="S81" i="34"/>
  <c r="M80" i="34"/>
  <c r="I80" i="34"/>
  <c r="N80" i="34"/>
  <c r="S80" i="34"/>
  <c r="M79" i="34"/>
  <c r="I79" i="34"/>
  <c r="N79" i="34"/>
  <c r="S79" i="34"/>
  <c r="M78" i="34"/>
  <c r="I78" i="34"/>
  <c r="N78" i="34"/>
  <c r="S78" i="34"/>
  <c r="M77" i="34"/>
  <c r="I77" i="34"/>
  <c r="N77" i="34"/>
  <c r="S77" i="34"/>
  <c r="M76" i="34"/>
  <c r="I76" i="34"/>
  <c r="N76" i="34"/>
  <c r="S76" i="34"/>
  <c r="M75" i="34"/>
  <c r="I75" i="34"/>
  <c r="N75" i="34"/>
  <c r="S75" i="34"/>
  <c r="M74" i="34"/>
  <c r="I74" i="34"/>
  <c r="N74" i="34"/>
  <c r="S74" i="34"/>
  <c r="M73" i="34"/>
  <c r="I73" i="34"/>
  <c r="N73" i="34"/>
  <c r="S73" i="34"/>
  <c r="S72" i="34"/>
  <c r="M71" i="34"/>
  <c r="I71" i="34"/>
  <c r="N71" i="34"/>
  <c r="S71" i="34"/>
  <c r="M70" i="34"/>
  <c r="I70" i="34"/>
  <c r="N70" i="34"/>
  <c r="S70" i="34"/>
  <c r="S69" i="34"/>
  <c r="M68" i="34"/>
  <c r="I68" i="34"/>
  <c r="N68" i="34"/>
  <c r="S68" i="34"/>
  <c r="S67" i="34"/>
  <c r="M66" i="34"/>
  <c r="I66" i="34"/>
  <c r="N66" i="34"/>
  <c r="S66" i="34"/>
  <c r="M65" i="34"/>
  <c r="I65" i="34"/>
  <c r="N65" i="34"/>
  <c r="S65" i="34"/>
  <c r="M64" i="34"/>
  <c r="I64" i="34"/>
  <c r="N64" i="34"/>
  <c r="S64" i="34"/>
  <c r="M63" i="34"/>
  <c r="I63" i="34"/>
  <c r="N63" i="34"/>
  <c r="S63" i="34"/>
  <c r="M62" i="34"/>
  <c r="I62" i="34"/>
  <c r="N62" i="34"/>
  <c r="S62" i="34"/>
  <c r="M61" i="34"/>
  <c r="I61" i="34"/>
  <c r="N61" i="34"/>
  <c r="S61" i="34"/>
  <c r="M60" i="34"/>
  <c r="I60" i="34"/>
  <c r="N60" i="34"/>
  <c r="S60" i="34"/>
  <c r="S59" i="34"/>
  <c r="M58" i="34"/>
  <c r="I58" i="34"/>
  <c r="N58" i="34"/>
  <c r="S58" i="34"/>
  <c r="S57" i="34"/>
  <c r="M56" i="34"/>
  <c r="I56" i="34"/>
  <c r="N56" i="34"/>
  <c r="S56" i="34"/>
  <c r="S55" i="34"/>
  <c r="M54" i="34"/>
  <c r="I54" i="34"/>
  <c r="N54" i="34"/>
  <c r="S54" i="34"/>
  <c r="M53" i="34"/>
  <c r="I53" i="34"/>
  <c r="N53" i="34"/>
  <c r="S53" i="34"/>
  <c r="M52" i="34"/>
  <c r="I52" i="34"/>
  <c r="N52" i="34"/>
  <c r="S52" i="34"/>
  <c r="M51" i="34"/>
  <c r="I51" i="34"/>
  <c r="N51" i="34"/>
  <c r="S51" i="34"/>
  <c r="S50" i="34"/>
  <c r="M49" i="34"/>
  <c r="I49" i="34"/>
  <c r="N49" i="34"/>
  <c r="S49" i="34"/>
  <c r="M48" i="34"/>
  <c r="I48" i="34"/>
  <c r="N48" i="34"/>
  <c r="S48" i="34"/>
  <c r="M47" i="34"/>
  <c r="I47" i="34"/>
  <c r="N47" i="34"/>
  <c r="S47" i="34"/>
  <c r="M46" i="34"/>
  <c r="I46" i="34"/>
  <c r="N46" i="34"/>
  <c r="S46" i="34"/>
  <c r="M45" i="34"/>
  <c r="I45" i="34"/>
  <c r="N45" i="34"/>
  <c r="S45" i="34"/>
  <c r="M44" i="34"/>
  <c r="I44" i="34"/>
  <c r="N44" i="34"/>
  <c r="S44" i="34"/>
  <c r="M43" i="34"/>
  <c r="I43" i="34"/>
  <c r="N43" i="34"/>
  <c r="S43" i="34"/>
  <c r="M42" i="34"/>
  <c r="I42" i="34"/>
  <c r="N42" i="34"/>
  <c r="S42" i="34"/>
  <c r="M41" i="34"/>
  <c r="I41" i="34"/>
  <c r="N41" i="34"/>
  <c r="S41" i="34"/>
  <c r="S40" i="34"/>
  <c r="S39" i="34"/>
  <c r="M38" i="34"/>
  <c r="I38" i="34"/>
  <c r="N38" i="34"/>
  <c r="S38" i="34"/>
  <c r="M37" i="34"/>
  <c r="I37" i="34"/>
  <c r="N37" i="34"/>
  <c r="S37" i="34"/>
  <c r="S36" i="34"/>
  <c r="M35" i="34"/>
  <c r="I35" i="34"/>
  <c r="N35" i="34"/>
  <c r="S35" i="34"/>
  <c r="M34" i="34"/>
  <c r="I34" i="34"/>
  <c r="N34" i="34"/>
  <c r="S34" i="34"/>
  <c r="S33" i="34"/>
  <c r="M32" i="34"/>
  <c r="I32" i="34"/>
  <c r="N32" i="34"/>
  <c r="S32" i="34"/>
  <c r="M31" i="34"/>
  <c r="I31" i="34"/>
  <c r="N31" i="34"/>
  <c r="S31" i="34"/>
  <c r="S30" i="34"/>
  <c r="M29" i="34"/>
  <c r="I29" i="34"/>
  <c r="N29" i="34"/>
  <c r="S29" i="34"/>
  <c r="M28" i="34"/>
  <c r="I28" i="34"/>
  <c r="N28" i="34"/>
  <c r="S28" i="34"/>
  <c r="M27" i="34"/>
  <c r="I27" i="34"/>
  <c r="N27" i="34"/>
  <c r="S27" i="34"/>
  <c r="M26" i="34"/>
  <c r="I26" i="34"/>
  <c r="N26" i="34"/>
  <c r="S26" i="34"/>
  <c r="M25" i="34"/>
  <c r="I25" i="34"/>
  <c r="N25" i="34"/>
  <c r="S25" i="34"/>
  <c r="M24" i="34"/>
  <c r="I24" i="34"/>
  <c r="N24" i="34"/>
  <c r="S24" i="34"/>
  <c r="M23" i="34"/>
  <c r="I23" i="34"/>
  <c r="N23" i="34"/>
  <c r="S23" i="34"/>
  <c r="S22" i="34"/>
  <c r="M21" i="34"/>
  <c r="I21" i="34"/>
  <c r="N21" i="34"/>
  <c r="S21" i="34"/>
  <c r="M20" i="34"/>
  <c r="I20" i="34"/>
  <c r="N20" i="34"/>
  <c r="S20" i="34"/>
  <c r="M19" i="34"/>
  <c r="I19" i="34"/>
  <c r="N19" i="34"/>
  <c r="S19" i="34"/>
  <c r="S18" i="34"/>
  <c r="M17" i="34"/>
  <c r="I17" i="34"/>
  <c r="N17" i="34"/>
  <c r="S17" i="34"/>
  <c r="R837" i="34"/>
  <c r="R836" i="34"/>
  <c r="R835" i="34"/>
  <c r="R834" i="34"/>
  <c r="R833" i="34"/>
  <c r="R832" i="34"/>
  <c r="R831" i="34"/>
  <c r="R830" i="34"/>
  <c r="R829" i="34"/>
  <c r="R828" i="34"/>
  <c r="R827" i="34"/>
  <c r="R826" i="34"/>
  <c r="R825" i="34"/>
  <c r="R824" i="34"/>
  <c r="R823" i="34"/>
  <c r="R822" i="34"/>
  <c r="R821" i="34"/>
  <c r="R820" i="34"/>
  <c r="R819" i="34"/>
  <c r="R818" i="34"/>
  <c r="R817" i="34"/>
  <c r="R816" i="34"/>
  <c r="R815" i="34"/>
  <c r="R814" i="34"/>
  <c r="R813" i="34"/>
  <c r="R812" i="34"/>
  <c r="R811" i="34"/>
  <c r="R810" i="34"/>
  <c r="R809" i="34"/>
  <c r="R808" i="34"/>
  <c r="R807" i="34"/>
  <c r="R806" i="34"/>
  <c r="R805" i="34"/>
  <c r="R804" i="34"/>
  <c r="R803" i="34"/>
  <c r="R802" i="34"/>
  <c r="R801" i="34"/>
  <c r="R800" i="34"/>
  <c r="R799" i="34"/>
  <c r="R798" i="34"/>
  <c r="R797" i="34"/>
  <c r="R796" i="34"/>
  <c r="R795" i="34"/>
  <c r="R794" i="34"/>
  <c r="R793" i="34"/>
  <c r="R792" i="34"/>
  <c r="R791" i="34"/>
  <c r="R790" i="34"/>
  <c r="R789" i="34"/>
  <c r="R788" i="34"/>
  <c r="R787" i="34"/>
  <c r="R786" i="34"/>
  <c r="R785" i="34"/>
  <c r="R784" i="34"/>
  <c r="R783" i="34"/>
  <c r="R782" i="34"/>
  <c r="R781" i="34"/>
  <c r="R780" i="34"/>
  <c r="R779" i="34"/>
  <c r="R778" i="34"/>
  <c r="R777" i="34"/>
  <c r="R776" i="34"/>
  <c r="R775" i="34"/>
  <c r="R774" i="34"/>
  <c r="R773" i="34"/>
  <c r="R772" i="34"/>
  <c r="R771" i="34"/>
  <c r="R770" i="34"/>
  <c r="R769" i="34"/>
  <c r="R768" i="34"/>
  <c r="R767" i="34"/>
  <c r="R766" i="34"/>
  <c r="R765" i="34"/>
  <c r="R764" i="34"/>
  <c r="R763" i="34"/>
  <c r="R762" i="34"/>
  <c r="R761" i="34"/>
  <c r="R760" i="34"/>
  <c r="R759" i="34"/>
  <c r="R758" i="34"/>
  <c r="R757" i="34"/>
  <c r="R756" i="34"/>
  <c r="R755" i="34"/>
  <c r="R754" i="34"/>
  <c r="R753" i="34"/>
  <c r="R752" i="34"/>
  <c r="R751" i="34"/>
  <c r="R750" i="34"/>
  <c r="R749" i="34"/>
  <c r="R748" i="34"/>
  <c r="R747" i="34"/>
  <c r="R746" i="34"/>
  <c r="R745" i="34"/>
  <c r="R744" i="34"/>
  <c r="R743" i="34"/>
  <c r="R742" i="34"/>
  <c r="R741" i="34"/>
  <c r="R740" i="34"/>
  <c r="R739" i="34"/>
  <c r="R738" i="34"/>
  <c r="R737" i="34"/>
  <c r="R736" i="34"/>
  <c r="R735" i="34"/>
  <c r="R734" i="34"/>
  <c r="R733" i="34"/>
  <c r="R732" i="34"/>
  <c r="R731" i="34"/>
  <c r="R730" i="34"/>
  <c r="R729" i="34"/>
  <c r="R728" i="34"/>
  <c r="R727" i="34"/>
  <c r="R726" i="34"/>
  <c r="R725" i="34"/>
  <c r="R724" i="34"/>
  <c r="R723" i="34"/>
  <c r="R722" i="34"/>
  <c r="R721" i="34"/>
  <c r="R720" i="34"/>
  <c r="R719" i="34"/>
  <c r="R718" i="34"/>
  <c r="R717" i="34"/>
  <c r="R716" i="34"/>
  <c r="R715" i="34"/>
  <c r="R714" i="34"/>
  <c r="R713" i="34"/>
  <c r="R712" i="34"/>
  <c r="R711" i="34"/>
  <c r="R710" i="34"/>
  <c r="R709" i="34"/>
  <c r="R708" i="34"/>
  <c r="R707" i="34"/>
  <c r="R706" i="34"/>
  <c r="R705" i="34"/>
  <c r="R704" i="34"/>
  <c r="R703" i="34"/>
  <c r="R702" i="34"/>
  <c r="R701" i="34"/>
  <c r="R700" i="34"/>
  <c r="R699" i="34"/>
  <c r="R698" i="34"/>
  <c r="R697" i="34"/>
  <c r="R696" i="34"/>
  <c r="R695" i="34"/>
  <c r="R694" i="34"/>
  <c r="R693" i="34"/>
  <c r="R692" i="34"/>
  <c r="R691" i="34"/>
  <c r="R690" i="34"/>
  <c r="R689" i="34"/>
  <c r="R688" i="34"/>
  <c r="R687" i="34"/>
  <c r="R686" i="34"/>
  <c r="R685" i="34"/>
  <c r="R684" i="34"/>
  <c r="R683" i="34"/>
  <c r="R682" i="34"/>
  <c r="R681" i="34"/>
  <c r="R680" i="34"/>
  <c r="R679" i="34"/>
  <c r="R678" i="34"/>
  <c r="R677" i="34"/>
  <c r="R676" i="34"/>
  <c r="R675" i="34"/>
  <c r="R674" i="34"/>
  <c r="R673" i="34"/>
  <c r="R672" i="34"/>
  <c r="R671" i="34"/>
  <c r="R670" i="34"/>
  <c r="R669" i="34"/>
  <c r="R668" i="34"/>
  <c r="R667" i="34"/>
  <c r="R666" i="34"/>
  <c r="R665" i="34"/>
  <c r="R664" i="34"/>
  <c r="R663" i="34"/>
  <c r="R662" i="34"/>
  <c r="R661" i="34"/>
  <c r="R660" i="34"/>
  <c r="R659" i="34"/>
  <c r="R658" i="34"/>
  <c r="R657" i="34"/>
  <c r="R656" i="34"/>
  <c r="R655" i="34"/>
  <c r="R654" i="34"/>
  <c r="R653" i="34"/>
  <c r="R652" i="34"/>
  <c r="R651" i="34"/>
  <c r="R650" i="34"/>
  <c r="R649" i="34"/>
  <c r="R648" i="34"/>
  <c r="R647" i="34"/>
  <c r="R646" i="34"/>
  <c r="R645" i="34"/>
  <c r="R644" i="34"/>
  <c r="R643" i="34"/>
  <c r="R642" i="34"/>
  <c r="R641" i="34"/>
  <c r="R640" i="34"/>
  <c r="R639" i="34"/>
  <c r="R638" i="34"/>
  <c r="R637" i="34"/>
  <c r="R636" i="34"/>
  <c r="R635" i="34"/>
  <c r="R634" i="34"/>
  <c r="R633" i="34"/>
  <c r="R632" i="34"/>
  <c r="R631" i="34"/>
  <c r="R630" i="34"/>
  <c r="R629" i="34"/>
  <c r="R628" i="34"/>
  <c r="R627" i="34"/>
  <c r="R626" i="34"/>
  <c r="R625" i="34"/>
  <c r="R624" i="34"/>
  <c r="R623" i="34"/>
  <c r="R622" i="34"/>
  <c r="R621" i="34"/>
  <c r="R620" i="34"/>
  <c r="R619" i="34"/>
  <c r="R618" i="34"/>
  <c r="R617" i="34"/>
  <c r="R616" i="34"/>
  <c r="R615" i="34"/>
  <c r="R614" i="34"/>
  <c r="R613" i="34"/>
  <c r="R612" i="34"/>
  <c r="R611" i="34"/>
  <c r="R610" i="34"/>
  <c r="R609" i="34"/>
  <c r="R608" i="34"/>
  <c r="R607" i="34"/>
  <c r="R606" i="34"/>
  <c r="R605" i="34"/>
  <c r="R604" i="34"/>
  <c r="R603" i="34"/>
  <c r="R602" i="34"/>
  <c r="R601" i="34"/>
  <c r="R600" i="34"/>
  <c r="R599" i="34"/>
  <c r="R598" i="34"/>
  <c r="R597" i="34"/>
  <c r="R596" i="34"/>
  <c r="R595" i="34"/>
  <c r="R594" i="34"/>
  <c r="R593" i="34"/>
  <c r="R592" i="34"/>
  <c r="R591" i="34"/>
  <c r="R590" i="34"/>
  <c r="R589" i="34"/>
  <c r="R588" i="34"/>
  <c r="R587" i="34"/>
  <c r="R586" i="34"/>
  <c r="R585" i="34"/>
  <c r="R584" i="34"/>
  <c r="R583" i="34"/>
  <c r="R582" i="34"/>
  <c r="R581" i="34"/>
  <c r="R580" i="34"/>
  <c r="R579" i="34"/>
  <c r="R578" i="34"/>
  <c r="R577" i="34"/>
  <c r="R576" i="34"/>
  <c r="R575" i="34"/>
  <c r="R574" i="34"/>
  <c r="R573" i="34"/>
  <c r="R572" i="34"/>
  <c r="R571" i="34"/>
  <c r="R570" i="34"/>
  <c r="R569" i="34"/>
  <c r="R568" i="34"/>
  <c r="R567" i="34"/>
  <c r="R566" i="34"/>
  <c r="R565" i="34"/>
  <c r="R564" i="34"/>
  <c r="R563" i="34"/>
  <c r="R562" i="34"/>
  <c r="R561" i="34"/>
  <c r="R560" i="34"/>
  <c r="R559" i="34"/>
  <c r="R558" i="34"/>
  <c r="R557" i="34"/>
  <c r="R556" i="34"/>
  <c r="R555" i="34"/>
  <c r="R554" i="34"/>
  <c r="R553" i="34"/>
  <c r="R552" i="34"/>
  <c r="R551" i="34"/>
  <c r="R550" i="34"/>
  <c r="R549" i="34"/>
  <c r="R548" i="34"/>
  <c r="R547" i="34"/>
  <c r="R546" i="34"/>
  <c r="R545" i="34"/>
  <c r="R544" i="34"/>
  <c r="R543" i="34"/>
  <c r="R542" i="34"/>
  <c r="R541" i="34"/>
  <c r="R540" i="34"/>
  <c r="R539" i="34"/>
  <c r="R538" i="34"/>
  <c r="R537" i="34"/>
  <c r="R536" i="34"/>
  <c r="R535" i="34"/>
  <c r="R534" i="34"/>
  <c r="R533" i="34"/>
  <c r="R532" i="34"/>
  <c r="R531" i="34"/>
  <c r="R530" i="34"/>
  <c r="R529" i="34"/>
  <c r="R528" i="34"/>
  <c r="R527" i="34"/>
  <c r="R526" i="34"/>
  <c r="R525" i="34"/>
  <c r="R524" i="34"/>
  <c r="R523" i="34"/>
  <c r="R522" i="34"/>
  <c r="R521" i="34"/>
  <c r="R520" i="34"/>
  <c r="R519" i="34"/>
  <c r="R518" i="34"/>
  <c r="R517" i="34"/>
  <c r="R516" i="34"/>
  <c r="R515" i="34"/>
  <c r="R514" i="34"/>
  <c r="R513" i="34"/>
  <c r="R512" i="34"/>
  <c r="R511" i="34"/>
  <c r="R510" i="34"/>
  <c r="R509" i="34"/>
  <c r="R508" i="34"/>
  <c r="R507" i="34"/>
  <c r="R506" i="34"/>
  <c r="R505" i="34"/>
  <c r="R504" i="34"/>
  <c r="R503" i="34"/>
  <c r="R502" i="34"/>
  <c r="R501" i="34"/>
  <c r="R500" i="34"/>
  <c r="R499" i="34"/>
  <c r="R498" i="34"/>
  <c r="R497" i="34"/>
  <c r="R496" i="34"/>
  <c r="R495" i="34"/>
  <c r="R494" i="34"/>
  <c r="R493" i="34"/>
  <c r="R492" i="34"/>
  <c r="R491" i="34"/>
  <c r="R490" i="34"/>
  <c r="R489" i="34"/>
  <c r="R488" i="34"/>
  <c r="R487" i="34"/>
  <c r="R486" i="34"/>
  <c r="R485" i="34"/>
  <c r="R484" i="34"/>
  <c r="R483" i="34"/>
  <c r="R482" i="34"/>
  <c r="R481" i="34"/>
  <c r="R480" i="34"/>
  <c r="R479" i="34"/>
  <c r="R478" i="34"/>
  <c r="R477" i="34"/>
  <c r="R476" i="34"/>
  <c r="R475" i="34"/>
  <c r="R474" i="34"/>
  <c r="R473" i="34"/>
  <c r="R472" i="34"/>
  <c r="R471" i="34"/>
  <c r="R470" i="34"/>
  <c r="R469" i="34"/>
  <c r="R468" i="34"/>
  <c r="R467" i="34"/>
  <c r="R466" i="34"/>
  <c r="R465" i="34"/>
  <c r="R464" i="34"/>
  <c r="R463" i="34"/>
  <c r="R462" i="34"/>
  <c r="R461" i="34"/>
  <c r="R460" i="34"/>
  <c r="R459" i="34"/>
  <c r="R458" i="34"/>
  <c r="R457" i="34"/>
  <c r="R456" i="34"/>
  <c r="R455" i="34"/>
  <c r="R454" i="34"/>
  <c r="R453" i="34"/>
  <c r="R452" i="34"/>
  <c r="R451" i="34"/>
  <c r="R450" i="34"/>
  <c r="R449" i="34"/>
  <c r="R448" i="34"/>
  <c r="R447" i="34"/>
  <c r="R446" i="34"/>
  <c r="R445" i="34"/>
  <c r="R444" i="34"/>
  <c r="R443" i="34"/>
  <c r="R442" i="34"/>
  <c r="R441" i="34"/>
  <c r="R440" i="34"/>
  <c r="R439" i="34"/>
  <c r="R438" i="34"/>
  <c r="R437" i="34"/>
  <c r="R436" i="34"/>
  <c r="R435" i="34"/>
  <c r="R434" i="34"/>
  <c r="R433" i="34"/>
  <c r="R432" i="34"/>
  <c r="R431" i="34"/>
  <c r="R430" i="34"/>
  <c r="R429" i="34"/>
  <c r="R428" i="34"/>
  <c r="R427" i="34"/>
  <c r="R426" i="34"/>
  <c r="R425" i="34"/>
  <c r="R424" i="34"/>
  <c r="R423" i="34"/>
  <c r="R422" i="34"/>
  <c r="R421" i="34"/>
  <c r="R420" i="34"/>
  <c r="R419" i="34"/>
  <c r="R418" i="34"/>
  <c r="R417" i="34"/>
  <c r="R416" i="34"/>
  <c r="R415" i="34"/>
  <c r="R414" i="34"/>
  <c r="R413" i="34"/>
  <c r="R412" i="34"/>
  <c r="R411" i="34"/>
  <c r="R410" i="34"/>
  <c r="R409" i="34"/>
  <c r="R408" i="34"/>
  <c r="R407" i="34"/>
  <c r="R406" i="34"/>
  <c r="R405" i="34"/>
  <c r="R404" i="34"/>
  <c r="R403" i="34"/>
  <c r="R402" i="34"/>
  <c r="R401" i="34"/>
  <c r="R400" i="34"/>
  <c r="R399" i="34"/>
  <c r="R398" i="34"/>
  <c r="R397" i="34"/>
  <c r="R396" i="34"/>
  <c r="R395" i="34"/>
  <c r="R394" i="34"/>
  <c r="R393" i="34"/>
  <c r="R392" i="34"/>
  <c r="R391" i="34"/>
  <c r="R390" i="34"/>
  <c r="R389" i="34"/>
  <c r="R388" i="34"/>
  <c r="R387" i="34"/>
  <c r="R386" i="34"/>
  <c r="R385" i="34"/>
  <c r="R384" i="34"/>
  <c r="R383" i="34"/>
  <c r="R382" i="34"/>
  <c r="R381" i="34"/>
  <c r="R380" i="34"/>
  <c r="R379" i="34"/>
  <c r="R378" i="34"/>
  <c r="R377" i="34"/>
  <c r="R376" i="34"/>
  <c r="R375" i="34"/>
  <c r="R374" i="34"/>
  <c r="R373" i="34"/>
  <c r="R372" i="34"/>
  <c r="R371" i="34"/>
  <c r="R370" i="34"/>
  <c r="R369" i="34"/>
  <c r="R368" i="34"/>
  <c r="R367" i="34"/>
  <c r="R366" i="34"/>
  <c r="R365" i="34"/>
  <c r="R364" i="34"/>
  <c r="R363" i="34"/>
  <c r="R362" i="34"/>
  <c r="R361" i="34"/>
  <c r="R360" i="34"/>
  <c r="R359" i="34"/>
  <c r="R358" i="34"/>
  <c r="R357" i="34"/>
  <c r="R356" i="34"/>
  <c r="R355" i="34"/>
  <c r="R354" i="34"/>
  <c r="R353" i="34"/>
  <c r="R352" i="34"/>
  <c r="R351" i="34"/>
  <c r="R350" i="34"/>
  <c r="R349" i="34"/>
  <c r="R348" i="34"/>
  <c r="R347" i="34"/>
  <c r="R346" i="34"/>
  <c r="R345" i="34"/>
  <c r="R344" i="34"/>
  <c r="R343" i="34"/>
  <c r="R342" i="34"/>
  <c r="R341" i="34"/>
  <c r="R340" i="34"/>
  <c r="R339" i="34"/>
  <c r="R338" i="34"/>
  <c r="R337" i="34"/>
  <c r="R336" i="34"/>
  <c r="R335" i="34"/>
  <c r="R334" i="34"/>
  <c r="R333" i="34"/>
  <c r="R332" i="34"/>
  <c r="R331" i="34"/>
  <c r="R330" i="34"/>
  <c r="R329" i="34"/>
  <c r="R328" i="34"/>
  <c r="R327" i="34"/>
  <c r="R326" i="34"/>
  <c r="R325" i="34"/>
  <c r="R324" i="34"/>
  <c r="R323" i="34"/>
  <c r="R322" i="34"/>
  <c r="R321" i="34"/>
  <c r="R320" i="34"/>
  <c r="R319" i="34"/>
  <c r="R318" i="34"/>
  <c r="R317" i="34"/>
  <c r="R316" i="34"/>
  <c r="R315" i="34"/>
  <c r="R314" i="34"/>
  <c r="R313" i="34"/>
  <c r="R312" i="34"/>
  <c r="R311" i="34"/>
  <c r="R310" i="34"/>
  <c r="R309" i="34"/>
  <c r="R308" i="34"/>
  <c r="R307" i="34"/>
  <c r="R306" i="34"/>
  <c r="R305" i="34"/>
  <c r="R304" i="34"/>
  <c r="R303" i="34"/>
  <c r="R302" i="34"/>
  <c r="R301" i="34"/>
  <c r="R300" i="34"/>
  <c r="R299" i="34"/>
  <c r="R298" i="34"/>
  <c r="R297" i="34"/>
  <c r="R296" i="34"/>
  <c r="R295" i="34"/>
  <c r="R294" i="34"/>
  <c r="R293" i="34"/>
  <c r="R292" i="34"/>
  <c r="R291" i="34"/>
  <c r="R290" i="34"/>
  <c r="R289" i="34"/>
  <c r="R288" i="34"/>
  <c r="R287" i="34"/>
  <c r="R286" i="34"/>
  <c r="R285" i="34"/>
  <c r="R284" i="34"/>
  <c r="R283" i="34"/>
  <c r="R282" i="34"/>
  <c r="R281" i="34"/>
  <c r="R280" i="34"/>
  <c r="R279" i="34"/>
  <c r="R278" i="34"/>
  <c r="R277" i="34"/>
  <c r="R276" i="34"/>
  <c r="R275" i="34"/>
  <c r="R274" i="34"/>
  <c r="R273" i="34"/>
  <c r="R272" i="34"/>
  <c r="R271" i="34"/>
  <c r="R270" i="34"/>
  <c r="R269" i="34"/>
  <c r="R268" i="34"/>
  <c r="R267" i="34"/>
  <c r="R266" i="34"/>
  <c r="R265" i="34"/>
  <c r="R264" i="34"/>
  <c r="R263" i="34"/>
  <c r="R262" i="34"/>
  <c r="R261" i="34"/>
  <c r="R260" i="34"/>
  <c r="R259" i="34"/>
  <c r="R258" i="34"/>
  <c r="R257" i="34"/>
  <c r="R256" i="34"/>
  <c r="R255" i="34"/>
  <c r="R254" i="34"/>
  <c r="R253" i="34"/>
  <c r="R252" i="34"/>
  <c r="R251" i="34"/>
  <c r="R250" i="34"/>
  <c r="R249" i="34"/>
  <c r="R248" i="34"/>
  <c r="R247" i="34"/>
  <c r="R246" i="34"/>
  <c r="R245" i="34"/>
  <c r="R244" i="34"/>
  <c r="R243" i="34"/>
  <c r="R242" i="34"/>
  <c r="R241" i="34"/>
  <c r="R240" i="34"/>
  <c r="R239" i="34"/>
  <c r="R238" i="34"/>
  <c r="R237" i="34"/>
  <c r="R236" i="34"/>
  <c r="R235" i="34"/>
  <c r="R234" i="34"/>
  <c r="R233" i="34"/>
  <c r="R232" i="34"/>
  <c r="R231" i="34"/>
  <c r="R230" i="34"/>
  <c r="R229" i="34"/>
  <c r="R228" i="34"/>
  <c r="R227" i="34"/>
  <c r="R226" i="34"/>
  <c r="R225" i="34"/>
  <c r="R224" i="34"/>
  <c r="R223" i="34"/>
  <c r="R222" i="34"/>
  <c r="R221" i="34"/>
  <c r="R220" i="34"/>
  <c r="R219" i="34"/>
  <c r="R218" i="34"/>
  <c r="R217" i="34"/>
  <c r="R216" i="34"/>
  <c r="R215" i="34"/>
  <c r="R214" i="34"/>
  <c r="R213" i="34"/>
  <c r="R212" i="34"/>
  <c r="R211" i="34"/>
  <c r="R210" i="34"/>
  <c r="R209" i="34"/>
  <c r="R208" i="34"/>
  <c r="R207" i="34"/>
  <c r="R206" i="34"/>
  <c r="R205" i="34"/>
  <c r="R204" i="34"/>
  <c r="R203" i="34"/>
  <c r="R202" i="34"/>
  <c r="R201" i="34"/>
  <c r="R200" i="34"/>
  <c r="R199" i="34"/>
  <c r="R198" i="34"/>
  <c r="R197" i="34"/>
  <c r="R196" i="34"/>
  <c r="R195" i="34"/>
  <c r="R194" i="34"/>
  <c r="R193" i="34"/>
  <c r="R192" i="34"/>
  <c r="R191" i="34"/>
  <c r="R190" i="34"/>
  <c r="R189" i="34"/>
  <c r="R188" i="34"/>
  <c r="R187" i="34"/>
  <c r="R186" i="34"/>
  <c r="R185" i="34"/>
  <c r="R184" i="34"/>
  <c r="R183" i="34"/>
  <c r="R182" i="34"/>
  <c r="R181" i="34"/>
  <c r="R180" i="34"/>
  <c r="R179" i="34"/>
  <c r="R178" i="34"/>
  <c r="R177" i="34"/>
  <c r="R176" i="34"/>
  <c r="R175" i="34"/>
  <c r="R174" i="34"/>
  <c r="R173" i="34"/>
  <c r="R172" i="34"/>
  <c r="R171" i="34"/>
  <c r="R170" i="34"/>
  <c r="R169" i="34"/>
  <c r="R168" i="34"/>
  <c r="R167" i="34"/>
  <c r="R166" i="34"/>
  <c r="R165" i="34"/>
  <c r="R164" i="34"/>
  <c r="R163" i="34"/>
  <c r="R162" i="34"/>
  <c r="R161" i="34"/>
  <c r="R160" i="34"/>
  <c r="R159" i="34"/>
  <c r="R158" i="34"/>
  <c r="R157" i="34"/>
  <c r="R156" i="34"/>
  <c r="R155" i="34"/>
  <c r="R154" i="34"/>
  <c r="R153" i="34"/>
  <c r="R152" i="34"/>
  <c r="R151" i="34"/>
  <c r="R150" i="34"/>
  <c r="R149" i="34"/>
  <c r="R148" i="34"/>
  <c r="R147" i="34"/>
  <c r="R146" i="34"/>
  <c r="R145" i="34"/>
  <c r="R144" i="34"/>
  <c r="R143" i="34"/>
  <c r="R142" i="34"/>
  <c r="R141" i="34"/>
  <c r="R140" i="34"/>
  <c r="R139" i="34"/>
  <c r="R138" i="34"/>
  <c r="R137" i="34"/>
  <c r="R136" i="34"/>
  <c r="R135" i="34"/>
  <c r="R134" i="34"/>
  <c r="R133" i="34"/>
  <c r="R132" i="34"/>
  <c r="R131" i="34"/>
  <c r="R130" i="34"/>
  <c r="R129" i="34"/>
  <c r="R128" i="34"/>
  <c r="R127" i="34"/>
  <c r="R126" i="34"/>
  <c r="R125" i="34"/>
  <c r="R124" i="34"/>
  <c r="R123" i="34"/>
  <c r="R122" i="34"/>
  <c r="R121" i="34"/>
  <c r="R120" i="34"/>
  <c r="R119" i="34"/>
  <c r="R118" i="34"/>
  <c r="R117" i="34"/>
  <c r="R116" i="34"/>
  <c r="R115" i="34"/>
  <c r="R114" i="34"/>
  <c r="R113" i="34"/>
  <c r="R112" i="34"/>
  <c r="R111" i="34"/>
  <c r="R110" i="34"/>
  <c r="R109" i="34"/>
  <c r="R108" i="34"/>
  <c r="R107" i="34"/>
  <c r="R106" i="34"/>
  <c r="R105" i="34"/>
  <c r="R104" i="34"/>
  <c r="R103" i="34"/>
  <c r="R102" i="34"/>
  <c r="R101" i="34"/>
  <c r="R100" i="34"/>
  <c r="R99" i="34"/>
  <c r="R98" i="34"/>
  <c r="R97" i="34"/>
  <c r="R96" i="34"/>
  <c r="R95" i="34"/>
  <c r="R94" i="34"/>
  <c r="R93" i="34"/>
  <c r="R92" i="34"/>
  <c r="R91" i="34"/>
  <c r="R90" i="34"/>
  <c r="R89" i="34"/>
  <c r="R88" i="34"/>
  <c r="R87" i="34"/>
  <c r="R86" i="34"/>
  <c r="R85" i="34"/>
  <c r="R84" i="34"/>
  <c r="R83" i="34"/>
  <c r="R82" i="34"/>
  <c r="R81" i="34"/>
  <c r="R80" i="34"/>
  <c r="R79" i="34"/>
  <c r="R78" i="34"/>
  <c r="R77" i="34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R23" i="34"/>
  <c r="R22" i="34"/>
  <c r="R21" i="34"/>
  <c r="R20" i="34"/>
  <c r="R19" i="34"/>
  <c r="R18" i="34"/>
  <c r="R17" i="34"/>
  <c r="T837" i="34"/>
  <c r="T836" i="34"/>
  <c r="T835" i="34"/>
  <c r="T834" i="34"/>
  <c r="T833" i="34"/>
  <c r="T832" i="34"/>
  <c r="T831" i="34"/>
  <c r="T830" i="34"/>
  <c r="T829" i="34"/>
  <c r="T828" i="34"/>
  <c r="T827" i="34"/>
  <c r="T826" i="34"/>
  <c r="T825" i="34"/>
  <c r="T824" i="34"/>
  <c r="T823" i="34"/>
  <c r="T822" i="34"/>
  <c r="T821" i="34"/>
  <c r="T820" i="34"/>
  <c r="T819" i="34"/>
  <c r="T818" i="34"/>
  <c r="T817" i="34"/>
  <c r="T816" i="34"/>
  <c r="T815" i="34"/>
  <c r="T814" i="34"/>
  <c r="T813" i="34"/>
  <c r="T812" i="34"/>
  <c r="T811" i="34"/>
  <c r="T810" i="34"/>
  <c r="T809" i="34"/>
  <c r="T808" i="34"/>
  <c r="T807" i="34"/>
  <c r="T806" i="34"/>
  <c r="T805" i="34"/>
  <c r="T804" i="34"/>
  <c r="T803" i="34"/>
  <c r="T802" i="34"/>
  <c r="T801" i="34"/>
  <c r="T800" i="34"/>
  <c r="T799" i="34"/>
  <c r="T798" i="34"/>
  <c r="T797" i="34"/>
  <c r="T796" i="34"/>
  <c r="T795" i="34"/>
  <c r="T794" i="34"/>
  <c r="T793" i="34"/>
  <c r="T792" i="34"/>
  <c r="T791" i="34"/>
  <c r="T790" i="34"/>
  <c r="T789" i="34"/>
  <c r="T788" i="34"/>
  <c r="T787" i="34"/>
  <c r="T786" i="34"/>
  <c r="T785" i="34"/>
  <c r="T784" i="34"/>
  <c r="T783" i="34"/>
  <c r="T782" i="34"/>
  <c r="T781" i="34"/>
  <c r="T780" i="34"/>
  <c r="T779" i="34"/>
  <c r="T778" i="34"/>
  <c r="T777" i="34"/>
  <c r="T776" i="34"/>
  <c r="T775" i="34"/>
  <c r="T774" i="34"/>
  <c r="T773" i="34"/>
  <c r="T772" i="34"/>
  <c r="T771" i="34"/>
  <c r="T770" i="34"/>
  <c r="T769" i="34"/>
  <c r="T768" i="34"/>
  <c r="T767" i="34"/>
  <c r="T766" i="34"/>
  <c r="T765" i="34"/>
  <c r="T764" i="34"/>
  <c r="T763" i="34"/>
  <c r="T762" i="34"/>
  <c r="T761" i="34"/>
  <c r="T760" i="34"/>
  <c r="T759" i="34"/>
  <c r="T758" i="34"/>
  <c r="T757" i="34"/>
  <c r="T756" i="34"/>
  <c r="T755" i="34"/>
  <c r="T754" i="34"/>
  <c r="T753" i="34"/>
  <c r="T752" i="34"/>
  <c r="T751" i="34"/>
  <c r="T750" i="34"/>
  <c r="T749" i="34"/>
  <c r="T748" i="34"/>
  <c r="T747" i="34"/>
  <c r="T746" i="34"/>
  <c r="T745" i="34"/>
  <c r="T744" i="34"/>
  <c r="T743" i="34"/>
  <c r="T742" i="34"/>
  <c r="T741" i="34"/>
  <c r="T740" i="34"/>
  <c r="T739" i="34"/>
  <c r="T738" i="34"/>
  <c r="T737" i="34"/>
  <c r="T736" i="34"/>
  <c r="T735" i="34"/>
  <c r="T734" i="34"/>
  <c r="T733" i="34"/>
  <c r="T732" i="34"/>
  <c r="T731" i="34"/>
  <c r="T730" i="34"/>
  <c r="T729" i="34"/>
  <c r="T728" i="34"/>
  <c r="T727" i="34"/>
  <c r="T726" i="34"/>
  <c r="T725" i="34"/>
  <c r="T724" i="34"/>
  <c r="T723" i="34"/>
  <c r="T722" i="34"/>
  <c r="T721" i="34"/>
  <c r="T720" i="34"/>
  <c r="T719" i="34"/>
  <c r="T718" i="34"/>
  <c r="T717" i="34"/>
  <c r="T716" i="34"/>
  <c r="T715" i="34"/>
  <c r="T714" i="34"/>
  <c r="T713" i="34"/>
  <c r="T712" i="34"/>
  <c r="T711" i="34"/>
  <c r="T710" i="34"/>
  <c r="T709" i="34"/>
  <c r="T708" i="34"/>
  <c r="T707" i="34"/>
  <c r="T706" i="34"/>
  <c r="T705" i="34"/>
  <c r="T704" i="34"/>
  <c r="T703" i="34"/>
  <c r="T702" i="34"/>
  <c r="T701" i="34"/>
  <c r="T700" i="34"/>
  <c r="T699" i="34"/>
  <c r="T698" i="34"/>
  <c r="T697" i="34"/>
  <c r="T696" i="34"/>
  <c r="T695" i="34"/>
  <c r="T694" i="34"/>
  <c r="T693" i="34"/>
  <c r="T692" i="34"/>
  <c r="T691" i="34"/>
  <c r="T690" i="34"/>
  <c r="T689" i="34"/>
  <c r="T688" i="34"/>
  <c r="T687" i="34"/>
  <c r="T686" i="34"/>
  <c r="T685" i="34"/>
  <c r="T684" i="34"/>
  <c r="T683" i="34"/>
  <c r="T682" i="34"/>
  <c r="T681" i="34"/>
  <c r="T680" i="34"/>
  <c r="T679" i="34"/>
  <c r="T678" i="34"/>
  <c r="T677" i="34"/>
  <c r="T676" i="34"/>
  <c r="T675" i="34"/>
  <c r="T674" i="34"/>
  <c r="T673" i="34"/>
  <c r="T672" i="34"/>
  <c r="T671" i="34"/>
  <c r="T670" i="34"/>
  <c r="T669" i="34"/>
  <c r="T668" i="34"/>
  <c r="T667" i="34"/>
  <c r="T666" i="34"/>
  <c r="T665" i="34"/>
  <c r="T664" i="34"/>
  <c r="T663" i="34"/>
  <c r="T662" i="34"/>
  <c r="T661" i="34"/>
  <c r="T660" i="34"/>
  <c r="T659" i="34"/>
  <c r="T658" i="34"/>
  <c r="T657" i="34"/>
  <c r="T656" i="34"/>
  <c r="T655" i="34"/>
  <c r="T654" i="34"/>
  <c r="T653" i="34"/>
  <c r="T652" i="34"/>
  <c r="T651" i="34"/>
  <c r="T650" i="34"/>
  <c r="T649" i="34"/>
  <c r="T648" i="34"/>
  <c r="T647" i="34"/>
  <c r="T646" i="34"/>
  <c r="T645" i="34"/>
  <c r="T644" i="34"/>
  <c r="T643" i="34"/>
  <c r="T642" i="34"/>
  <c r="T641" i="34"/>
  <c r="T640" i="34"/>
  <c r="T639" i="34"/>
  <c r="T638" i="34"/>
  <c r="T637" i="34"/>
  <c r="T636" i="34"/>
  <c r="T635" i="34"/>
  <c r="T634" i="34"/>
  <c r="T633" i="34"/>
  <c r="T632" i="34"/>
  <c r="T631" i="34"/>
  <c r="T630" i="34"/>
  <c r="T629" i="34"/>
  <c r="T628" i="34"/>
  <c r="T627" i="34"/>
  <c r="T626" i="34"/>
  <c r="T625" i="34"/>
  <c r="T624" i="34"/>
  <c r="T623" i="34"/>
  <c r="T622" i="34"/>
  <c r="T621" i="34"/>
  <c r="T620" i="34"/>
  <c r="T619" i="34"/>
  <c r="T618" i="34"/>
  <c r="T617" i="34"/>
  <c r="T616" i="34"/>
  <c r="T615" i="34"/>
  <c r="T614" i="34"/>
  <c r="T613" i="34"/>
  <c r="T612" i="34"/>
  <c r="T611" i="34"/>
  <c r="T610" i="34"/>
  <c r="T609" i="34"/>
  <c r="T608" i="34"/>
  <c r="T607" i="34"/>
  <c r="T606" i="34"/>
  <c r="T605" i="34"/>
  <c r="T604" i="34"/>
  <c r="T603" i="34"/>
  <c r="T602" i="34"/>
  <c r="T601" i="34"/>
  <c r="T600" i="34"/>
  <c r="T599" i="34"/>
  <c r="T598" i="34"/>
  <c r="T597" i="34"/>
  <c r="T596" i="34"/>
  <c r="T595" i="34"/>
  <c r="T594" i="34"/>
  <c r="T593" i="34"/>
  <c r="T592" i="34"/>
  <c r="T591" i="34"/>
  <c r="T590" i="34"/>
  <c r="T589" i="34"/>
  <c r="T588" i="34"/>
  <c r="T587" i="34"/>
  <c r="T586" i="34"/>
  <c r="T585" i="34"/>
  <c r="T584" i="34"/>
  <c r="T583" i="34"/>
  <c r="T582" i="34"/>
  <c r="T581" i="34"/>
  <c r="T580" i="34"/>
  <c r="T579" i="34"/>
  <c r="T578" i="34"/>
  <c r="T577" i="34"/>
  <c r="T576" i="34"/>
  <c r="T575" i="34"/>
  <c r="T574" i="34"/>
  <c r="T573" i="34"/>
  <c r="T572" i="34"/>
  <c r="T571" i="34"/>
  <c r="T570" i="34"/>
  <c r="T569" i="34"/>
  <c r="T568" i="34"/>
  <c r="T567" i="34"/>
  <c r="T566" i="34"/>
  <c r="T565" i="34"/>
  <c r="T564" i="34"/>
  <c r="T563" i="34"/>
  <c r="T562" i="34"/>
  <c r="T561" i="34"/>
  <c r="T560" i="34"/>
  <c r="T559" i="34"/>
  <c r="T558" i="34"/>
  <c r="T557" i="34"/>
  <c r="T556" i="34"/>
  <c r="T555" i="34"/>
  <c r="T554" i="34"/>
  <c r="T553" i="34"/>
  <c r="T552" i="34"/>
  <c r="T551" i="34"/>
  <c r="T550" i="34"/>
  <c r="T549" i="34"/>
  <c r="T548" i="34"/>
  <c r="T547" i="34"/>
  <c r="T546" i="34"/>
  <c r="T545" i="34"/>
  <c r="T544" i="34"/>
  <c r="T543" i="34"/>
  <c r="T542" i="34"/>
  <c r="T541" i="34"/>
  <c r="T540" i="34"/>
  <c r="T539" i="34"/>
  <c r="T538" i="34"/>
  <c r="T537" i="34"/>
  <c r="T536" i="34"/>
  <c r="T535" i="34"/>
  <c r="T534" i="34"/>
  <c r="T533" i="34"/>
  <c r="T532" i="34"/>
  <c r="T531" i="34"/>
  <c r="T530" i="34"/>
  <c r="T529" i="34"/>
  <c r="T528" i="34"/>
  <c r="T527" i="34"/>
  <c r="T526" i="34"/>
  <c r="T525" i="34"/>
  <c r="T524" i="34"/>
  <c r="T523" i="34"/>
  <c r="T522" i="34"/>
  <c r="T521" i="34"/>
  <c r="T520" i="34"/>
  <c r="T519" i="34"/>
  <c r="T518" i="34"/>
  <c r="T517" i="34"/>
  <c r="T516" i="34"/>
  <c r="T515" i="34"/>
  <c r="T514" i="34"/>
  <c r="T513" i="34"/>
  <c r="T512" i="34"/>
  <c r="T511" i="34"/>
  <c r="T510" i="34"/>
  <c r="T509" i="34"/>
  <c r="T508" i="34"/>
  <c r="T507" i="34"/>
  <c r="T506" i="34"/>
  <c r="T505" i="34"/>
  <c r="T504" i="34"/>
  <c r="T503" i="34"/>
  <c r="T502" i="34"/>
  <c r="T501" i="34"/>
  <c r="T500" i="34"/>
  <c r="T499" i="34"/>
  <c r="T498" i="34"/>
  <c r="T497" i="34"/>
  <c r="T496" i="34"/>
  <c r="T495" i="34"/>
  <c r="T494" i="34"/>
  <c r="T493" i="34"/>
  <c r="T492" i="34"/>
  <c r="T491" i="34"/>
  <c r="T490" i="34"/>
  <c r="T489" i="34"/>
  <c r="T488" i="34"/>
  <c r="T487" i="34"/>
  <c r="T486" i="34"/>
  <c r="T485" i="34"/>
  <c r="T484" i="34"/>
  <c r="T483" i="34"/>
  <c r="T482" i="34"/>
  <c r="T481" i="34"/>
  <c r="T480" i="34"/>
  <c r="T479" i="34"/>
  <c r="T478" i="34"/>
  <c r="T477" i="34"/>
  <c r="T476" i="34"/>
  <c r="T475" i="34"/>
  <c r="T474" i="34"/>
  <c r="T473" i="34"/>
  <c r="T472" i="34"/>
  <c r="T471" i="34"/>
  <c r="T470" i="34"/>
  <c r="T469" i="34"/>
  <c r="T468" i="34"/>
  <c r="T467" i="34"/>
  <c r="T466" i="34"/>
  <c r="T465" i="34"/>
  <c r="T464" i="34"/>
  <c r="T463" i="34"/>
  <c r="T462" i="34"/>
  <c r="T461" i="34"/>
  <c r="T460" i="34"/>
  <c r="T459" i="34"/>
  <c r="T458" i="34"/>
  <c r="T457" i="34"/>
  <c r="T456" i="34"/>
  <c r="T455" i="34"/>
  <c r="T454" i="34"/>
  <c r="T453" i="34"/>
  <c r="T452" i="34"/>
  <c r="T451" i="34"/>
  <c r="T450" i="34"/>
  <c r="T449" i="34"/>
  <c r="T448" i="34"/>
  <c r="T447" i="34"/>
  <c r="T446" i="34"/>
  <c r="T445" i="34"/>
  <c r="T444" i="34"/>
  <c r="T443" i="34"/>
  <c r="T442" i="34"/>
  <c r="T441" i="34"/>
  <c r="T440" i="34"/>
  <c r="T439" i="34"/>
  <c r="T438" i="34"/>
  <c r="T437" i="34"/>
  <c r="T436" i="34"/>
  <c r="T435" i="34"/>
  <c r="T434" i="34"/>
  <c r="T433" i="34"/>
  <c r="T432" i="34"/>
  <c r="T431" i="34"/>
  <c r="T430" i="34"/>
  <c r="T429" i="34"/>
  <c r="T428" i="34"/>
  <c r="T427" i="34"/>
  <c r="T426" i="34"/>
  <c r="T425" i="34"/>
  <c r="T424" i="34"/>
  <c r="T423" i="34"/>
  <c r="T422" i="34"/>
  <c r="T421" i="34"/>
  <c r="T420" i="34"/>
  <c r="T419" i="34"/>
  <c r="T418" i="34"/>
  <c r="T417" i="34"/>
  <c r="T416" i="34"/>
  <c r="T415" i="34"/>
  <c r="T414" i="34"/>
  <c r="T413" i="34"/>
  <c r="T412" i="34"/>
  <c r="T411" i="34"/>
  <c r="T410" i="34"/>
  <c r="T409" i="34"/>
  <c r="T408" i="34"/>
  <c r="T407" i="34"/>
  <c r="T406" i="34"/>
  <c r="T405" i="34"/>
  <c r="T404" i="34"/>
  <c r="T403" i="34"/>
  <c r="T402" i="34"/>
  <c r="T401" i="34"/>
  <c r="T400" i="34"/>
  <c r="T399" i="34"/>
  <c r="T398" i="34"/>
  <c r="T397" i="34"/>
  <c r="T396" i="34"/>
  <c r="T395" i="34"/>
  <c r="T394" i="34"/>
  <c r="T393" i="34"/>
  <c r="T392" i="34"/>
  <c r="T391" i="34"/>
  <c r="T390" i="34"/>
  <c r="T389" i="34"/>
  <c r="T388" i="34"/>
  <c r="T387" i="34"/>
  <c r="T386" i="34"/>
  <c r="T385" i="34"/>
  <c r="T384" i="34"/>
  <c r="T383" i="34"/>
  <c r="T382" i="34"/>
  <c r="T381" i="34"/>
  <c r="T380" i="34"/>
  <c r="T379" i="34"/>
  <c r="T378" i="34"/>
  <c r="T377" i="34"/>
  <c r="T376" i="34"/>
  <c r="T375" i="34"/>
  <c r="T374" i="34"/>
  <c r="T373" i="34"/>
  <c r="T372" i="34"/>
  <c r="T371" i="34"/>
  <c r="T370" i="34"/>
  <c r="T369" i="34"/>
  <c r="T368" i="34"/>
  <c r="T367" i="34"/>
  <c r="T366" i="34"/>
  <c r="T365" i="34"/>
  <c r="T364" i="34"/>
  <c r="T363" i="34"/>
  <c r="T362" i="34"/>
  <c r="T361" i="34"/>
  <c r="T360" i="34"/>
  <c r="T359" i="34"/>
  <c r="T358" i="34"/>
  <c r="T357" i="34"/>
  <c r="T356" i="34"/>
  <c r="T355" i="34"/>
  <c r="T354" i="34"/>
  <c r="T353" i="34"/>
  <c r="T352" i="34"/>
  <c r="T351" i="34"/>
  <c r="T350" i="34"/>
  <c r="T349" i="34"/>
  <c r="T348" i="34"/>
  <c r="T347" i="34"/>
  <c r="T346" i="34"/>
  <c r="T345" i="34"/>
  <c r="T344" i="34"/>
  <c r="T343" i="34"/>
  <c r="T342" i="34"/>
  <c r="T341" i="34"/>
  <c r="T340" i="34"/>
  <c r="T339" i="34"/>
  <c r="T338" i="34"/>
  <c r="T337" i="34"/>
  <c r="T336" i="34"/>
  <c r="T335" i="34"/>
  <c r="T334" i="34"/>
  <c r="T333" i="34"/>
  <c r="T332" i="34"/>
  <c r="T331" i="34"/>
  <c r="T330" i="34"/>
  <c r="T329" i="34"/>
  <c r="T328" i="34"/>
  <c r="T327" i="34"/>
  <c r="T326" i="34"/>
  <c r="T325" i="34"/>
  <c r="T324" i="34"/>
  <c r="T323" i="34"/>
  <c r="T322" i="34"/>
  <c r="T321" i="34"/>
  <c r="T320" i="34"/>
  <c r="T319" i="34"/>
  <c r="T318" i="34"/>
  <c r="T317" i="34"/>
  <c r="T316" i="34"/>
  <c r="T315" i="34"/>
  <c r="T314" i="34"/>
  <c r="T313" i="34"/>
  <c r="T312" i="34"/>
  <c r="T311" i="34"/>
  <c r="T310" i="34"/>
  <c r="T309" i="34"/>
  <c r="T308" i="34"/>
  <c r="T307" i="34"/>
  <c r="T306" i="34"/>
  <c r="T305" i="34"/>
  <c r="T304" i="34"/>
  <c r="T303" i="34"/>
  <c r="T302" i="34"/>
  <c r="T301" i="34"/>
  <c r="T300" i="34"/>
  <c r="T299" i="34"/>
  <c r="T298" i="34"/>
  <c r="T297" i="34"/>
  <c r="T296" i="34"/>
  <c r="T295" i="34"/>
  <c r="T294" i="34"/>
  <c r="T293" i="34"/>
  <c r="T292" i="34"/>
  <c r="T291" i="34"/>
  <c r="T290" i="34"/>
  <c r="T289" i="34"/>
  <c r="T288" i="34"/>
  <c r="T287" i="34"/>
  <c r="T286" i="34"/>
  <c r="T285" i="34"/>
  <c r="T284" i="34"/>
  <c r="T283" i="34"/>
  <c r="T282" i="34"/>
  <c r="T281" i="34"/>
  <c r="T280" i="34"/>
  <c r="T279" i="34"/>
  <c r="T278" i="34"/>
  <c r="T277" i="34"/>
  <c r="T276" i="34"/>
  <c r="T275" i="34"/>
  <c r="T274" i="34"/>
  <c r="T273" i="34"/>
  <c r="T272" i="34"/>
  <c r="T271" i="34"/>
  <c r="T270" i="34"/>
  <c r="T269" i="34"/>
  <c r="T268" i="34"/>
  <c r="T267" i="34"/>
  <c r="T266" i="34"/>
  <c r="T265" i="34"/>
  <c r="T264" i="34"/>
  <c r="T263" i="34"/>
  <c r="T262" i="34"/>
  <c r="T261" i="34"/>
  <c r="T260" i="34"/>
  <c r="T259" i="34"/>
  <c r="T258" i="34"/>
  <c r="T257" i="34"/>
  <c r="T256" i="34"/>
  <c r="T255" i="34"/>
  <c r="T254" i="34"/>
  <c r="T253" i="34"/>
  <c r="T252" i="34"/>
  <c r="T251" i="34"/>
  <c r="T250" i="34"/>
  <c r="T249" i="34"/>
  <c r="T248" i="34"/>
  <c r="T247" i="34"/>
  <c r="T246" i="34"/>
  <c r="T245" i="34"/>
  <c r="T244" i="34"/>
  <c r="T243" i="34"/>
  <c r="T242" i="34"/>
  <c r="T241" i="34"/>
  <c r="T240" i="34"/>
  <c r="T239" i="34"/>
  <c r="T238" i="34"/>
  <c r="T237" i="34"/>
  <c r="T236" i="34"/>
  <c r="T235" i="34"/>
  <c r="T234" i="34"/>
  <c r="T233" i="34"/>
  <c r="T232" i="34"/>
  <c r="T231" i="34"/>
  <c r="T230" i="34"/>
  <c r="T229" i="34"/>
  <c r="T228" i="34"/>
  <c r="T227" i="34"/>
  <c r="T226" i="34"/>
  <c r="T225" i="34"/>
  <c r="T224" i="34"/>
  <c r="T223" i="34"/>
  <c r="T222" i="34"/>
  <c r="T221" i="34"/>
  <c r="T220" i="34"/>
  <c r="T219" i="34"/>
  <c r="T218" i="34"/>
  <c r="T217" i="34"/>
  <c r="T216" i="34"/>
  <c r="T215" i="34"/>
  <c r="T214" i="34"/>
  <c r="T213" i="34"/>
  <c r="T212" i="34"/>
  <c r="T211" i="34"/>
  <c r="T210" i="34"/>
  <c r="T209" i="34"/>
  <c r="T208" i="34"/>
  <c r="T207" i="34"/>
  <c r="T206" i="34"/>
  <c r="T205" i="34"/>
  <c r="T204" i="34"/>
  <c r="T203" i="34"/>
  <c r="T202" i="34"/>
  <c r="T201" i="34"/>
  <c r="T200" i="34"/>
  <c r="T199" i="34"/>
  <c r="T198" i="34"/>
  <c r="T197" i="34"/>
  <c r="T196" i="34"/>
  <c r="T195" i="34"/>
  <c r="T194" i="34"/>
  <c r="T193" i="34"/>
  <c r="T192" i="34"/>
  <c r="T191" i="34"/>
  <c r="T190" i="34"/>
  <c r="T189" i="34"/>
  <c r="T188" i="34"/>
  <c r="T187" i="34"/>
  <c r="T186" i="34"/>
  <c r="T185" i="34"/>
  <c r="T184" i="34"/>
  <c r="T183" i="34"/>
  <c r="T182" i="34"/>
  <c r="T181" i="34"/>
  <c r="T180" i="34"/>
  <c r="T179" i="34"/>
  <c r="T178" i="34"/>
  <c r="T177" i="34"/>
  <c r="T176" i="34"/>
  <c r="T175" i="34"/>
  <c r="T174" i="34"/>
  <c r="T173" i="34"/>
  <c r="T172" i="34"/>
  <c r="T171" i="34"/>
  <c r="T170" i="34"/>
  <c r="T169" i="34"/>
  <c r="T168" i="34"/>
  <c r="T167" i="34"/>
  <c r="T166" i="34"/>
  <c r="T165" i="34"/>
  <c r="T164" i="34"/>
  <c r="T163" i="34"/>
  <c r="T162" i="34"/>
  <c r="T161" i="34"/>
  <c r="T160" i="34"/>
  <c r="T159" i="34"/>
  <c r="T158" i="34"/>
  <c r="T157" i="34"/>
  <c r="T156" i="34"/>
  <c r="T155" i="34"/>
  <c r="T154" i="34"/>
  <c r="T153" i="34"/>
  <c r="T152" i="34"/>
  <c r="T151" i="34"/>
  <c r="T150" i="34"/>
  <c r="T149" i="34"/>
  <c r="T148" i="34"/>
  <c r="T147" i="34"/>
  <c r="T146" i="34"/>
  <c r="T145" i="34"/>
  <c r="T144" i="34"/>
  <c r="T143" i="34"/>
  <c r="T142" i="34"/>
  <c r="T141" i="34"/>
  <c r="T140" i="34"/>
  <c r="T139" i="34"/>
  <c r="T138" i="34"/>
  <c r="T137" i="34"/>
  <c r="T136" i="34"/>
  <c r="T135" i="34"/>
  <c r="T134" i="34"/>
  <c r="T133" i="34"/>
  <c r="T132" i="34"/>
  <c r="T131" i="34"/>
  <c r="T130" i="34"/>
  <c r="T129" i="34"/>
  <c r="T128" i="34"/>
  <c r="T127" i="34"/>
  <c r="T126" i="34"/>
  <c r="T125" i="34"/>
  <c r="T124" i="34"/>
  <c r="T123" i="34"/>
  <c r="T122" i="34"/>
  <c r="T121" i="34"/>
  <c r="T120" i="34"/>
  <c r="T119" i="34"/>
  <c r="T118" i="34"/>
  <c r="T117" i="34"/>
  <c r="T116" i="34"/>
  <c r="T115" i="34"/>
  <c r="T114" i="34"/>
  <c r="T113" i="34"/>
  <c r="T112" i="34"/>
  <c r="T111" i="34"/>
  <c r="T110" i="34"/>
  <c r="T109" i="34"/>
  <c r="T108" i="34"/>
  <c r="T107" i="34"/>
  <c r="T106" i="34"/>
  <c r="T105" i="34"/>
  <c r="T104" i="34"/>
  <c r="T103" i="34"/>
  <c r="T102" i="34"/>
  <c r="T101" i="34"/>
  <c r="T100" i="34"/>
  <c r="T99" i="34"/>
  <c r="T98" i="34"/>
  <c r="T97" i="34"/>
  <c r="T96" i="34"/>
  <c r="T95" i="34"/>
  <c r="T94" i="34"/>
  <c r="T93" i="34"/>
  <c r="T92" i="34"/>
  <c r="T91" i="34"/>
  <c r="T90" i="34"/>
  <c r="T89" i="34"/>
  <c r="T88" i="34"/>
  <c r="T87" i="34"/>
  <c r="T86" i="34"/>
  <c r="T85" i="34"/>
  <c r="T84" i="34"/>
  <c r="T83" i="34"/>
  <c r="T82" i="34"/>
  <c r="T81" i="34"/>
  <c r="T80" i="34"/>
  <c r="T79" i="34"/>
  <c r="T78" i="34"/>
  <c r="T77" i="34"/>
  <c r="T76" i="34"/>
  <c r="T75" i="34"/>
  <c r="T74" i="34"/>
  <c r="T73" i="34"/>
  <c r="T72" i="34"/>
  <c r="T71" i="34"/>
  <c r="T70" i="34"/>
  <c r="T69" i="34"/>
  <c r="T68" i="34"/>
  <c r="T67" i="34"/>
  <c r="T66" i="34"/>
  <c r="T65" i="34"/>
  <c r="T64" i="34"/>
  <c r="T63" i="34"/>
  <c r="T62" i="34"/>
  <c r="T61" i="34"/>
  <c r="T60" i="34"/>
  <c r="T59" i="34"/>
  <c r="T58" i="34"/>
  <c r="T57" i="34"/>
  <c r="T56" i="34"/>
  <c r="T55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2" i="34"/>
  <c r="T41" i="34"/>
  <c r="T40" i="34"/>
  <c r="T39" i="34"/>
  <c r="T38" i="34"/>
  <c r="T37" i="34"/>
  <c r="T36" i="34"/>
  <c r="T35" i="34"/>
  <c r="T34" i="34"/>
  <c r="T33" i="34"/>
  <c r="T32" i="34"/>
  <c r="T31" i="34"/>
  <c r="T30" i="34"/>
  <c r="T29" i="34"/>
  <c r="T28" i="34"/>
  <c r="T27" i="34"/>
  <c r="T26" i="34"/>
  <c r="T25" i="34"/>
  <c r="T24" i="34"/>
  <c r="T23" i="34"/>
  <c r="T22" i="34"/>
  <c r="T21" i="34"/>
  <c r="T20" i="34"/>
  <c r="T19" i="34"/>
  <c r="T18" i="34"/>
  <c r="T17" i="34"/>
  <c r="U22" i="34"/>
  <c r="U30" i="34"/>
  <c r="U33" i="34"/>
  <c r="U36" i="34"/>
  <c r="U39" i="34"/>
  <c r="U40" i="34"/>
  <c r="U50" i="34"/>
  <c r="U55" i="34"/>
  <c r="U57" i="34"/>
  <c r="U59" i="34"/>
  <c r="U67" i="34"/>
  <c r="U69" i="34"/>
  <c r="U72" i="34"/>
  <c r="U81" i="34"/>
  <c r="U85" i="34"/>
  <c r="U89" i="34"/>
  <c r="U93" i="34"/>
  <c r="U100" i="34"/>
  <c r="U104" i="34"/>
  <c r="U109" i="34"/>
  <c r="U114" i="34"/>
  <c r="U118" i="34"/>
  <c r="U127" i="34"/>
  <c r="U132" i="34"/>
  <c r="U133" i="34"/>
  <c r="U135" i="34"/>
  <c r="U140" i="34"/>
  <c r="U141" i="34"/>
  <c r="U147" i="34"/>
  <c r="U150" i="34"/>
  <c r="U154" i="34"/>
  <c r="U160" i="34"/>
  <c r="U163" i="34"/>
  <c r="U166" i="34"/>
  <c r="U172" i="34"/>
  <c r="U178" i="34"/>
  <c r="U185" i="34"/>
  <c r="U191" i="34"/>
  <c r="U198" i="34"/>
  <c r="U202" i="34"/>
  <c r="U204" i="34"/>
  <c r="U209" i="34"/>
  <c r="U211" i="34"/>
  <c r="U215" i="34"/>
  <c r="U223" i="34"/>
  <c r="U232" i="34"/>
  <c r="U240" i="34"/>
  <c r="U241" i="34"/>
  <c r="U247" i="34"/>
  <c r="U250" i="34"/>
  <c r="U252" i="34"/>
  <c r="U262" i="34"/>
  <c r="U275" i="34"/>
  <c r="U280" i="34"/>
  <c r="U284" i="34"/>
  <c r="U287" i="34"/>
  <c r="U291" i="34"/>
  <c r="U297" i="34"/>
  <c r="U300" i="34"/>
  <c r="U304" i="34"/>
  <c r="U307" i="34"/>
  <c r="U316" i="34"/>
  <c r="U317" i="34"/>
  <c r="U325" i="34"/>
  <c r="U328" i="34"/>
  <c r="U338" i="34"/>
  <c r="U343" i="34"/>
  <c r="U344" i="34"/>
  <c r="U348" i="34"/>
  <c r="U352" i="34"/>
  <c r="U358" i="34"/>
  <c r="U362" i="34"/>
  <c r="U372" i="34"/>
  <c r="U375" i="34"/>
  <c r="U378" i="34"/>
  <c r="U387" i="34"/>
  <c r="U392" i="34"/>
  <c r="U396" i="34"/>
  <c r="U400" i="34"/>
  <c r="U405" i="34"/>
  <c r="U411" i="34"/>
  <c r="U413" i="34"/>
  <c r="U419" i="34"/>
  <c r="U422" i="34"/>
  <c r="U427" i="34"/>
  <c r="U436" i="34"/>
  <c r="U447" i="34"/>
  <c r="U459" i="34"/>
  <c r="U463" i="34"/>
  <c r="U466" i="34"/>
  <c r="U474" i="34"/>
  <c r="U486" i="34"/>
  <c r="U494" i="34"/>
  <c r="U499" i="34"/>
  <c r="U502" i="34"/>
  <c r="U512" i="34"/>
  <c r="U516" i="34"/>
  <c r="U517" i="34"/>
  <c r="U521" i="34"/>
  <c r="U523" i="34"/>
  <c r="U526" i="34"/>
  <c r="U533" i="34"/>
  <c r="U539" i="34"/>
  <c r="U540" i="34"/>
  <c r="U542" i="34"/>
  <c r="U545" i="34"/>
  <c r="U554" i="34"/>
  <c r="U555" i="34"/>
  <c r="U562" i="34"/>
  <c r="U564" i="34"/>
  <c r="U571" i="34"/>
  <c r="U573" i="34"/>
  <c r="U577" i="34"/>
  <c r="U582" i="34"/>
  <c r="U594" i="34"/>
  <c r="U598" i="34"/>
  <c r="U606" i="34"/>
  <c r="U612" i="34"/>
  <c r="U617" i="34"/>
  <c r="U618" i="34"/>
  <c r="U625" i="34"/>
  <c r="U629" i="34"/>
  <c r="U636" i="34"/>
  <c r="U637" i="34"/>
  <c r="U641" i="34"/>
  <c r="U644" i="34"/>
  <c r="U649" i="34"/>
  <c r="U652" i="34"/>
  <c r="U656" i="34"/>
  <c r="U659" i="34"/>
  <c r="U662" i="34"/>
  <c r="U664" i="34"/>
  <c r="U665" i="34"/>
  <c r="U676" i="34"/>
  <c r="U678" i="34"/>
  <c r="U687" i="34"/>
  <c r="U692" i="34"/>
  <c r="U698" i="34"/>
  <c r="U699" i="34"/>
  <c r="U700" i="34"/>
  <c r="U705" i="34"/>
  <c r="U713" i="34"/>
  <c r="U717" i="34"/>
  <c r="U723" i="34"/>
  <c r="U725" i="34"/>
  <c r="U728" i="34"/>
  <c r="U732" i="34"/>
  <c r="U737" i="34"/>
  <c r="U741" i="34"/>
  <c r="U744" i="34"/>
  <c r="U748" i="34"/>
  <c r="U752" i="34"/>
  <c r="U754" i="34"/>
  <c r="U758" i="34"/>
  <c r="U760" i="34"/>
  <c r="U770" i="34"/>
  <c r="U776" i="34"/>
  <c r="U781" i="34"/>
  <c r="U785" i="34"/>
  <c r="U788" i="34"/>
  <c r="U790" i="34"/>
  <c r="U792" i="34"/>
  <c r="U795" i="34"/>
  <c r="U800" i="34"/>
  <c r="U805" i="34"/>
  <c r="U806" i="34"/>
  <c r="U811" i="34"/>
  <c r="U813" i="34"/>
  <c r="U821" i="34"/>
  <c r="U826" i="34"/>
  <c r="U828" i="34"/>
  <c r="V22" i="34"/>
  <c r="V30" i="34"/>
  <c r="V33" i="34"/>
  <c r="V36" i="34"/>
  <c r="V39" i="34"/>
  <c r="V40" i="34"/>
  <c r="V50" i="34"/>
  <c r="V55" i="34"/>
  <c r="V57" i="34"/>
  <c r="V59" i="34"/>
  <c r="V67" i="34"/>
  <c r="V69" i="34"/>
  <c r="V72" i="34"/>
  <c r="V81" i="34"/>
  <c r="V85" i="34"/>
  <c r="V89" i="34"/>
  <c r="V93" i="34"/>
  <c r="V100" i="34"/>
  <c r="V104" i="34"/>
  <c r="V109" i="34"/>
  <c r="V114" i="34"/>
  <c r="V118" i="34"/>
  <c r="V127" i="34"/>
  <c r="V132" i="34"/>
  <c r="V133" i="34"/>
  <c r="V135" i="34"/>
  <c r="V140" i="34"/>
  <c r="V141" i="34"/>
  <c r="V147" i="34"/>
  <c r="V150" i="34"/>
  <c r="V154" i="34"/>
  <c r="V160" i="34"/>
  <c r="V163" i="34"/>
  <c r="V166" i="34"/>
  <c r="V172" i="34"/>
  <c r="V178" i="34"/>
  <c r="V185" i="34"/>
  <c r="V191" i="34"/>
  <c r="V198" i="34"/>
  <c r="V202" i="34"/>
  <c r="V204" i="34"/>
  <c r="V209" i="34"/>
  <c r="V211" i="34"/>
  <c r="V215" i="34"/>
  <c r="V223" i="34"/>
  <c r="V232" i="34"/>
  <c r="V240" i="34"/>
  <c r="V241" i="34"/>
  <c r="V247" i="34"/>
  <c r="V250" i="34"/>
  <c r="V252" i="34"/>
  <c r="V262" i="34"/>
  <c r="V275" i="34"/>
  <c r="V280" i="34"/>
  <c r="V284" i="34"/>
  <c r="V287" i="34"/>
  <c r="V291" i="34"/>
  <c r="V297" i="34"/>
  <c r="V300" i="34"/>
  <c r="V304" i="34"/>
  <c r="V307" i="34"/>
  <c r="V316" i="34"/>
  <c r="V317" i="34"/>
  <c r="V325" i="34"/>
  <c r="V328" i="34"/>
  <c r="V338" i="34"/>
  <c r="V343" i="34"/>
  <c r="V344" i="34"/>
  <c r="V348" i="34"/>
  <c r="V352" i="34"/>
  <c r="V358" i="34"/>
  <c r="V362" i="34"/>
  <c r="V372" i="34"/>
  <c r="V375" i="34"/>
  <c r="V378" i="34"/>
  <c r="V387" i="34"/>
  <c r="V392" i="34"/>
  <c r="V396" i="34"/>
  <c r="V400" i="34"/>
  <c r="V405" i="34"/>
  <c r="V411" i="34"/>
  <c r="V413" i="34"/>
  <c r="V419" i="34"/>
  <c r="V422" i="34"/>
  <c r="V427" i="34"/>
  <c r="V436" i="34"/>
  <c r="V447" i="34"/>
  <c r="V459" i="34"/>
  <c r="V463" i="34"/>
  <c r="V466" i="34"/>
  <c r="V474" i="34"/>
  <c r="V486" i="34"/>
  <c r="V494" i="34"/>
  <c r="V499" i="34"/>
  <c r="V502" i="34"/>
  <c r="V512" i="34"/>
  <c r="V516" i="34"/>
  <c r="V517" i="34"/>
  <c r="V521" i="34"/>
  <c r="V523" i="34"/>
  <c r="V526" i="34"/>
  <c r="V533" i="34"/>
  <c r="V539" i="34"/>
  <c r="V540" i="34"/>
  <c r="V542" i="34"/>
  <c r="V545" i="34"/>
  <c r="V554" i="34"/>
  <c r="V555" i="34"/>
  <c r="V562" i="34"/>
  <c r="V564" i="34"/>
  <c r="V571" i="34"/>
  <c r="V573" i="34"/>
  <c r="V577" i="34"/>
  <c r="V582" i="34"/>
  <c r="V594" i="34"/>
  <c r="V598" i="34"/>
  <c r="V606" i="34"/>
  <c r="V612" i="34"/>
  <c r="V617" i="34"/>
  <c r="V618" i="34"/>
  <c r="V625" i="34"/>
  <c r="V629" i="34"/>
  <c r="V636" i="34"/>
  <c r="V637" i="34"/>
  <c r="V641" i="34"/>
  <c r="V644" i="34"/>
  <c r="V649" i="34"/>
  <c r="V652" i="34"/>
  <c r="V656" i="34"/>
  <c r="V659" i="34"/>
  <c r="V662" i="34"/>
  <c r="V664" i="34"/>
  <c r="V665" i="34"/>
  <c r="V676" i="34"/>
  <c r="V678" i="34"/>
  <c r="V687" i="34"/>
  <c r="V692" i="34"/>
  <c r="V698" i="34"/>
  <c r="V699" i="34"/>
  <c r="V700" i="34"/>
  <c r="V705" i="34"/>
  <c r="V713" i="34"/>
  <c r="V717" i="34"/>
  <c r="V723" i="34"/>
  <c r="V725" i="34"/>
  <c r="V728" i="34"/>
  <c r="V732" i="34"/>
  <c r="V737" i="34"/>
  <c r="V741" i="34"/>
  <c r="V744" i="34"/>
  <c r="V748" i="34"/>
  <c r="V752" i="34"/>
  <c r="V754" i="34"/>
  <c r="V758" i="34"/>
  <c r="V760" i="34"/>
  <c r="V770" i="34"/>
  <c r="V776" i="34"/>
  <c r="V781" i="34"/>
  <c r="V785" i="34"/>
  <c r="V788" i="34"/>
  <c r="V790" i="34"/>
  <c r="V792" i="34"/>
  <c r="V795" i="34"/>
  <c r="V800" i="34"/>
  <c r="V805" i="34"/>
  <c r="V806" i="34"/>
  <c r="V811" i="34"/>
  <c r="V813" i="34"/>
  <c r="V821" i="34"/>
  <c r="V826" i="34"/>
  <c r="V828" i="34"/>
  <c r="W22" i="34"/>
  <c r="W30" i="34"/>
  <c r="W33" i="34"/>
  <c r="W36" i="34"/>
  <c r="W39" i="34"/>
  <c r="W40" i="34"/>
  <c r="W50" i="34"/>
  <c r="W55" i="34"/>
  <c r="W57" i="34"/>
  <c r="W59" i="34"/>
  <c r="W67" i="34"/>
  <c r="W69" i="34"/>
  <c r="W72" i="34"/>
  <c r="W81" i="34"/>
  <c r="W85" i="34"/>
  <c r="W89" i="34"/>
  <c r="W93" i="34"/>
  <c r="W100" i="34"/>
  <c r="W104" i="34"/>
  <c r="W109" i="34"/>
  <c r="W114" i="34"/>
  <c r="W118" i="34"/>
  <c r="W127" i="34"/>
  <c r="W132" i="34"/>
  <c r="W133" i="34"/>
  <c r="W135" i="34"/>
  <c r="W140" i="34"/>
  <c r="W141" i="34"/>
  <c r="W147" i="34"/>
  <c r="W150" i="34"/>
  <c r="W154" i="34"/>
  <c r="W160" i="34"/>
  <c r="W163" i="34"/>
  <c r="W166" i="34"/>
  <c r="W172" i="34"/>
  <c r="W178" i="34"/>
  <c r="W185" i="34"/>
  <c r="W191" i="34"/>
  <c r="W198" i="34"/>
  <c r="W202" i="34"/>
  <c r="W204" i="34"/>
  <c r="W209" i="34"/>
  <c r="W211" i="34"/>
  <c r="W215" i="34"/>
  <c r="W223" i="34"/>
  <c r="W232" i="34"/>
  <c r="W240" i="34"/>
  <c r="W241" i="34"/>
  <c r="W247" i="34"/>
  <c r="W250" i="34"/>
  <c r="W252" i="34"/>
  <c r="W262" i="34"/>
  <c r="W275" i="34"/>
  <c r="W280" i="34"/>
  <c r="W284" i="34"/>
  <c r="W287" i="34"/>
  <c r="W291" i="34"/>
  <c r="W297" i="34"/>
  <c r="W300" i="34"/>
  <c r="W304" i="34"/>
  <c r="W307" i="34"/>
  <c r="W316" i="34"/>
  <c r="W317" i="34"/>
  <c r="W325" i="34"/>
  <c r="W328" i="34"/>
  <c r="W338" i="34"/>
  <c r="W343" i="34"/>
  <c r="W344" i="34"/>
  <c r="W348" i="34"/>
  <c r="W352" i="34"/>
  <c r="W358" i="34"/>
  <c r="W362" i="34"/>
  <c r="W372" i="34"/>
  <c r="W375" i="34"/>
  <c r="W378" i="34"/>
  <c r="W387" i="34"/>
  <c r="W392" i="34"/>
  <c r="W396" i="34"/>
  <c r="W400" i="34"/>
  <c r="W405" i="34"/>
  <c r="W411" i="34"/>
  <c r="W413" i="34"/>
  <c r="W419" i="34"/>
  <c r="W422" i="34"/>
  <c r="W427" i="34"/>
  <c r="W436" i="34"/>
  <c r="W447" i="34"/>
  <c r="W459" i="34"/>
  <c r="W463" i="34"/>
  <c r="W466" i="34"/>
  <c r="W474" i="34"/>
  <c r="W486" i="34"/>
  <c r="W494" i="34"/>
  <c r="W499" i="34"/>
  <c r="W502" i="34"/>
  <c r="W512" i="34"/>
  <c r="W516" i="34"/>
  <c r="W517" i="34"/>
  <c r="W521" i="34"/>
  <c r="W523" i="34"/>
  <c r="W526" i="34"/>
  <c r="W533" i="34"/>
  <c r="W539" i="34"/>
  <c r="W540" i="34"/>
  <c r="W542" i="34"/>
  <c r="W545" i="34"/>
  <c r="W554" i="34"/>
  <c r="W555" i="34"/>
  <c r="W562" i="34"/>
  <c r="W564" i="34"/>
  <c r="W571" i="34"/>
  <c r="W573" i="34"/>
  <c r="W577" i="34"/>
  <c r="W582" i="34"/>
  <c r="W594" i="34"/>
  <c r="W598" i="34"/>
  <c r="W606" i="34"/>
  <c r="W612" i="34"/>
  <c r="W617" i="34"/>
  <c r="W618" i="34"/>
  <c r="W625" i="34"/>
  <c r="W629" i="34"/>
  <c r="W636" i="34"/>
  <c r="W637" i="34"/>
  <c r="W641" i="34"/>
  <c r="W644" i="34"/>
  <c r="W649" i="34"/>
  <c r="W652" i="34"/>
  <c r="W656" i="34"/>
  <c r="W659" i="34"/>
  <c r="W662" i="34"/>
  <c r="W664" i="34"/>
  <c r="W665" i="34"/>
  <c r="W676" i="34"/>
  <c r="W678" i="34"/>
  <c r="W687" i="34"/>
  <c r="W692" i="34"/>
  <c r="W698" i="34"/>
  <c r="W699" i="34"/>
  <c r="W700" i="34"/>
  <c r="W705" i="34"/>
  <c r="W713" i="34"/>
  <c r="W717" i="34"/>
  <c r="W723" i="34"/>
  <c r="W725" i="34"/>
  <c r="W728" i="34"/>
  <c r="W732" i="34"/>
  <c r="W737" i="34"/>
  <c r="W741" i="34"/>
  <c r="W744" i="34"/>
  <c r="W748" i="34"/>
  <c r="W752" i="34"/>
  <c r="W754" i="34"/>
  <c r="W758" i="34"/>
  <c r="W760" i="34"/>
  <c r="W770" i="34"/>
  <c r="W776" i="34"/>
  <c r="W781" i="34"/>
  <c r="W785" i="34"/>
  <c r="W788" i="34"/>
  <c r="W790" i="34"/>
  <c r="W792" i="34"/>
  <c r="W795" i="34"/>
  <c r="W800" i="34"/>
  <c r="W805" i="34"/>
  <c r="W806" i="34"/>
  <c r="W811" i="34"/>
  <c r="W813" i="34"/>
  <c r="W821" i="34"/>
  <c r="W826" i="34"/>
  <c r="W828" i="34"/>
  <c r="X22" i="34"/>
  <c r="X30" i="34"/>
  <c r="X33" i="34"/>
  <c r="X36" i="34"/>
  <c r="X39" i="34"/>
  <c r="X40" i="34"/>
  <c r="X50" i="34"/>
  <c r="X55" i="34"/>
  <c r="X57" i="34"/>
  <c r="X59" i="34"/>
  <c r="X67" i="34"/>
  <c r="X69" i="34"/>
  <c r="X72" i="34"/>
  <c r="X81" i="34"/>
  <c r="X85" i="34"/>
  <c r="X89" i="34"/>
  <c r="X93" i="34"/>
  <c r="X100" i="34"/>
  <c r="X104" i="34"/>
  <c r="X109" i="34"/>
  <c r="X114" i="34"/>
  <c r="X118" i="34"/>
  <c r="X127" i="34"/>
  <c r="X132" i="34"/>
  <c r="X133" i="34"/>
  <c r="X135" i="34"/>
  <c r="X140" i="34"/>
  <c r="X141" i="34"/>
  <c r="X147" i="34"/>
  <c r="X150" i="34"/>
  <c r="X154" i="34"/>
  <c r="X160" i="34"/>
  <c r="X163" i="34"/>
  <c r="X166" i="34"/>
  <c r="X172" i="34"/>
  <c r="X178" i="34"/>
  <c r="X185" i="34"/>
  <c r="X191" i="34"/>
  <c r="X198" i="34"/>
  <c r="X202" i="34"/>
  <c r="X204" i="34"/>
  <c r="X209" i="34"/>
  <c r="X211" i="34"/>
  <c r="X215" i="34"/>
  <c r="X223" i="34"/>
  <c r="X232" i="34"/>
  <c r="X240" i="34"/>
  <c r="X241" i="34"/>
  <c r="X247" i="34"/>
  <c r="X250" i="34"/>
  <c r="X252" i="34"/>
  <c r="X262" i="34"/>
  <c r="X275" i="34"/>
  <c r="X280" i="34"/>
  <c r="X284" i="34"/>
  <c r="X287" i="34"/>
  <c r="X291" i="34"/>
  <c r="X297" i="34"/>
  <c r="X300" i="34"/>
  <c r="X304" i="34"/>
  <c r="X307" i="34"/>
  <c r="X316" i="34"/>
  <c r="X317" i="34"/>
  <c r="X325" i="34"/>
  <c r="X328" i="34"/>
  <c r="X338" i="34"/>
  <c r="X343" i="34"/>
  <c r="X344" i="34"/>
  <c r="X348" i="34"/>
  <c r="X352" i="34"/>
  <c r="X358" i="34"/>
  <c r="X362" i="34"/>
  <c r="X372" i="34"/>
  <c r="X375" i="34"/>
  <c r="X378" i="34"/>
  <c r="X387" i="34"/>
  <c r="X392" i="34"/>
  <c r="X396" i="34"/>
  <c r="X400" i="34"/>
  <c r="X405" i="34"/>
  <c r="X411" i="34"/>
  <c r="X413" i="34"/>
  <c r="X419" i="34"/>
  <c r="X422" i="34"/>
  <c r="X427" i="34"/>
  <c r="X436" i="34"/>
  <c r="X447" i="34"/>
  <c r="X459" i="34"/>
  <c r="X463" i="34"/>
  <c r="X466" i="34"/>
  <c r="X474" i="34"/>
  <c r="X486" i="34"/>
  <c r="X494" i="34"/>
  <c r="X499" i="34"/>
  <c r="X502" i="34"/>
  <c r="X512" i="34"/>
  <c r="X516" i="34"/>
  <c r="X517" i="34"/>
  <c r="X521" i="34"/>
  <c r="X523" i="34"/>
  <c r="X526" i="34"/>
  <c r="X533" i="34"/>
  <c r="X539" i="34"/>
  <c r="X540" i="34"/>
  <c r="X542" i="34"/>
  <c r="X545" i="34"/>
  <c r="X554" i="34"/>
  <c r="X555" i="34"/>
  <c r="X562" i="34"/>
  <c r="X564" i="34"/>
  <c r="X571" i="34"/>
  <c r="X573" i="34"/>
  <c r="X577" i="34"/>
  <c r="X582" i="34"/>
  <c r="X594" i="34"/>
  <c r="X598" i="34"/>
  <c r="X606" i="34"/>
  <c r="X612" i="34"/>
  <c r="X617" i="34"/>
  <c r="X618" i="34"/>
  <c r="X625" i="34"/>
  <c r="X629" i="34"/>
  <c r="X636" i="34"/>
  <c r="X637" i="34"/>
  <c r="X641" i="34"/>
  <c r="X644" i="34"/>
  <c r="X649" i="34"/>
  <c r="X652" i="34"/>
  <c r="X656" i="34"/>
  <c r="X659" i="34"/>
  <c r="X662" i="34"/>
  <c r="X664" i="34"/>
  <c r="X665" i="34"/>
  <c r="X676" i="34"/>
  <c r="X678" i="34"/>
  <c r="X687" i="34"/>
  <c r="X692" i="34"/>
  <c r="X698" i="34"/>
  <c r="X699" i="34"/>
  <c r="X700" i="34"/>
  <c r="X705" i="34"/>
  <c r="X713" i="34"/>
  <c r="X717" i="34"/>
  <c r="X723" i="34"/>
  <c r="X725" i="34"/>
  <c r="X728" i="34"/>
  <c r="X732" i="34"/>
  <c r="X737" i="34"/>
  <c r="X741" i="34"/>
  <c r="X744" i="34"/>
  <c r="X748" i="34"/>
  <c r="X752" i="34"/>
  <c r="X754" i="34"/>
  <c r="X758" i="34"/>
  <c r="X760" i="34"/>
  <c r="X770" i="34"/>
  <c r="X776" i="34"/>
  <c r="X781" i="34"/>
  <c r="X785" i="34"/>
  <c r="X788" i="34"/>
  <c r="X790" i="34"/>
  <c r="X792" i="34"/>
  <c r="X795" i="34"/>
  <c r="X800" i="34"/>
  <c r="X805" i="34"/>
  <c r="X806" i="34"/>
  <c r="X811" i="34"/>
  <c r="X813" i="34"/>
  <c r="X821" i="34"/>
  <c r="X826" i="34"/>
  <c r="X828" i="34"/>
  <c r="Y22" i="34"/>
  <c r="Y30" i="34"/>
  <c r="Y33" i="34"/>
  <c r="Y36" i="34"/>
  <c r="Y39" i="34"/>
  <c r="Y40" i="34"/>
  <c r="Y50" i="34"/>
  <c r="Y55" i="34"/>
  <c r="Y57" i="34"/>
  <c r="Y59" i="34"/>
  <c r="Y67" i="34"/>
  <c r="Y69" i="34"/>
  <c r="Y72" i="34"/>
  <c r="Y81" i="34"/>
  <c r="Y85" i="34"/>
  <c r="Y89" i="34"/>
  <c r="Y93" i="34"/>
  <c r="Y100" i="34"/>
  <c r="Y104" i="34"/>
  <c r="Y109" i="34"/>
  <c r="Y114" i="34"/>
  <c r="Y118" i="34"/>
  <c r="Y127" i="34"/>
  <c r="Y132" i="34"/>
  <c r="Y133" i="34"/>
  <c r="Y135" i="34"/>
  <c r="Y140" i="34"/>
  <c r="Y141" i="34"/>
  <c r="Y147" i="34"/>
  <c r="Y150" i="34"/>
  <c r="Y154" i="34"/>
  <c r="Y160" i="34"/>
  <c r="Y163" i="34"/>
  <c r="Y166" i="34"/>
  <c r="Y172" i="34"/>
  <c r="Y178" i="34"/>
  <c r="Y185" i="34"/>
  <c r="Y191" i="34"/>
  <c r="Y198" i="34"/>
  <c r="Y202" i="34"/>
  <c r="Y204" i="34"/>
  <c r="Y209" i="34"/>
  <c r="Y211" i="34"/>
  <c r="Y215" i="34"/>
  <c r="Y223" i="34"/>
  <c r="Y232" i="34"/>
  <c r="Y240" i="34"/>
  <c r="Y241" i="34"/>
  <c r="Y247" i="34"/>
  <c r="Y250" i="34"/>
  <c r="Y252" i="34"/>
  <c r="Y262" i="34"/>
  <c r="Y275" i="34"/>
  <c r="Y280" i="34"/>
  <c r="Y284" i="34"/>
  <c r="Y287" i="34"/>
  <c r="Y291" i="34"/>
  <c r="Y297" i="34"/>
  <c r="Y300" i="34"/>
  <c r="Y304" i="34"/>
  <c r="Y307" i="34"/>
  <c r="Y316" i="34"/>
  <c r="Y317" i="34"/>
  <c r="Y325" i="34"/>
  <c r="Y328" i="34"/>
  <c r="Y338" i="34"/>
  <c r="Y343" i="34"/>
  <c r="Y344" i="34"/>
  <c r="Y348" i="34"/>
  <c r="Y352" i="34"/>
  <c r="Y358" i="34"/>
  <c r="Y362" i="34"/>
  <c r="Y372" i="34"/>
  <c r="Y375" i="34"/>
  <c r="Y378" i="34"/>
  <c r="Y387" i="34"/>
  <c r="Y392" i="34"/>
  <c r="Y396" i="34"/>
  <c r="Y400" i="34"/>
  <c r="Y405" i="34"/>
  <c r="Y411" i="34"/>
  <c r="Y413" i="34"/>
  <c r="Y419" i="34"/>
  <c r="Y422" i="34"/>
  <c r="Y427" i="34"/>
  <c r="Y436" i="34"/>
  <c r="Y447" i="34"/>
  <c r="Y459" i="34"/>
  <c r="Y463" i="34"/>
  <c r="Y466" i="34"/>
  <c r="Y474" i="34"/>
  <c r="Y486" i="34"/>
  <c r="Y494" i="34"/>
  <c r="Y499" i="34"/>
  <c r="Y502" i="34"/>
  <c r="Y512" i="34"/>
  <c r="Y516" i="34"/>
  <c r="Y517" i="34"/>
  <c r="Y521" i="34"/>
  <c r="Y523" i="34"/>
  <c r="Y526" i="34"/>
  <c r="Y533" i="34"/>
  <c r="Y539" i="34"/>
  <c r="Y540" i="34"/>
  <c r="Y542" i="34"/>
  <c r="Y545" i="34"/>
  <c r="Y554" i="34"/>
  <c r="Y555" i="34"/>
  <c r="Y562" i="34"/>
  <c r="Y564" i="34"/>
  <c r="Y571" i="34"/>
  <c r="Y573" i="34"/>
  <c r="Y577" i="34"/>
  <c r="Y582" i="34"/>
  <c r="Y594" i="34"/>
  <c r="Y598" i="34"/>
  <c r="Y606" i="34"/>
  <c r="Y612" i="34"/>
  <c r="Y617" i="34"/>
  <c r="Y618" i="34"/>
  <c r="Y625" i="34"/>
  <c r="Y629" i="34"/>
  <c r="Y636" i="34"/>
  <c r="Y637" i="34"/>
  <c r="Y641" i="34"/>
  <c r="Y644" i="34"/>
  <c r="Y649" i="34"/>
  <c r="Y652" i="34"/>
  <c r="Y656" i="34"/>
  <c r="Y659" i="34"/>
  <c r="Y662" i="34"/>
  <c r="Y664" i="34"/>
  <c r="Y665" i="34"/>
  <c r="Y676" i="34"/>
  <c r="Y678" i="34"/>
  <c r="Y687" i="34"/>
  <c r="Y692" i="34"/>
  <c r="Y698" i="34"/>
  <c r="Y699" i="34"/>
  <c r="Y700" i="34"/>
  <c r="Y705" i="34"/>
  <c r="Y713" i="34"/>
  <c r="Y717" i="34"/>
  <c r="Y723" i="34"/>
  <c r="Y725" i="34"/>
  <c r="Y728" i="34"/>
  <c r="Y732" i="34"/>
  <c r="Y737" i="34"/>
  <c r="Y741" i="34"/>
  <c r="Y744" i="34"/>
  <c r="Y748" i="34"/>
  <c r="Y752" i="34"/>
  <c r="Y754" i="34"/>
  <c r="Y758" i="34"/>
  <c r="Y760" i="34"/>
  <c r="Y770" i="34"/>
  <c r="Y776" i="34"/>
  <c r="Y781" i="34"/>
  <c r="Y785" i="34"/>
  <c r="Y788" i="34"/>
  <c r="Y790" i="34"/>
  <c r="Y792" i="34"/>
  <c r="Y795" i="34"/>
  <c r="Y800" i="34"/>
  <c r="Y805" i="34"/>
  <c r="Y806" i="34"/>
  <c r="Y811" i="34"/>
  <c r="Y813" i="34"/>
  <c r="Y821" i="34"/>
  <c r="Y826" i="34"/>
  <c r="Y828" i="34"/>
  <c r="Z22" i="34"/>
  <c r="Z30" i="34"/>
  <c r="Z33" i="34"/>
  <c r="Z36" i="34"/>
  <c r="Z39" i="34"/>
  <c r="Z40" i="34"/>
  <c r="Z50" i="34"/>
  <c r="Z55" i="34"/>
  <c r="Z57" i="34"/>
  <c r="Z59" i="34"/>
  <c r="Z67" i="34"/>
  <c r="Z69" i="34"/>
  <c r="Z72" i="34"/>
  <c r="Z81" i="34"/>
  <c r="Z85" i="34"/>
  <c r="Z89" i="34"/>
  <c r="Z93" i="34"/>
  <c r="Z100" i="34"/>
  <c r="Z104" i="34"/>
  <c r="Z109" i="34"/>
  <c r="Z114" i="34"/>
  <c r="Z118" i="34"/>
  <c r="Z127" i="34"/>
  <c r="Z132" i="34"/>
  <c r="Z133" i="34"/>
  <c r="Z135" i="34"/>
  <c r="Z140" i="34"/>
  <c r="Z141" i="34"/>
  <c r="Z147" i="34"/>
  <c r="Z150" i="34"/>
  <c r="Z154" i="34"/>
  <c r="Z160" i="34"/>
  <c r="Z163" i="34"/>
  <c r="Z166" i="34"/>
  <c r="Z172" i="34"/>
  <c r="Z178" i="34"/>
  <c r="Z185" i="34"/>
  <c r="Z191" i="34"/>
  <c r="Z198" i="34"/>
  <c r="Z202" i="34"/>
  <c r="Z204" i="34"/>
  <c r="Z209" i="34"/>
  <c r="Z211" i="34"/>
  <c r="Z215" i="34"/>
  <c r="Z223" i="34"/>
  <c r="Z232" i="34"/>
  <c r="Z240" i="34"/>
  <c r="Z241" i="34"/>
  <c r="Z247" i="34"/>
  <c r="Z250" i="34"/>
  <c r="Z252" i="34"/>
  <c r="Z262" i="34"/>
  <c r="Z275" i="34"/>
  <c r="Z280" i="34"/>
  <c r="Z284" i="34"/>
  <c r="Z287" i="34"/>
  <c r="Z291" i="34"/>
  <c r="Z297" i="34"/>
  <c r="Z300" i="34"/>
  <c r="Z304" i="34"/>
  <c r="Z307" i="34"/>
  <c r="Z316" i="34"/>
  <c r="Z317" i="34"/>
  <c r="Z325" i="34"/>
  <c r="Z328" i="34"/>
  <c r="Z338" i="34"/>
  <c r="Z343" i="34"/>
  <c r="Z344" i="34"/>
  <c r="Z348" i="34"/>
  <c r="Z352" i="34"/>
  <c r="Z358" i="34"/>
  <c r="Z362" i="34"/>
  <c r="Z372" i="34"/>
  <c r="Z375" i="34"/>
  <c r="Z378" i="34"/>
  <c r="Z387" i="34"/>
  <c r="Z392" i="34"/>
  <c r="Z396" i="34"/>
  <c r="Z400" i="34"/>
  <c r="Z405" i="34"/>
  <c r="Z411" i="34"/>
  <c r="Z413" i="34"/>
  <c r="Z419" i="34"/>
  <c r="Z422" i="34"/>
  <c r="Z427" i="34"/>
  <c r="Z436" i="34"/>
  <c r="Z447" i="34"/>
  <c r="Z459" i="34"/>
  <c r="Z463" i="34"/>
  <c r="Z466" i="34"/>
  <c r="Z474" i="34"/>
  <c r="Z486" i="34"/>
  <c r="Z494" i="34"/>
  <c r="Z499" i="34"/>
  <c r="Z502" i="34"/>
  <c r="Z512" i="34"/>
  <c r="Z516" i="34"/>
  <c r="Z517" i="34"/>
  <c r="Z521" i="34"/>
  <c r="Z523" i="34"/>
  <c r="Z526" i="34"/>
  <c r="Z533" i="34"/>
  <c r="Z539" i="34"/>
  <c r="Z540" i="34"/>
  <c r="Z542" i="34"/>
  <c r="Z545" i="34"/>
  <c r="Z554" i="34"/>
  <c r="Z555" i="34"/>
  <c r="Z562" i="34"/>
  <c r="Z564" i="34"/>
  <c r="Z571" i="34"/>
  <c r="Z573" i="34"/>
  <c r="Z577" i="34"/>
  <c r="Z582" i="34"/>
  <c r="Z594" i="34"/>
  <c r="Z598" i="34"/>
  <c r="Z606" i="34"/>
  <c r="Z612" i="34"/>
  <c r="Z617" i="34"/>
  <c r="Z618" i="34"/>
  <c r="Z625" i="34"/>
  <c r="Z629" i="34"/>
  <c r="Z636" i="34"/>
  <c r="Z637" i="34"/>
  <c r="Z641" i="34"/>
  <c r="Z644" i="34"/>
  <c r="Z649" i="34"/>
  <c r="Z652" i="34"/>
  <c r="Z656" i="34"/>
  <c r="Z659" i="34"/>
  <c r="Z662" i="34"/>
  <c r="Z664" i="34"/>
  <c r="Z665" i="34"/>
  <c r="Z676" i="34"/>
  <c r="Z678" i="34"/>
  <c r="Z687" i="34"/>
  <c r="Z692" i="34"/>
  <c r="Z698" i="34"/>
  <c r="Z699" i="34"/>
  <c r="Z700" i="34"/>
  <c r="Z705" i="34"/>
  <c r="Z713" i="34"/>
  <c r="Z717" i="34"/>
  <c r="Z723" i="34"/>
  <c r="Z725" i="34"/>
  <c r="Z728" i="34"/>
  <c r="Z732" i="34"/>
  <c r="Z737" i="34"/>
  <c r="Z741" i="34"/>
  <c r="Z744" i="34"/>
  <c r="Z748" i="34"/>
  <c r="Z752" i="34"/>
  <c r="Z754" i="34"/>
  <c r="Z758" i="34"/>
  <c r="Z760" i="34"/>
  <c r="Z770" i="34"/>
  <c r="Z776" i="34"/>
  <c r="Z781" i="34"/>
  <c r="Z785" i="34"/>
  <c r="Z788" i="34"/>
  <c r="Z790" i="34"/>
  <c r="Z792" i="34"/>
  <c r="Z795" i="34"/>
  <c r="Z800" i="34"/>
  <c r="Z805" i="34"/>
  <c r="Z806" i="34"/>
  <c r="Z811" i="34"/>
  <c r="Z813" i="34"/>
  <c r="Z821" i="34"/>
  <c r="Z826" i="34"/>
  <c r="Z828" i="34"/>
  <c r="AA22" i="34"/>
  <c r="AA30" i="34"/>
  <c r="AA33" i="34"/>
  <c r="AA36" i="34"/>
  <c r="AA39" i="34"/>
  <c r="AA40" i="34"/>
  <c r="AA50" i="34"/>
  <c r="AA55" i="34"/>
  <c r="AA57" i="34"/>
  <c r="AA59" i="34"/>
  <c r="AA67" i="34"/>
  <c r="AA69" i="34"/>
  <c r="AA72" i="34"/>
  <c r="AA81" i="34"/>
  <c r="AA85" i="34"/>
  <c r="AA89" i="34"/>
  <c r="AA93" i="34"/>
  <c r="AA100" i="34"/>
  <c r="AA104" i="34"/>
  <c r="AA109" i="34"/>
  <c r="AA114" i="34"/>
  <c r="AA118" i="34"/>
  <c r="AA127" i="34"/>
  <c r="AA132" i="34"/>
  <c r="AA133" i="34"/>
  <c r="AA135" i="34"/>
  <c r="AA140" i="34"/>
  <c r="AA141" i="34"/>
  <c r="AA147" i="34"/>
  <c r="AA150" i="34"/>
  <c r="AA154" i="34"/>
  <c r="AA160" i="34"/>
  <c r="AA163" i="34"/>
  <c r="AA166" i="34"/>
  <c r="AA172" i="34"/>
  <c r="AA178" i="34"/>
  <c r="AA185" i="34"/>
  <c r="AA191" i="34"/>
  <c r="AA198" i="34"/>
  <c r="AA202" i="34"/>
  <c r="AA204" i="34"/>
  <c r="AA209" i="34"/>
  <c r="AA211" i="34"/>
  <c r="AA215" i="34"/>
  <c r="AA223" i="34"/>
  <c r="AA232" i="34"/>
  <c r="AA240" i="34"/>
  <c r="AA241" i="34"/>
  <c r="AA247" i="34"/>
  <c r="AA250" i="34"/>
  <c r="AA252" i="34"/>
  <c r="AA262" i="34"/>
  <c r="AA275" i="34"/>
  <c r="AA280" i="34"/>
  <c r="AA284" i="34"/>
  <c r="AA287" i="34"/>
  <c r="AA291" i="34"/>
  <c r="AA297" i="34"/>
  <c r="AA300" i="34"/>
  <c r="AA304" i="34"/>
  <c r="AA307" i="34"/>
  <c r="AA316" i="34"/>
  <c r="AA317" i="34"/>
  <c r="AA325" i="34"/>
  <c r="AA328" i="34"/>
  <c r="AA338" i="34"/>
  <c r="AA343" i="34"/>
  <c r="AA344" i="34"/>
  <c r="AA348" i="34"/>
  <c r="AA352" i="34"/>
  <c r="AA358" i="34"/>
  <c r="AA362" i="34"/>
  <c r="AA372" i="34"/>
  <c r="AA375" i="34"/>
  <c r="AA378" i="34"/>
  <c r="AA387" i="34"/>
  <c r="AA392" i="34"/>
  <c r="AA396" i="34"/>
  <c r="AA400" i="34"/>
  <c r="AA405" i="34"/>
  <c r="AA411" i="34"/>
  <c r="AA413" i="34"/>
  <c r="AA419" i="34"/>
  <c r="AA422" i="34"/>
  <c r="AA427" i="34"/>
  <c r="AA436" i="34"/>
  <c r="AA447" i="34"/>
  <c r="AA459" i="34"/>
  <c r="AA463" i="34"/>
  <c r="AA466" i="34"/>
  <c r="AA474" i="34"/>
  <c r="AA486" i="34"/>
  <c r="AA494" i="34"/>
  <c r="AA499" i="34"/>
  <c r="AA502" i="34"/>
  <c r="AA512" i="34"/>
  <c r="AA516" i="34"/>
  <c r="AA517" i="34"/>
  <c r="AA521" i="34"/>
  <c r="AA523" i="34"/>
  <c r="AA526" i="34"/>
  <c r="AA533" i="34"/>
  <c r="AA539" i="34"/>
  <c r="AA540" i="34"/>
  <c r="AA542" i="34"/>
  <c r="AA545" i="34"/>
  <c r="AA554" i="34"/>
  <c r="AA555" i="34"/>
  <c r="AA562" i="34"/>
  <c r="AA564" i="34"/>
  <c r="AA571" i="34"/>
  <c r="AA573" i="34"/>
  <c r="AA577" i="34"/>
  <c r="AA582" i="34"/>
  <c r="AA594" i="34"/>
  <c r="AA598" i="34"/>
  <c r="AA606" i="34"/>
  <c r="AA612" i="34"/>
  <c r="AA617" i="34"/>
  <c r="AA618" i="34"/>
  <c r="AA625" i="34"/>
  <c r="AA629" i="34"/>
  <c r="AA636" i="34"/>
  <c r="AA637" i="34"/>
  <c r="AA641" i="34"/>
  <c r="AA644" i="34"/>
  <c r="AA649" i="34"/>
  <c r="AA652" i="34"/>
  <c r="AA656" i="34"/>
  <c r="AA659" i="34"/>
  <c r="AA662" i="34"/>
  <c r="AA664" i="34"/>
  <c r="AA665" i="34"/>
  <c r="AA676" i="34"/>
  <c r="AA678" i="34"/>
  <c r="AA687" i="34"/>
  <c r="AA692" i="34"/>
  <c r="AA698" i="34"/>
  <c r="AA699" i="34"/>
  <c r="AA700" i="34"/>
  <c r="AA705" i="34"/>
  <c r="AA713" i="34"/>
  <c r="AA717" i="34"/>
  <c r="AA723" i="34"/>
  <c r="AA725" i="34"/>
  <c r="AA728" i="34"/>
  <c r="AA732" i="34"/>
  <c r="AA737" i="34"/>
  <c r="AA741" i="34"/>
  <c r="AA744" i="34"/>
  <c r="AA748" i="34"/>
  <c r="AA752" i="34"/>
  <c r="AA754" i="34"/>
  <c r="AA758" i="34"/>
  <c r="AA760" i="34"/>
  <c r="AA770" i="34"/>
  <c r="AA776" i="34"/>
  <c r="AA781" i="34"/>
  <c r="AA785" i="34"/>
  <c r="AA788" i="34"/>
  <c r="AA790" i="34"/>
  <c r="AA792" i="34"/>
  <c r="AA795" i="34"/>
  <c r="AA800" i="34"/>
  <c r="AA805" i="34"/>
  <c r="AA806" i="34"/>
  <c r="AA811" i="34"/>
  <c r="AA813" i="34"/>
  <c r="AA821" i="34"/>
  <c r="AA826" i="34"/>
  <c r="AA828" i="34"/>
  <c r="AB22" i="34"/>
  <c r="AB30" i="34"/>
  <c r="AB33" i="34"/>
  <c r="AB36" i="34"/>
  <c r="AB39" i="34"/>
  <c r="AB40" i="34"/>
  <c r="AB50" i="34"/>
  <c r="AB55" i="34"/>
  <c r="AB57" i="34"/>
  <c r="AB59" i="34"/>
  <c r="AB67" i="34"/>
  <c r="AB69" i="34"/>
  <c r="AB72" i="34"/>
  <c r="AB81" i="34"/>
  <c r="AB85" i="34"/>
  <c r="AB89" i="34"/>
  <c r="AB93" i="34"/>
  <c r="AB100" i="34"/>
  <c r="AB104" i="34"/>
  <c r="AB109" i="34"/>
  <c r="AB114" i="34"/>
  <c r="AB118" i="34"/>
  <c r="AB127" i="34"/>
  <c r="AB132" i="34"/>
  <c r="AB133" i="34"/>
  <c r="AB135" i="34"/>
  <c r="AB140" i="34"/>
  <c r="AB141" i="34"/>
  <c r="AB147" i="34"/>
  <c r="AB150" i="34"/>
  <c r="AB154" i="34"/>
  <c r="AB160" i="34"/>
  <c r="AB163" i="34"/>
  <c r="AB166" i="34"/>
  <c r="AB172" i="34"/>
  <c r="AB178" i="34"/>
  <c r="AB185" i="34"/>
  <c r="AB191" i="34"/>
  <c r="AB198" i="34"/>
  <c r="AB202" i="34"/>
  <c r="AB204" i="34"/>
  <c r="AB209" i="34"/>
  <c r="AB211" i="34"/>
  <c r="AB215" i="34"/>
  <c r="AB223" i="34"/>
  <c r="AB232" i="34"/>
  <c r="AB240" i="34"/>
  <c r="AB241" i="34"/>
  <c r="AB247" i="34"/>
  <c r="AB250" i="34"/>
  <c r="AB252" i="34"/>
  <c r="AB262" i="34"/>
  <c r="AB275" i="34"/>
  <c r="AB280" i="34"/>
  <c r="AB284" i="34"/>
  <c r="AB287" i="34"/>
  <c r="AB291" i="34"/>
  <c r="AB297" i="34"/>
  <c r="AB300" i="34"/>
  <c r="AB304" i="34"/>
  <c r="AB307" i="34"/>
  <c r="AB316" i="34"/>
  <c r="AB317" i="34"/>
  <c r="AB325" i="34"/>
  <c r="AB328" i="34"/>
  <c r="AB338" i="34"/>
  <c r="AB343" i="34"/>
  <c r="AB344" i="34"/>
  <c r="AB348" i="34"/>
  <c r="AB352" i="34"/>
  <c r="AB358" i="34"/>
  <c r="AB362" i="34"/>
  <c r="AB372" i="34"/>
  <c r="AB375" i="34"/>
  <c r="AB378" i="34"/>
  <c r="AB387" i="34"/>
  <c r="AB392" i="34"/>
  <c r="AB396" i="34"/>
  <c r="AB400" i="34"/>
  <c r="AB405" i="34"/>
  <c r="AB411" i="34"/>
  <c r="AB413" i="34"/>
  <c r="AB419" i="34"/>
  <c r="AB422" i="34"/>
  <c r="AB427" i="34"/>
  <c r="AB436" i="34"/>
  <c r="AB447" i="34"/>
  <c r="AB459" i="34"/>
  <c r="AB463" i="34"/>
  <c r="AB466" i="34"/>
  <c r="AB474" i="34"/>
  <c r="AB486" i="34"/>
  <c r="AB494" i="34"/>
  <c r="AB499" i="34"/>
  <c r="AB502" i="34"/>
  <c r="AB512" i="34"/>
  <c r="AB516" i="34"/>
  <c r="AB517" i="34"/>
  <c r="AB521" i="34"/>
  <c r="AB523" i="34"/>
  <c r="AB526" i="34"/>
  <c r="AB533" i="34"/>
  <c r="AB539" i="34"/>
  <c r="AB540" i="34"/>
  <c r="AB542" i="34"/>
  <c r="AB545" i="34"/>
  <c r="AB554" i="34"/>
  <c r="AB555" i="34"/>
  <c r="AB562" i="34"/>
  <c r="AB564" i="34"/>
  <c r="AB571" i="34"/>
  <c r="AB573" i="34"/>
  <c r="AB577" i="34"/>
  <c r="AB582" i="34"/>
  <c r="AB594" i="34"/>
  <c r="AB598" i="34"/>
  <c r="AB606" i="34"/>
  <c r="AB612" i="34"/>
  <c r="AB617" i="34"/>
  <c r="AB618" i="34"/>
  <c r="AB625" i="34"/>
  <c r="AB629" i="34"/>
  <c r="AB636" i="34"/>
  <c r="AB637" i="34"/>
  <c r="AB641" i="34"/>
  <c r="AB644" i="34"/>
  <c r="AB649" i="34"/>
  <c r="AB652" i="34"/>
  <c r="AB656" i="34"/>
  <c r="AB659" i="34"/>
  <c r="AB662" i="34"/>
  <c r="AB664" i="34"/>
  <c r="AB665" i="34"/>
  <c r="AB676" i="34"/>
  <c r="AB678" i="34"/>
  <c r="AB687" i="34"/>
  <c r="AB692" i="34"/>
  <c r="AB698" i="34"/>
  <c r="AB699" i="34"/>
  <c r="AB700" i="34"/>
  <c r="AB705" i="34"/>
  <c r="AB713" i="34"/>
  <c r="AB717" i="34"/>
  <c r="AB723" i="34"/>
  <c r="AB725" i="34"/>
  <c r="AB728" i="34"/>
  <c r="AB732" i="34"/>
  <c r="AB737" i="34"/>
  <c r="AB741" i="34"/>
  <c r="AB744" i="34"/>
  <c r="AB748" i="34"/>
  <c r="AB752" i="34"/>
  <c r="AB754" i="34"/>
  <c r="AB758" i="34"/>
  <c r="AB760" i="34"/>
  <c r="AB770" i="34"/>
  <c r="AB776" i="34"/>
  <c r="AB781" i="34"/>
  <c r="AB785" i="34"/>
  <c r="AB788" i="34"/>
  <c r="AB790" i="34"/>
  <c r="AB792" i="34"/>
  <c r="AB795" i="34"/>
  <c r="AB800" i="34"/>
  <c r="AB805" i="34"/>
  <c r="AB806" i="34"/>
  <c r="AB811" i="34"/>
  <c r="AB813" i="34"/>
  <c r="AB821" i="34"/>
  <c r="AB826" i="34"/>
  <c r="AB828" i="34"/>
  <c r="AC22" i="34"/>
  <c r="AC30" i="34"/>
  <c r="AC33" i="34"/>
  <c r="AC36" i="34"/>
  <c r="AC39" i="34"/>
  <c r="AC40" i="34"/>
  <c r="AC50" i="34"/>
  <c r="AC55" i="34"/>
  <c r="AC57" i="34"/>
  <c r="AC59" i="34"/>
  <c r="AC67" i="34"/>
  <c r="AC69" i="34"/>
  <c r="AC72" i="34"/>
  <c r="AC81" i="34"/>
  <c r="AC85" i="34"/>
  <c r="AC89" i="34"/>
  <c r="AC93" i="34"/>
  <c r="AC100" i="34"/>
  <c r="AC104" i="34"/>
  <c r="AC109" i="34"/>
  <c r="AC114" i="34"/>
  <c r="AC118" i="34"/>
  <c r="AC127" i="34"/>
  <c r="AC132" i="34"/>
  <c r="AC133" i="34"/>
  <c r="AC135" i="34"/>
  <c r="AC140" i="34"/>
  <c r="AC141" i="34"/>
  <c r="AC147" i="34"/>
  <c r="AC150" i="34"/>
  <c r="AC154" i="34"/>
  <c r="AC160" i="34"/>
  <c r="AC163" i="34"/>
  <c r="AC166" i="34"/>
  <c r="AC172" i="34"/>
  <c r="AC178" i="34"/>
  <c r="AC185" i="34"/>
  <c r="AC191" i="34"/>
  <c r="AC198" i="34"/>
  <c r="AC202" i="34"/>
  <c r="AC204" i="34"/>
  <c r="AC209" i="34"/>
  <c r="AC211" i="34"/>
  <c r="AC215" i="34"/>
  <c r="AC223" i="34"/>
  <c r="AC232" i="34"/>
  <c r="AC240" i="34"/>
  <c r="AC241" i="34"/>
  <c r="AC247" i="34"/>
  <c r="AC250" i="34"/>
  <c r="AC252" i="34"/>
  <c r="AC262" i="34"/>
  <c r="AC275" i="34"/>
  <c r="AC280" i="34"/>
  <c r="AC284" i="34"/>
  <c r="AC287" i="34"/>
  <c r="AC291" i="34"/>
  <c r="AC297" i="34"/>
  <c r="AC300" i="34"/>
  <c r="AC304" i="34"/>
  <c r="AC307" i="34"/>
  <c r="AC316" i="34"/>
  <c r="AC317" i="34"/>
  <c r="AC325" i="34"/>
  <c r="AC328" i="34"/>
  <c r="AC338" i="34"/>
  <c r="AC343" i="34"/>
  <c r="AC344" i="34"/>
  <c r="AC348" i="34"/>
  <c r="AC352" i="34"/>
  <c r="AC358" i="34"/>
  <c r="AC362" i="34"/>
  <c r="AC372" i="34"/>
  <c r="AC375" i="34"/>
  <c r="AC378" i="34"/>
  <c r="AC387" i="34"/>
  <c r="AC392" i="34"/>
  <c r="AC396" i="34"/>
  <c r="AC400" i="34"/>
  <c r="AC405" i="34"/>
  <c r="AC411" i="34"/>
  <c r="AC413" i="34"/>
  <c r="AC419" i="34"/>
  <c r="AC422" i="34"/>
  <c r="AC427" i="34"/>
  <c r="AC436" i="34"/>
  <c r="AC447" i="34"/>
  <c r="AC459" i="34"/>
  <c r="AC463" i="34"/>
  <c r="AC466" i="34"/>
  <c r="AC474" i="34"/>
  <c r="AC486" i="34"/>
  <c r="AC494" i="34"/>
  <c r="AC499" i="34"/>
  <c r="AC502" i="34"/>
  <c r="AC512" i="34"/>
  <c r="AC516" i="34"/>
  <c r="AC517" i="34"/>
  <c r="AC521" i="34"/>
  <c r="AC523" i="34"/>
  <c r="AC526" i="34"/>
  <c r="AC533" i="34"/>
  <c r="AC539" i="34"/>
  <c r="AC540" i="34"/>
  <c r="AC542" i="34"/>
  <c r="AC545" i="34"/>
  <c r="AC554" i="34"/>
  <c r="AC555" i="34"/>
  <c r="AC562" i="34"/>
  <c r="AC564" i="34"/>
  <c r="AC571" i="34"/>
  <c r="AC573" i="34"/>
  <c r="AC577" i="34"/>
  <c r="AC582" i="34"/>
  <c r="AC594" i="34"/>
  <c r="AC598" i="34"/>
  <c r="AC606" i="34"/>
  <c r="AC612" i="34"/>
  <c r="AC617" i="34"/>
  <c r="AC618" i="34"/>
  <c r="AC625" i="34"/>
  <c r="AC629" i="34"/>
  <c r="AC636" i="34"/>
  <c r="AC637" i="34"/>
  <c r="AC641" i="34"/>
  <c r="AC644" i="34"/>
  <c r="AC649" i="34"/>
  <c r="AC652" i="34"/>
  <c r="AC656" i="34"/>
  <c r="AC659" i="34"/>
  <c r="AC662" i="34"/>
  <c r="AC664" i="34"/>
  <c r="AC665" i="34"/>
  <c r="AC676" i="34"/>
  <c r="AC678" i="34"/>
  <c r="AC687" i="34"/>
  <c r="AC692" i="34"/>
  <c r="AC698" i="34"/>
  <c r="AC699" i="34"/>
  <c r="AC700" i="34"/>
  <c r="AC705" i="34"/>
  <c r="AC713" i="34"/>
  <c r="AC717" i="34"/>
  <c r="AC723" i="34"/>
  <c r="AC725" i="34"/>
  <c r="AC728" i="34"/>
  <c r="AC732" i="34"/>
  <c r="AC737" i="34"/>
  <c r="AC741" i="34"/>
  <c r="AC744" i="34"/>
  <c r="AC748" i="34"/>
  <c r="AC752" i="34"/>
  <c r="AC754" i="34"/>
  <c r="AC758" i="34"/>
  <c r="AC760" i="34"/>
  <c r="AC770" i="34"/>
  <c r="AC776" i="34"/>
  <c r="AC781" i="34"/>
  <c r="AC785" i="34"/>
  <c r="AC788" i="34"/>
  <c r="AC790" i="34"/>
  <c r="AC792" i="34"/>
  <c r="AC795" i="34"/>
  <c r="AC800" i="34"/>
  <c r="AC805" i="34"/>
  <c r="AC806" i="34"/>
  <c r="AC811" i="34"/>
  <c r="AC813" i="34"/>
  <c r="AC821" i="34"/>
  <c r="AC826" i="34"/>
  <c r="AC828" i="34"/>
  <c r="AD22" i="34"/>
  <c r="AD30" i="34"/>
  <c r="AD33" i="34"/>
  <c r="AD36" i="34"/>
  <c r="AD39" i="34"/>
  <c r="AD40" i="34"/>
  <c r="AD50" i="34"/>
  <c r="AD55" i="34"/>
  <c r="AD57" i="34"/>
  <c r="AD59" i="34"/>
  <c r="AD67" i="34"/>
  <c r="AD69" i="34"/>
  <c r="AD72" i="34"/>
  <c r="AD81" i="34"/>
  <c r="AD85" i="34"/>
  <c r="AD89" i="34"/>
  <c r="AD93" i="34"/>
  <c r="AD100" i="34"/>
  <c r="AD104" i="34"/>
  <c r="AD109" i="34"/>
  <c r="AD114" i="34"/>
  <c r="AD118" i="34"/>
  <c r="AD127" i="34"/>
  <c r="AD132" i="34"/>
  <c r="AD133" i="34"/>
  <c r="AD135" i="34"/>
  <c r="AD140" i="34"/>
  <c r="AD141" i="34"/>
  <c r="AD147" i="34"/>
  <c r="AD150" i="34"/>
  <c r="AD154" i="34"/>
  <c r="AD160" i="34"/>
  <c r="AD163" i="34"/>
  <c r="AD166" i="34"/>
  <c r="AD172" i="34"/>
  <c r="AD178" i="34"/>
  <c r="AD185" i="34"/>
  <c r="AD191" i="34"/>
  <c r="AD198" i="34"/>
  <c r="AD202" i="34"/>
  <c r="AD204" i="34"/>
  <c r="AD209" i="34"/>
  <c r="AD211" i="34"/>
  <c r="AD215" i="34"/>
  <c r="AD223" i="34"/>
  <c r="AD232" i="34"/>
  <c r="AD240" i="34"/>
  <c r="AD241" i="34"/>
  <c r="AD247" i="34"/>
  <c r="AD250" i="34"/>
  <c r="AD252" i="34"/>
  <c r="AD262" i="34"/>
  <c r="AD275" i="34"/>
  <c r="AD280" i="34"/>
  <c r="AD284" i="34"/>
  <c r="AD287" i="34"/>
  <c r="AD291" i="34"/>
  <c r="AD297" i="34"/>
  <c r="AD300" i="34"/>
  <c r="AD304" i="34"/>
  <c r="AD307" i="34"/>
  <c r="AD316" i="34"/>
  <c r="AD317" i="34"/>
  <c r="AD325" i="34"/>
  <c r="AD328" i="34"/>
  <c r="AD338" i="34"/>
  <c r="AD343" i="34"/>
  <c r="AD344" i="34"/>
  <c r="AD348" i="34"/>
  <c r="AD352" i="34"/>
  <c r="AD358" i="34"/>
  <c r="AD362" i="34"/>
  <c r="AD372" i="34"/>
  <c r="AD375" i="34"/>
  <c r="AD378" i="34"/>
  <c r="AD387" i="34"/>
  <c r="AD392" i="34"/>
  <c r="AD396" i="34"/>
  <c r="AD400" i="34"/>
  <c r="AD405" i="34"/>
  <c r="AD411" i="34"/>
  <c r="AD413" i="34"/>
  <c r="AD419" i="34"/>
  <c r="AD422" i="34"/>
  <c r="AD427" i="34"/>
  <c r="AD436" i="34"/>
  <c r="AD447" i="34"/>
  <c r="AD459" i="34"/>
  <c r="AD463" i="34"/>
  <c r="AD466" i="34"/>
  <c r="AD474" i="34"/>
  <c r="AD486" i="34"/>
  <c r="AD494" i="34"/>
  <c r="AD499" i="34"/>
  <c r="AD502" i="34"/>
  <c r="AD512" i="34"/>
  <c r="AD516" i="34"/>
  <c r="AD517" i="34"/>
  <c r="AD521" i="34"/>
  <c r="AD523" i="34"/>
  <c r="AD526" i="34"/>
  <c r="AD533" i="34"/>
  <c r="AD539" i="34"/>
  <c r="AD540" i="34"/>
  <c r="AD542" i="34"/>
  <c r="AD545" i="34"/>
  <c r="AD554" i="34"/>
  <c r="AD555" i="34"/>
  <c r="AD562" i="34"/>
  <c r="AD564" i="34"/>
  <c r="AD571" i="34"/>
  <c r="AD573" i="34"/>
  <c r="AD577" i="34"/>
  <c r="AD582" i="34"/>
  <c r="AD594" i="34"/>
  <c r="AD598" i="34"/>
  <c r="AD606" i="34"/>
  <c r="AD612" i="34"/>
  <c r="AD617" i="34"/>
  <c r="AD618" i="34"/>
  <c r="AD625" i="34"/>
  <c r="AD629" i="34"/>
  <c r="AD636" i="34"/>
  <c r="AD637" i="34"/>
  <c r="AD641" i="34"/>
  <c r="AD644" i="34"/>
  <c r="AD649" i="34"/>
  <c r="AD652" i="34"/>
  <c r="AD656" i="34"/>
  <c r="AD659" i="34"/>
  <c r="AD662" i="34"/>
  <c r="AD664" i="34"/>
  <c r="AD665" i="34"/>
  <c r="AD676" i="34"/>
  <c r="AD678" i="34"/>
  <c r="AD687" i="34"/>
  <c r="AD692" i="34"/>
  <c r="AD698" i="34"/>
  <c r="AD699" i="34"/>
  <c r="AD700" i="34"/>
  <c r="AD705" i="34"/>
  <c r="AD713" i="34"/>
  <c r="AD717" i="34"/>
  <c r="AD723" i="34"/>
  <c r="AD725" i="34"/>
  <c r="AD728" i="34"/>
  <c r="AD732" i="34"/>
  <c r="AD737" i="34"/>
  <c r="AD741" i="34"/>
  <c r="AD744" i="34"/>
  <c r="AD748" i="34"/>
  <c r="AD752" i="34"/>
  <c r="AD754" i="34"/>
  <c r="AD758" i="34"/>
  <c r="AD760" i="34"/>
  <c r="AD770" i="34"/>
  <c r="AD776" i="34"/>
  <c r="AD781" i="34"/>
  <c r="AD785" i="34"/>
  <c r="AD788" i="34"/>
  <c r="AD790" i="34"/>
  <c r="AD792" i="34"/>
  <c r="AD795" i="34"/>
  <c r="AD800" i="34"/>
  <c r="AD805" i="34"/>
  <c r="AD806" i="34"/>
  <c r="AD811" i="34"/>
  <c r="AD813" i="34"/>
  <c r="AD821" i="34"/>
  <c r="AD826" i="34"/>
  <c r="AD828" i="34"/>
  <c r="AE22" i="34"/>
  <c r="AE30" i="34"/>
  <c r="AE33" i="34"/>
  <c r="AE36" i="34"/>
  <c r="AE39" i="34"/>
  <c r="AE40" i="34"/>
  <c r="AE50" i="34"/>
  <c r="AE55" i="34"/>
  <c r="AE57" i="34"/>
  <c r="AE59" i="34"/>
  <c r="AE67" i="34"/>
  <c r="AE69" i="34"/>
  <c r="AE72" i="34"/>
  <c r="AE81" i="34"/>
  <c r="AE85" i="34"/>
  <c r="AE89" i="34"/>
  <c r="AE93" i="34"/>
  <c r="AE100" i="34"/>
  <c r="AE104" i="34"/>
  <c r="AE109" i="34"/>
  <c r="AE114" i="34"/>
  <c r="AE118" i="34"/>
  <c r="AE127" i="34"/>
  <c r="AE132" i="34"/>
  <c r="AE133" i="34"/>
  <c r="AE135" i="34"/>
  <c r="AE140" i="34"/>
  <c r="AE141" i="34"/>
  <c r="AE147" i="34"/>
  <c r="AE150" i="34"/>
  <c r="AE154" i="34"/>
  <c r="AE160" i="34"/>
  <c r="AE163" i="34"/>
  <c r="AE166" i="34"/>
  <c r="AE172" i="34"/>
  <c r="AE178" i="34"/>
  <c r="AE185" i="34"/>
  <c r="AE191" i="34"/>
  <c r="AE198" i="34"/>
  <c r="AE202" i="34"/>
  <c r="AE204" i="34"/>
  <c r="AE209" i="34"/>
  <c r="AE211" i="34"/>
  <c r="AE215" i="34"/>
  <c r="AE223" i="34"/>
  <c r="AE232" i="34"/>
  <c r="AE240" i="34"/>
  <c r="AE241" i="34"/>
  <c r="AE247" i="34"/>
  <c r="AE250" i="34"/>
  <c r="AE252" i="34"/>
  <c r="AE262" i="34"/>
  <c r="AE275" i="34"/>
  <c r="AE280" i="34"/>
  <c r="AE284" i="34"/>
  <c r="AE287" i="34"/>
  <c r="AE291" i="34"/>
  <c r="AE297" i="34"/>
  <c r="AE300" i="34"/>
  <c r="AE304" i="34"/>
  <c r="AE307" i="34"/>
  <c r="AE316" i="34"/>
  <c r="AE317" i="34"/>
  <c r="AE325" i="34"/>
  <c r="AE328" i="34"/>
  <c r="AE338" i="34"/>
  <c r="AE343" i="34"/>
  <c r="AE344" i="34"/>
  <c r="AE348" i="34"/>
  <c r="AE352" i="34"/>
  <c r="AE358" i="34"/>
  <c r="AE362" i="34"/>
  <c r="AE372" i="34"/>
  <c r="AE375" i="34"/>
  <c r="AE378" i="34"/>
  <c r="AE387" i="34"/>
  <c r="AE392" i="34"/>
  <c r="AE396" i="34"/>
  <c r="AE400" i="34"/>
  <c r="AE405" i="34"/>
  <c r="AE411" i="34"/>
  <c r="AE413" i="34"/>
  <c r="AE419" i="34"/>
  <c r="AE422" i="34"/>
  <c r="AE427" i="34"/>
  <c r="AE436" i="34"/>
  <c r="AE447" i="34"/>
  <c r="AE459" i="34"/>
  <c r="AE463" i="34"/>
  <c r="AE466" i="34"/>
  <c r="AE474" i="34"/>
  <c r="AE486" i="34"/>
  <c r="AE494" i="34"/>
  <c r="AE499" i="34"/>
  <c r="AE502" i="34"/>
  <c r="AE512" i="34"/>
  <c r="AE516" i="34"/>
  <c r="AE517" i="34"/>
  <c r="AE521" i="34"/>
  <c r="AE523" i="34"/>
  <c r="AE526" i="34"/>
  <c r="AE533" i="34"/>
  <c r="AE539" i="34"/>
  <c r="AE540" i="34"/>
  <c r="AE542" i="34"/>
  <c r="AE545" i="34"/>
  <c r="AE554" i="34"/>
  <c r="AE555" i="34"/>
  <c r="AE562" i="34"/>
  <c r="AE564" i="34"/>
  <c r="AE571" i="34"/>
  <c r="AE573" i="34"/>
  <c r="AE577" i="34"/>
  <c r="AE582" i="34"/>
  <c r="AE594" i="34"/>
  <c r="AE598" i="34"/>
  <c r="AE606" i="34"/>
  <c r="AE612" i="34"/>
  <c r="AE617" i="34"/>
  <c r="AE618" i="34"/>
  <c r="AE625" i="34"/>
  <c r="AE629" i="34"/>
  <c r="AE636" i="34"/>
  <c r="AE637" i="34"/>
  <c r="AE641" i="34"/>
  <c r="AE644" i="34"/>
  <c r="AE649" i="34"/>
  <c r="AE652" i="34"/>
  <c r="AE656" i="34"/>
  <c r="AE659" i="34"/>
  <c r="AE662" i="34"/>
  <c r="AE664" i="34"/>
  <c r="AE665" i="34"/>
  <c r="AE676" i="34"/>
  <c r="AE678" i="34"/>
  <c r="AE687" i="34"/>
  <c r="AE692" i="34"/>
  <c r="AE698" i="34"/>
  <c r="AE699" i="34"/>
  <c r="AE700" i="34"/>
  <c r="AE705" i="34"/>
  <c r="AE713" i="34"/>
  <c r="AE717" i="34"/>
  <c r="AE723" i="34"/>
  <c r="AE725" i="34"/>
  <c r="AE728" i="34"/>
  <c r="AE732" i="34"/>
  <c r="AE737" i="34"/>
  <c r="AE741" i="34"/>
  <c r="AE744" i="34"/>
  <c r="AE748" i="34"/>
  <c r="AE752" i="34"/>
  <c r="AE754" i="34"/>
  <c r="AE758" i="34"/>
  <c r="AE760" i="34"/>
  <c r="AE770" i="34"/>
  <c r="AE776" i="34"/>
  <c r="AE781" i="34"/>
  <c r="AE785" i="34"/>
  <c r="AE788" i="34"/>
  <c r="AE790" i="34"/>
  <c r="AE792" i="34"/>
  <c r="AE795" i="34"/>
  <c r="AE800" i="34"/>
  <c r="AE805" i="34"/>
  <c r="AE806" i="34"/>
  <c r="AE811" i="34"/>
  <c r="AE813" i="34"/>
  <c r="AE821" i="34"/>
  <c r="AE826" i="34"/>
  <c r="AE828" i="34"/>
  <c r="AF22" i="34"/>
  <c r="AF30" i="34"/>
  <c r="AF33" i="34"/>
  <c r="AF36" i="34"/>
  <c r="AF39" i="34"/>
  <c r="AF40" i="34"/>
  <c r="AF50" i="34"/>
  <c r="AF55" i="34"/>
  <c r="AF57" i="34"/>
  <c r="AF59" i="34"/>
  <c r="AF67" i="34"/>
  <c r="AF69" i="34"/>
  <c r="AF72" i="34"/>
  <c r="AF81" i="34"/>
  <c r="AF85" i="34"/>
  <c r="AF89" i="34"/>
  <c r="AF93" i="34"/>
  <c r="AF100" i="34"/>
  <c r="AF104" i="34"/>
  <c r="AF109" i="34"/>
  <c r="AF114" i="34"/>
  <c r="AF118" i="34"/>
  <c r="AF127" i="34"/>
  <c r="AF132" i="34"/>
  <c r="AF133" i="34"/>
  <c r="AF135" i="34"/>
  <c r="AF140" i="34"/>
  <c r="AF141" i="34"/>
  <c r="AF147" i="34"/>
  <c r="AF150" i="34"/>
  <c r="AF154" i="34"/>
  <c r="AF160" i="34"/>
  <c r="AF163" i="34"/>
  <c r="AF166" i="34"/>
  <c r="AF172" i="34"/>
  <c r="AF178" i="34"/>
  <c r="AF185" i="34"/>
  <c r="AF191" i="34"/>
  <c r="AF198" i="34"/>
  <c r="AF202" i="34"/>
  <c r="AF204" i="34"/>
  <c r="AF209" i="34"/>
  <c r="AF211" i="34"/>
  <c r="AF215" i="34"/>
  <c r="AF223" i="34"/>
  <c r="AF232" i="34"/>
  <c r="AF240" i="34"/>
  <c r="AF241" i="34"/>
  <c r="AF247" i="34"/>
  <c r="AF250" i="34"/>
  <c r="AF252" i="34"/>
  <c r="AF262" i="34"/>
  <c r="AF275" i="34"/>
  <c r="AF280" i="34"/>
  <c r="AF284" i="34"/>
  <c r="AF287" i="34"/>
  <c r="AF291" i="34"/>
  <c r="AF297" i="34"/>
  <c r="AF300" i="34"/>
  <c r="AF304" i="34"/>
  <c r="AF307" i="34"/>
  <c r="AF316" i="34"/>
  <c r="AF317" i="34"/>
  <c r="AF325" i="34"/>
  <c r="AF328" i="34"/>
  <c r="AF338" i="34"/>
  <c r="AF343" i="34"/>
  <c r="AF344" i="34"/>
  <c r="AF348" i="34"/>
  <c r="AF352" i="34"/>
  <c r="AF358" i="34"/>
  <c r="AF362" i="34"/>
  <c r="AF372" i="34"/>
  <c r="AF375" i="34"/>
  <c r="AF378" i="34"/>
  <c r="AF387" i="34"/>
  <c r="AF392" i="34"/>
  <c r="AF396" i="34"/>
  <c r="AF400" i="34"/>
  <c r="AF405" i="34"/>
  <c r="AF411" i="34"/>
  <c r="AF413" i="34"/>
  <c r="AF419" i="34"/>
  <c r="AF422" i="34"/>
  <c r="AF427" i="34"/>
  <c r="AF436" i="34"/>
  <c r="AF447" i="34"/>
  <c r="AF459" i="34"/>
  <c r="AF463" i="34"/>
  <c r="AF466" i="34"/>
  <c r="AF474" i="34"/>
  <c r="AF486" i="34"/>
  <c r="AF494" i="34"/>
  <c r="AF499" i="34"/>
  <c r="AF502" i="34"/>
  <c r="AF512" i="34"/>
  <c r="AF516" i="34"/>
  <c r="AF517" i="34"/>
  <c r="AF521" i="34"/>
  <c r="AF523" i="34"/>
  <c r="AF526" i="34"/>
  <c r="AF533" i="34"/>
  <c r="AF539" i="34"/>
  <c r="AF540" i="34"/>
  <c r="AF542" i="34"/>
  <c r="AF545" i="34"/>
  <c r="AF554" i="34"/>
  <c r="AF555" i="34"/>
  <c r="AF562" i="34"/>
  <c r="AF564" i="34"/>
  <c r="AF571" i="34"/>
  <c r="AF573" i="34"/>
  <c r="AF577" i="34"/>
  <c r="AF582" i="34"/>
  <c r="AF594" i="34"/>
  <c r="AF598" i="34"/>
  <c r="AF606" i="34"/>
  <c r="AF612" i="34"/>
  <c r="AF617" i="34"/>
  <c r="AF618" i="34"/>
  <c r="AF625" i="34"/>
  <c r="AF629" i="34"/>
  <c r="AF636" i="34"/>
  <c r="AF637" i="34"/>
  <c r="AF641" i="34"/>
  <c r="AF644" i="34"/>
  <c r="AF649" i="34"/>
  <c r="AF652" i="34"/>
  <c r="AF656" i="34"/>
  <c r="AF659" i="34"/>
  <c r="AF662" i="34"/>
  <c r="AF664" i="34"/>
  <c r="AF665" i="34"/>
  <c r="AF676" i="34"/>
  <c r="AF678" i="34"/>
  <c r="AF687" i="34"/>
  <c r="AF692" i="34"/>
  <c r="AF698" i="34"/>
  <c r="AF699" i="34"/>
  <c r="AF700" i="34"/>
  <c r="AF705" i="34"/>
  <c r="AF713" i="34"/>
  <c r="AF717" i="34"/>
  <c r="AF723" i="34"/>
  <c r="AF725" i="34"/>
  <c r="AF728" i="34"/>
  <c r="AF732" i="34"/>
  <c r="AF737" i="34"/>
  <c r="AF741" i="34"/>
  <c r="AF744" i="34"/>
  <c r="AF748" i="34"/>
  <c r="AF752" i="34"/>
  <c r="AF754" i="34"/>
  <c r="AF758" i="34"/>
  <c r="AF760" i="34"/>
  <c r="AF770" i="34"/>
  <c r="AF776" i="34"/>
  <c r="AF781" i="34"/>
  <c r="AF785" i="34"/>
  <c r="AF788" i="34"/>
  <c r="AF790" i="34"/>
  <c r="AF792" i="34"/>
  <c r="AF795" i="34"/>
  <c r="AF800" i="34"/>
  <c r="AF805" i="34"/>
  <c r="AF806" i="34"/>
  <c r="AF811" i="34"/>
  <c r="AF813" i="34"/>
  <c r="AF821" i="34"/>
  <c r="AF826" i="34"/>
  <c r="AF828" i="34"/>
  <c r="AG22" i="34"/>
  <c r="AG30" i="34"/>
  <c r="AG33" i="34"/>
  <c r="AG36" i="34"/>
  <c r="AG39" i="34"/>
  <c r="AG40" i="34"/>
  <c r="AG50" i="34"/>
  <c r="AG55" i="34"/>
  <c r="AG57" i="34"/>
  <c r="AG59" i="34"/>
  <c r="AG67" i="34"/>
  <c r="AG69" i="34"/>
  <c r="AG72" i="34"/>
  <c r="AG81" i="34"/>
  <c r="AG85" i="34"/>
  <c r="AG89" i="34"/>
  <c r="AG93" i="34"/>
  <c r="AG100" i="34"/>
  <c r="AG104" i="34"/>
  <c r="AG109" i="34"/>
  <c r="AG114" i="34"/>
  <c r="AG118" i="34"/>
  <c r="AG127" i="34"/>
  <c r="AG132" i="34"/>
  <c r="AG133" i="34"/>
  <c r="AG135" i="34"/>
  <c r="AG140" i="34"/>
  <c r="AG141" i="34"/>
  <c r="AG147" i="34"/>
  <c r="AG150" i="34"/>
  <c r="AG154" i="34"/>
  <c r="AG160" i="34"/>
  <c r="AG163" i="34"/>
  <c r="AG166" i="34"/>
  <c r="AG172" i="34"/>
  <c r="AG178" i="34"/>
  <c r="AG185" i="34"/>
  <c r="AG191" i="34"/>
  <c r="AG198" i="34"/>
  <c r="AG202" i="34"/>
  <c r="AG204" i="34"/>
  <c r="AG209" i="34"/>
  <c r="AG211" i="34"/>
  <c r="AG215" i="34"/>
  <c r="AG223" i="34"/>
  <c r="AG232" i="34"/>
  <c r="AG240" i="34"/>
  <c r="AG241" i="34"/>
  <c r="AG247" i="34"/>
  <c r="AG250" i="34"/>
  <c r="AG252" i="34"/>
  <c r="AG262" i="34"/>
  <c r="AG275" i="34"/>
  <c r="AG280" i="34"/>
  <c r="AG284" i="34"/>
  <c r="AG287" i="34"/>
  <c r="AG291" i="34"/>
  <c r="AG297" i="34"/>
  <c r="AG300" i="34"/>
  <c r="AG304" i="34"/>
  <c r="AG307" i="34"/>
  <c r="AG316" i="34"/>
  <c r="AG317" i="34"/>
  <c r="AG325" i="34"/>
  <c r="AG328" i="34"/>
  <c r="AG338" i="34"/>
  <c r="AG343" i="34"/>
  <c r="AG344" i="34"/>
  <c r="AG348" i="34"/>
  <c r="AG352" i="34"/>
  <c r="AG358" i="34"/>
  <c r="AG362" i="34"/>
  <c r="AG372" i="34"/>
  <c r="AG375" i="34"/>
  <c r="AG378" i="34"/>
  <c r="AG387" i="34"/>
  <c r="AG392" i="34"/>
  <c r="AG396" i="34"/>
  <c r="AG400" i="34"/>
  <c r="AG405" i="34"/>
  <c r="AG411" i="34"/>
  <c r="AG413" i="34"/>
  <c r="AG419" i="34"/>
  <c r="AG422" i="34"/>
  <c r="AG427" i="34"/>
  <c r="AG436" i="34"/>
  <c r="AG447" i="34"/>
  <c r="AG459" i="34"/>
  <c r="AG463" i="34"/>
  <c r="AG466" i="34"/>
  <c r="AG474" i="34"/>
  <c r="AG486" i="34"/>
  <c r="AG494" i="34"/>
  <c r="AG499" i="34"/>
  <c r="AG502" i="34"/>
  <c r="AG512" i="34"/>
  <c r="AG516" i="34"/>
  <c r="AG517" i="34"/>
  <c r="AG521" i="34"/>
  <c r="AG523" i="34"/>
  <c r="AG526" i="34"/>
  <c r="AG533" i="34"/>
  <c r="AG539" i="34"/>
  <c r="AG540" i="34"/>
  <c r="AG542" i="34"/>
  <c r="AG545" i="34"/>
  <c r="AG554" i="34"/>
  <c r="AG555" i="34"/>
  <c r="AG562" i="34"/>
  <c r="AG564" i="34"/>
  <c r="AG571" i="34"/>
  <c r="AG573" i="34"/>
  <c r="AG577" i="34"/>
  <c r="AG582" i="34"/>
  <c r="AG594" i="34"/>
  <c r="AG598" i="34"/>
  <c r="AG606" i="34"/>
  <c r="AG612" i="34"/>
  <c r="AG617" i="34"/>
  <c r="AG618" i="34"/>
  <c r="AG625" i="34"/>
  <c r="AG629" i="34"/>
  <c r="AG636" i="34"/>
  <c r="AG637" i="34"/>
  <c r="AG641" i="34"/>
  <c r="AG644" i="34"/>
  <c r="AG649" i="34"/>
  <c r="AG652" i="34"/>
  <c r="AG656" i="34"/>
  <c r="AG659" i="34"/>
  <c r="AG662" i="34"/>
  <c r="AG664" i="34"/>
  <c r="AG665" i="34"/>
  <c r="AG676" i="34"/>
  <c r="AG678" i="34"/>
  <c r="AG687" i="34"/>
  <c r="AG692" i="34"/>
  <c r="AG698" i="34"/>
  <c r="AG699" i="34"/>
  <c r="AG700" i="34"/>
  <c r="AG705" i="34"/>
  <c r="AG713" i="34"/>
  <c r="AG717" i="34"/>
  <c r="AG723" i="34"/>
  <c r="AG725" i="34"/>
  <c r="AG728" i="34"/>
  <c r="AG732" i="34"/>
  <c r="AG737" i="34"/>
  <c r="AG741" i="34"/>
  <c r="AG744" i="34"/>
  <c r="AG748" i="34"/>
  <c r="AG752" i="34"/>
  <c r="AG754" i="34"/>
  <c r="AG758" i="34"/>
  <c r="AG760" i="34"/>
  <c r="AG770" i="34"/>
  <c r="AG776" i="34"/>
  <c r="AG781" i="34"/>
  <c r="AG785" i="34"/>
  <c r="AG788" i="34"/>
  <c r="AG790" i="34"/>
  <c r="AG792" i="34"/>
  <c r="AG795" i="34"/>
  <c r="AG800" i="34"/>
  <c r="AG805" i="34"/>
  <c r="AG806" i="34"/>
  <c r="AG811" i="34"/>
  <c r="AG813" i="34"/>
  <c r="AG821" i="34"/>
  <c r="AG826" i="34"/>
  <c r="AG828" i="34"/>
  <c r="D21" i="34"/>
  <c r="D31" i="34"/>
  <c r="D32" i="34"/>
  <c r="D37" i="34"/>
  <c r="D48" i="34"/>
  <c r="D54" i="34"/>
  <c r="D56" i="34"/>
  <c r="D58" i="34"/>
  <c r="D66" i="34"/>
  <c r="D68" i="34"/>
  <c r="D71" i="34"/>
  <c r="D80" i="34"/>
  <c r="D84" i="34"/>
  <c r="D88" i="34"/>
  <c r="D92" i="34"/>
  <c r="D99" i="34"/>
  <c r="D103" i="34"/>
  <c r="D110" i="34"/>
  <c r="D120" i="34"/>
  <c r="D126" i="34"/>
  <c r="D131" i="34"/>
  <c r="D149" i="34"/>
  <c r="D153" i="34"/>
  <c r="D159" i="34"/>
  <c r="D162" i="34"/>
  <c r="D165" i="34"/>
  <c r="D170" i="34"/>
  <c r="D177" i="34"/>
  <c r="D182" i="34"/>
  <c r="D190" i="34"/>
  <c r="D197" i="34"/>
  <c r="D201" i="34"/>
  <c r="D203" i="34"/>
  <c r="D207" i="34"/>
  <c r="D210" i="34"/>
  <c r="D214" i="34"/>
  <c r="D217" i="34"/>
  <c r="D222" i="34"/>
  <c r="D231" i="34"/>
  <c r="D239" i="34"/>
  <c r="D242" i="34"/>
  <c r="D243" i="34"/>
  <c r="D249" i="34"/>
  <c r="D251" i="34"/>
  <c r="D253" i="34"/>
  <c r="D255" i="34"/>
  <c r="D274" i="34"/>
  <c r="D276" i="34"/>
  <c r="D283" i="34"/>
  <c r="D286" i="34"/>
  <c r="D290" i="34"/>
  <c r="D296" i="34"/>
  <c r="D299" i="34"/>
  <c r="D302" i="34"/>
  <c r="D306" i="34"/>
  <c r="D315" i="34"/>
  <c r="D318" i="34"/>
  <c r="D326" i="34"/>
  <c r="D327" i="34"/>
  <c r="D339" i="34"/>
  <c r="D340" i="34"/>
  <c r="D347" i="34"/>
  <c r="D351" i="34"/>
  <c r="D357" i="34"/>
  <c r="D361" i="34"/>
  <c r="D371" i="34"/>
  <c r="D374" i="34"/>
  <c r="D377" i="34"/>
  <c r="D386" i="34"/>
  <c r="D388" i="34"/>
  <c r="D395" i="34"/>
  <c r="D401" i="34"/>
  <c r="D409" i="34"/>
  <c r="D418" i="34"/>
  <c r="D421" i="34"/>
  <c r="D425" i="34"/>
  <c r="D434" i="34"/>
  <c r="D446" i="34"/>
  <c r="D455" i="34"/>
  <c r="D462" i="34"/>
  <c r="D465" i="34"/>
  <c r="D473" i="34"/>
  <c r="D484" i="34"/>
  <c r="D493" i="34"/>
  <c r="D498" i="34"/>
  <c r="D511" i="34"/>
  <c r="D515" i="34"/>
  <c r="D518" i="34"/>
  <c r="D520" i="34"/>
  <c r="D532" i="34"/>
  <c r="D538" i="34"/>
  <c r="D541" i="34"/>
  <c r="D543" i="34"/>
  <c r="D553" i="34"/>
  <c r="D561" i="34"/>
  <c r="D565" i="34"/>
  <c r="D566" i="34"/>
  <c r="D572" i="34"/>
  <c r="D581" i="34"/>
  <c r="D593" i="34"/>
  <c r="D597" i="34"/>
  <c r="D607" i="34"/>
  <c r="D611" i="34"/>
  <c r="D616" i="34"/>
  <c r="D624" i="34"/>
  <c r="D630" i="34"/>
  <c r="D635" i="34"/>
  <c r="D640" i="34"/>
  <c r="D643" i="34"/>
  <c r="D647" i="34"/>
  <c r="D651" i="34"/>
  <c r="D655" i="34"/>
  <c r="D660" i="34"/>
  <c r="D661" i="34"/>
  <c r="D674" i="34"/>
  <c r="D677" i="34"/>
  <c r="D686" i="34"/>
  <c r="D691" i="34"/>
  <c r="D703" i="34"/>
  <c r="D711" i="34"/>
  <c r="D718" i="34"/>
  <c r="D721" i="34"/>
  <c r="D724" i="34"/>
  <c r="D731" i="34"/>
  <c r="D736" i="34"/>
  <c r="D740" i="34"/>
  <c r="D743" i="34"/>
  <c r="D747" i="34"/>
  <c r="D751" i="34"/>
  <c r="D753" i="34"/>
  <c r="D757" i="34"/>
  <c r="D769" i="34"/>
  <c r="D775" i="34"/>
  <c r="D779" i="34"/>
  <c r="D784" i="34"/>
  <c r="D787" i="34"/>
  <c r="D789" i="34"/>
  <c r="D791" i="34"/>
  <c r="D794" i="34"/>
  <c r="D798" i="34"/>
  <c r="D810" i="34"/>
  <c r="D814" i="34"/>
  <c r="D815" i="34"/>
  <c r="D818" i="34"/>
  <c r="D820" i="34"/>
  <c r="D825" i="34"/>
  <c r="D827" i="34"/>
  <c r="O21" i="34"/>
  <c r="O31" i="34"/>
  <c r="O32" i="34"/>
  <c r="O37" i="34"/>
  <c r="O48" i="34"/>
  <c r="O54" i="34"/>
  <c r="O56" i="34"/>
  <c r="O58" i="34"/>
  <c r="O66" i="34"/>
  <c r="O68" i="34"/>
  <c r="O71" i="34"/>
  <c r="O80" i="34"/>
  <c r="O84" i="34"/>
  <c r="O88" i="34"/>
  <c r="O92" i="34"/>
  <c r="O99" i="34"/>
  <c r="O103" i="34"/>
  <c r="O110" i="34"/>
  <c r="O120" i="34"/>
  <c r="O126" i="34"/>
  <c r="O131" i="34"/>
  <c r="O149" i="34"/>
  <c r="O153" i="34"/>
  <c r="O159" i="34"/>
  <c r="O162" i="34"/>
  <c r="O165" i="34"/>
  <c r="O170" i="34"/>
  <c r="O177" i="34"/>
  <c r="O182" i="34"/>
  <c r="O190" i="34"/>
  <c r="O197" i="34"/>
  <c r="O201" i="34"/>
  <c r="O203" i="34"/>
  <c r="O207" i="34"/>
  <c r="O210" i="34"/>
  <c r="O214" i="34"/>
  <c r="O217" i="34"/>
  <c r="O222" i="34"/>
  <c r="O231" i="34"/>
  <c r="O239" i="34"/>
  <c r="O242" i="34"/>
  <c r="O243" i="34"/>
  <c r="O249" i="34"/>
  <c r="O251" i="34"/>
  <c r="O253" i="34"/>
  <c r="O255" i="34"/>
  <c r="O274" i="34"/>
  <c r="O276" i="34"/>
  <c r="O283" i="34"/>
  <c r="O286" i="34"/>
  <c r="O290" i="34"/>
  <c r="O296" i="34"/>
  <c r="O299" i="34"/>
  <c r="O302" i="34"/>
  <c r="O306" i="34"/>
  <c r="O315" i="34"/>
  <c r="O318" i="34"/>
  <c r="O326" i="34"/>
  <c r="O327" i="34"/>
  <c r="O339" i="34"/>
  <c r="O340" i="34"/>
  <c r="O347" i="34"/>
  <c r="O351" i="34"/>
  <c r="O357" i="34"/>
  <c r="O361" i="34"/>
  <c r="O371" i="34"/>
  <c r="O374" i="34"/>
  <c r="O377" i="34"/>
  <c r="O386" i="34"/>
  <c r="O388" i="34"/>
  <c r="O395" i="34"/>
  <c r="O401" i="34"/>
  <c r="O409" i="34"/>
  <c r="O418" i="34"/>
  <c r="O421" i="34"/>
  <c r="O425" i="34"/>
  <c r="O434" i="34"/>
  <c r="O446" i="34"/>
  <c r="O455" i="34"/>
  <c r="O462" i="34"/>
  <c r="O465" i="34"/>
  <c r="O473" i="34"/>
  <c r="O484" i="34"/>
  <c r="O493" i="34"/>
  <c r="O498" i="34"/>
  <c r="O511" i="34"/>
  <c r="O515" i="34"/>
  <c r="O518" i="34"/>
  <c r="O520" i="34"/>
  <c r="O532" i="34"/>
  <c r="O538" i="34"/>
  <c r="O541" i="34"/>
  <c r="O543" i="34"/>
  <c r="O553" i="34"/>
  <c r="O561" i="34"/>
  <c r="O565" i="34"/>
  <c r="O566" i="34"/>
  <c r="O572" i="34"/>
  <c r="O581" i="34"/>
  <c r="O593" i="34"/>
  <c r="O597" i="34"/>
  <c r="O607" i="34"/>
  <c r="O611" i="34"/>
  <c r="O616" i="34"/>
  <c r="O624" i="34"/>
  <c r="O630" i="34"/>
  <c r="O635" i="34"/>
  <c r="O640" i="34"/>
  <c r="O643" i="34"/>
  <c r="O647" i="34"/>
  <c r="O651" i="34"/>
  <c r="O655" i="34"/>
  <c r="O660" i="34"/>
  <c r="O661" i="34"/>
  <c r="O674" i="34"/>
  <c r="O677" i="34"/>
  <c r="O686" i="34"/>
  <c r="O691" i="34"/>
  <c r="O703" i="34"/>
  <c r="O711" i="34"/>
  <c r="O718" i="34"/>
  <c r="O721" i="34"/>
  <c r="O724" i="34"/>
  <c r="O731" i="34"/>
  <c r="O736" i="34"/>
  <c r="O740" i="34"/>
  <c r="O743" i="34"/>
  <c r="O747" i="34"/>
  <c r="O751" i="34"/>
  <c r="O753" i="34"/>
  <c r="O757" i="34"/>
  <c r="O769" i="34"/>
  <c r="O775" i="34"/>
  <c r="O779" i="34"/>
  <c r="O784" i="34"/>
  <c r="O787" i="34"/>
  <c r="O789" i="34"/>
  <c r="O791" i="34"/>
  <c r="O794" i="34"/>
  <c r="O798" i="34"/>
  <c r="O810" i="34"/>
  <c r="O814" i="34"/>
  <c r="O815" i="34"/>
  <c r="O818" i="34"/>
  <c r="O820" i="34"/>
  <c r="O825" i="34"/>
  <c r="O827" i="34"/>
  <c r="P21" i="34"/>
  <c r="P31" i="34"/>
  <c r="P32" i="34"/>
  <c r="P37" i="34"/>
  <c r="P48" i="34"/>
  <c r="P54" i="34"/>
  <c r="P56" i="34"/>
  <c r="P58" i="34"/>
  <c r="P66" i="34"/>
  <c r="P68" i="34"/>
  <c r="P71" i="34"/>
  <c r="P80" i="34"/>
  <c r="P84" i="34"/>
  <c r="P88" i="34"/>
  <c r="P92" i="34"/>
  <c r="P99" i="34"/>
  <c r="P103" i="34"/>
  <c r="P110" i="34"/>
  <c r="P120" i="34"/>
  <c r="P126" i="34"/>
  <c r="P131" i="34"/>
  <c r="P149" i="34"/>
  <c r="P153" i="34"/>
  <c r="P159" i="34"/>
  <c r="P162" i="34"/>
  <c r="P165" i="34"/>
  <c r="P170" i="34"/>
  <c r="P177" i="34"/>
  <c r="P182" i="34"/>
  <c r="P190" i="34"/>
  <c r="P197" i="34"/>
  <c r="P201" i="34"/>
  <c r="P203" i="34"/>
  <c r="P207" i="34"/>
  <c r="P210" i="34"/>
  <c r="P214" i="34"/>
  <c r="P217" i="34"/>
  <c r="P222" i="34"/>
  <c r="P231" i="34"/>
  <c r="P239" i="34"/>
  <c r="P242" i="34"/>
  <c r="P243" i="34"/>
  <c r="P249" i="34"/>
  <c r="P251" i="34"/>
  <c r="P253" i="34"/>
  <c r="P255" i="34"/>
  <c r="P274" i="34"/>
  <c r="P276" i="34"/>
  <c r="P283" i="34"/>
  <c r="P286" i="34"/>
  <c r="P290" i="34"/>
  <c r="P296" i="34"/>
  <c r="P299" i="34"/>
  <c r="P302" i="34"/>
  <c r="P306" i="34"/>
  <c r="P315" i="34"/>
  <c r="P318" i="34"/>
  <c r="P326" i="34"/>
  <c r="P327" i="34"/>
  <c r="P339" i="34"/>
  <c r="P340" i="34"/>
  <c r="P347" i="34"/>
  <c r="P351" i="34"/>
  <c r="P357" i="34"/>
  <c r="P361" i="34"/>
  <c r="P371" i="34"/>
  <c r="P374" i="34"/>
  <c r="P377" i="34"/>
  <c r="P386" i="34"/>
  <c r="P388" i="34"/>
  <c r="P395" i="34"/>
  <c r="P401" i="34"/>
  <c r="P409" i="34"/>
  <c r="P418" i="34"/>
  <c r="P421" i="34"/>
  <c r="P425" i="34"/>
  <c r="P434" i="34"/>
  <c r="P446" i="34"/>
  <c r="P455" i="34"/>
  <c r="P462" i="34"/>
  <c r="P465" i="34"/>
  <c r="P473" i="34"/>
  <c r="P484" i="34"/>
  <c r="P493" i="34"/>
  <c r="P498" i="34"/>
  <c r="P511" i="34"/>
  <c r="P515" i="34"/>
  <c r="P518" i="34"/>
  <c r="P520" i="34"/>
  <c r="P532" i="34"/>
  <c r="P538" i="34"/>
  <c r="P541" i="34"/>
  <c r="P543" i="34"/>
  <c r="P553" i="34"/>
  <c r="P561" i="34"/>
  <c r="P565" i="34"/>
  <c r="P566" i="34"/>
  <c r="P572" i="34"/>
  <c r="P581" i="34"/>
  <c r="P593" i="34"/>
  <c r="P597" i="34"/>
  <c r="P607" i="34"/>
  <c r="P611" i="34"/>
  <c r="P616" i="34"/>
  <c r="P624" i="34"/>
  <c r="P630" i="34"/>
  <c r="P635" i="34"/>
  <c r="P640" i="34"/>
  <c r="P643" i="34"/>
  <c r="P647" i="34"/>
  <c r="P651" i="34"/>
  <c r="P655" i="34"/>
  <c r="P660" i="34"/>
  <c r="P661" i="34"/>
  <c r="P674" i="34"/>
  <c r="P677" i="34"/>
  <c r="P686" i="34"/>
  <c r="P691" i="34"/>
  <c r="P703" i="34"/>
  <c r="P711" i="34"/>
  <c r="P718" i="34"/>
  <c r="P721" i="34"/>
  <c r="P724" i="34"/>
  <c r="P731" i="34"/>
  <c r="P736" i="34"/>
  <c r="P740" i="34"/>
  <c r="P743" i="34"/>
  <c r="P747" i="34"/>
  <c r="P751" i="34"/>
  <c r="P753" i="34"/>
  <c r="P757" i="34"/>
  <c r="P769" i="34"/>
  <c r="P775" i="34"/>
  <c r="P779" i="34"/>
  <c r="P784" i="34"/>
  <c r="P787" i="34"/>
  <c r="P789" i="34"/>
  <c r="P791" i="34"/>
  <c r="P794" i="34"/>
  <c r="P798" i="34"/>
  <c r="P810" i="34"/>
  <c r="P814" i="34"/>
  <c r="P815" i="34"/>
  <c r="P818" i="34"/>
  <c r="P820" i="34"/>
  <c r="P825" i="34"/>
  <c r="P827" i="34"/>
  <c r="Q21" i="34"/>
  <c r="Q31" i="34"/>
  <c r="Q32" i="34"/>
  <c r="Q37" i="34"/>
  <c r="Q48" i="34"/>
  <c r="Q54" i="34"/>
  <c r="Q56" i="34"/>
  <c r="Q58" i="34"/>
  <c r="Q66" i="34"/>
  <c r="Q68" i="34"/>
  <c r="Q71" i="34"/>
  <c r="Q80" i="34"/>
  <c r="Q84" i="34"/>
  <c r="Q88" i="34"/>
  <c r="Q92" i="34"/>
  <c r="Q99" i="34"/>
  <c r="Q103" i="34"/>
  <c r="Q110" i="34"/>
  <c r="Q120" i="34"/>
  <c r="Q126" i="34"/>
  <c r="Q131" i="34"/>
  <c r="Q149" i="34"/>
  <c r="Q153" i="34"/>
  <c r="Q159" i="34"/>
  <c r="Q162" i="34"/>
  <c r="Q165" i="34"/>
  <c r="Q170" i="34"/>
  <c r="Q177" i="34"/>
  <c r="Q182" i="34"/>
  <c r="Q190" i="34"/>
  <c r="Q197" i="34"/>
  <c r="Q201" i="34"/>
  <c r="Q203" i="34"/>
  <c r="Q207" i="34"/>
  <c r="Q210" i="34"/>
  <c r="Q214" i="34"/>
  <c r="Q217" i="34"/>
  <c r="Q222" i="34"/>
  <c r="Q231" i="34"/>
  <c r="Q239" i="34"/>
  <c r="Q242" i="34"/>
  <c r="Q243" i="34"/>
  <c r="Q249" i="34"/>
  <c r="Q251" i="34"/>
  <c r="Q253" i="34"/>
  <c r="Q255" i="34"/>
  <c r="Q274" i="34"/>
  <c r="Q276" i="34"/>
  <c r="Q283" i="34"/>
  <c r="Q286" i="34"/>
  <c r="Q290" i="34"/>
  <c r="Q296" i="34"/>
  <c r="Q299" i="34"/>
  <c r="Q302" i="34"/>
  <c r="Q306" i="34"/>
  <c r="Q315" i="34"/>
  <c r="Q318" i="34"/>
  <c r="Q326" i="34"/>
  <c r="Q327" i="34"/>
  <c r="Q339" i="34"/>
  <c r="Q340" i="34"/>
  <c r="Q347" i="34"/>
  <c r="Q351" i="34"/>
  <c r="Q357" i="34"/>
  <c r="Q361" i="34"/>
  <c r="Q371" i="34"/>
  <c r="Q374" i="34"/>
  <c r="Q377" i="34"/>
  <c r="Q386" i="34"/>
  <c r="Q388" i="34"/>
  <c r="Q395" i="34"/>
  <c r="Q401" i="34"/>
  <c r="Q409" i="34"/>
  <c r="Q418" i="34"/>
  <c r="Q421" i="34"/>
  <c r="Q425" i="34"/>
  <c r="Q434" i="34"/>
  <c r="Q446" i="34"/>
  <c r="Q455" i="34"/>
  <c r="Q462" i="34"/>
  <c r="Q465" i="34"/>
  <c r="Q473" i="34"/>
  <c r="Q484" i="34"/>
  <c r="Q493" i="34"/>
  <c r="Q498" i="34"/>
  <c r="Q511" i="34"/>
  <c r="Q515" i="34"/>
  <c r="Q518" i="34"/>
  <c r="Q520" i="34"/>
  <c r="Q532" i="34"/>
  <c r="Q538" i="34"/>
  <c r="Q541" i="34"/>
  <c r="Q543" i="34"/>
  <c r="Q553" i="34"/>
  <c r="Q561" i="34"/>
  <c r="Q565" i="34"/>
  <c r="Q566" i="34"/>
  <c r="Q572" i="34"/>
  <c r="Q581" i="34"/>
  <c r="Q593" i="34"/>
  <c r="Q597" i="34"/>
  <c r="Q607" i="34"/>
  <c r="Q611" i="34"/>
  <c r="Q616" i="34"/>
  <c r="Q624" i="34"/>
  <c r="Q630" i="34"/>
  <c r="Q635" i="34"/>
  <c r="Q640" i="34"/>
  <c r="Q643" i="34"/>
  <c r="Q647" i="34"/>
  <c r="Q651" i="34"/>
  <c r="Q655" i="34"/>
  <c r="Q660" i="34"/>
  <c r="Q661" i="34"/>
  <c r="Q674" i="34"/>
  <c r="Q677" i="34"/>
  <c r="Q686" i="34"/>
  <c r="Q691" i="34"/>
  <c r="Q703" i="34"/>
  <c r="Q711" i="34"/>
  <c r="Q718" i="34"/>
  <c r="Q721" i="34"/>
  <c r="Q724" i="34"/>
  <c r="Q731" i="34"/>
  <c r="Q736" i="34"/>
  <c r="Q740" i="34"/>
  <c r="Q743" i="34"/>
  <c r="Q747" i="34"/>
  <c r="Q751" i="34"/>
  <c r="Q753" i="34"/>
  <c r="Q757" i="34"/>
  <c r="Q769" i="34"/>
  <c r="Q775" i="34"/>
  <c r="Q779" i="34"/>
  <c r="Q784" i="34"/>
  <c r="Q787" i="34"/>
  <c r="Q789" i="34"/>
  <c r="Q791" i="34"/>
  <c r="Q794" i="34"/>
  <c r="Q798" i="34"/>
  <c r="Q810" i="34"/>
  <c r="Q814" i="34"/>
  <c r="Q815" i="34"/>
  <c r="Q818" i="34"/>
  <c r="Q820" i="34"/>
  <c r="Q825" i="34"/>
  <c r="Q827" i="34"/>
  <c r="U21" i="34"/>
  <c r="U31" i="34"/>
  <c r="U32" i="34"/>
  <c r="U37" i="34"/>
  <c r="U48" i="34"/>
  <c r="U54" i="34"/>
  <c r="U56" i="34"/>
  <c r="U58" i="34"/>
  <c r="U66" i="34"/>
  <c r="U68" i="34"/>
  <c r="U71" i="34"/>
  <c r="U80" i="34"/>
  <c r="U84" i="34"/>
  <c r="U88" i="34"/>
  <c r="U92" i="34"/>
  <c r="U99" i="34"/>
  <c r="U103" i="34"/>
  <c r="U110" i="34"/>
  <c r="U120" i="34"/>
  <c r="U126" i="34"/>
  <c r="U131" i="34"/>
  <c r="U149" i="34"/>
  <c r="U153" i="34"/>
  <c r="U159" i="34"/>
  <c r="U162" i="34"/>
  <c r="U165" i="34"/>
  <c r="U170" i="34"/>
  <c r="U177" i="34"/>
  <c r="U182" i="34"/>
  <c r="U190" i="34"/>
  <c r="U197" i="34"/>
  <c r="U201" i="34"/>
  <c r="U203" i="34"/>
  <c r="U207" i="34"/>
  <c r="U210" i="34"/>
  <c r="U214" i="34"/>
  <c r="U217" i="34"/>
  <c r="U222" i="34"/>
  <c r="U231" i="34"/>
  <c r="U239" i="34"/>
  <c r="U242" i="34"/>
  <c r="U243" i="34"/>
  <c r="U249" i="34"/>
  <c r="U251" i="34"/>
  <c r="U253" i="34"/>
  <c r="U255" i="34"/>
  <c r="U274" i="34"/>
  <c r="U276" i="34"/>
  <c r="U283" i="34"/>
  <c r="U286" i="34"/>
  <c r="U290" i="34"/>
  <c r="U296" i="34"/>
  <c r="U299" i="34"/>
  <c r="U302" i="34"/>
  <c r="U306" i="34"/>
  <c r="U315" i="34"/>
  <c r="U318" i="34"/>
  <c r="U326" i="34"/>
  <c r="U327" i="34"/>
  <c r="U339" i="34"/>
  <c r="U340" i="34"/>
  <c r="U347" i="34"/>
  <c r="U351" i="34"/>
  <c r="U357" i="34"/>
  <c r="U361" i="34"/>
  <c r="U371" i="34"/>
  <c r="U374" i="34"/>
  <c r="U377" i="34"/>
  <c r="U386" i="34"/>
  <c r="U388" i="34"/>
  <c r="U395" i="34"/>
  <c r="U401" i="34"/>
  <c r="U409" i="34"/>
  <c r="U418" i="34"/>
  <c r="U421" i="34"/>
  <c r="U425" i="34"/>
  <c r="U434" i="34"/>
  <c r="U446" i="34"/>
  <c r="U455" i="34"/>
  <c r="U462" i="34"/>
  <c r="U465" i="34"/>
  <c r="U473" i="34"/>
  <c r="U484" i="34"/>
  <c r="U493" i="34"/>
  <c r="U498" i="34"/>
  <c r="U511" i="34"/>
  <c r="U515" i="34"/>
  <c r="U518" i="34"/>
  <c r="U520" i="34"/>
  <c r="U532" i="34"/>
  <c r="U538" i="34"/>
  <c r="U541" i="34"/>
  <c r="U543" i="34"/>
  <c r="U553" i="34"/>
  <c r="U561" i="34"/>
  <c r="U565" i="34"/>
  <c r="U566" i="34"/>
  <c r="U572" i="34"/>
  <c r="U581" i="34"/>
  <c r="U593" i="34"/>
  <c r="U597" i="34"/>
  <c r="U607" i="34"/>
  <c r="U611" i="34"/>
  <c r="U616" i="34"/>
  <c r="U624" i="34"/>
  <c r="U630" i="34"/>
  <c r="U635" i="34"/>
  <c r="U640" i="34"/>
  <c r="U643" i="34"/>
  <c r="U647" i="34"/>
  <c r="U651" i="34"/>
  <c r="U655" i="34"/>
  <c r="U660" i="34"/>
  <c r="U661" i="34"/>
  <c r="U674" i="34"/>
  <c r="U677" i="34"/>
  <c r="U686" i="34"/>
  <c r="U691" i="34"/>
  <c r="U703" i="34"/>
  <c r="U711" i="34"/>
  <c r="U718" i="34"/>
  <c r="U721" i="34"/>
  <c r="U724" i="34"/>
  <c r="U731" i="34"/>
  <c r="U736" i="34"/>
  <c r="U740" i="34"/>
  <c r="U743" i="34"/>
  <c r="U747" i="34"/>
  <c r="U751" i="34"/>
  <c r="U753" i="34"/>
  <c r="U757" i="34"/>
  <c r="U769" i="34"/>
  <c r="U775" i="34"/>
  <c r="U779" i="34"/>
  <c r="U784" i="34"/>
  <c r="U787" i="34"/>
  <c r="U789" i="34"/>
  <c r="U791" i="34"/>
  <c r="U794" i="34"/>
  <c r="U798" i="34"/>
  <c r="U810" i="34"/>
  <c r="U814" i="34"/>
  <c r="U815" i="34"/>
  <c r="U818" i="34"/>
  <c r="U820" i="34"/>
  <c r="U825" i="34"/>
  <c r="U827" i="34"/>
  <c r="V21" i="34"/>
  <c r="V31" i="34"/>
  <c r="V32" i="34"/>
  <c r="V37" i="34"/>
  <c r="V48" i="34"/>
  <c r="V54" i="34"/>
  <c r="V56" i="34"/>
  <c r="V58" i="34"/>
  <c r="V66" i="34"/>
  <c r="V68" i="34"/>
  <c r="V71" i="34"/>
  <c r="V80" i="34"/>
  <c r="V84" i="34"/>
  <c r="V88" i="34"/>
  <c r="V92" i="34"/>
  <c r="V99" i="34"/>
  <c r="V103" i="34"/>
  <c r="V110" i="34"/>
  <c r="V120" i="34"/>
  <c r="V126" i="34"/>
  <c r="V131" i="34"/>
  <c r="V149" i="34"/>
  <c r="V153" i="34"/>
  <c r="V159" i="34"/>
  <c r="V162" i="34"/>
  <c r="V165" i="34"/>
  <c r="V170" i="34"/>
  <c r="V177" i="34"/>
  <c r="V182" i="34"/>
  <c r="V190" i="34"/>
  <c r="V197" i="34"/>
  <c r="V201" i="34"/>
  <c r="V203" i="34"/>
  <c r="V207" i="34"/>
  <c r="V210" i="34"/>
  <c r="V214" i="34"/>
  <c r="V217" i="34"/>
  <c r="V222" i="34"/>
  <c r="V231" i="34"/>
  <c r="V239" i="34"/>
  <c r="V242" i="34"/>
  <c r="V243" i="34"/>
  <c r="V249" i="34"/>
  <c r="V251" i="34"/>
  <c r="V253" i="34"/>
  <c r="V255" i="34"/>
  <c r="V274" i="34"/>
  <c r="V276" i="34"/>
  <c r="V283" i="34"/>
  <c r="V286" i="34"/>
  <c r="V290" i="34"/>
  <c r="V296" i="34"/>
  <c r="V299" i="34"/>
  <c r="V302" i="34"/>
  <c r="V306" i="34"/>
  <c r="V315" i="34"/>
  <c r="V318" i="34"/>
  <c r="V326" i="34"/>
  <c r="V327" i="34"/>
  <c r="V339" i="34"/>
  <c r="V340" i="34"/>
  <c r="V347" i="34"/>
  <c r="V351" i="34"/>
  <c r="V357" i="34"/>
  <c r="V361" i="34"/>
  <c r="V371" i="34"/>
  <c r="V374" i="34"/>
  <c r="V377" i="34"/>
  <c r="V386" i="34"/>
  <c r="V388" i="34"/>
  <c r="V395" i="34"/>
  <c r="V401" i="34"/>
  <c r="V409" i="34"/>
  <c r="V418" i="34"/>
  <c r="V421" i="34"/>
  <c r="V425" i="34"/>
  <c r="V434" i="34"/>
  <c r="V446" i="34"/>
  <c r="V455" i="34"/>
  <c r="V462" i="34"/>
  <c r="V465" i="34"/>
  <c r="V473" i="34"/>
  <c r="V484" i="34"/>
  <c r="V493" i="34"/>
  <c r="V498" i="34"/>
  <c r="V511" i="34"/>
  <c r="V515" i="34"/>
  <c r="V518" i="34"/>
  <c r="V520" i="34"/>
  <c r="V532" i="34"/>
  <c r="V538" i="34"/>
  <c r="V541" i="34"/>
  <c r="V543" i="34"/>
  <c r="V553" i="34"/>
  <c r="V561" i="34"/>
  <c r="V565" i="34"/>
  <c r="V566" i="34"/>
  <c r="V572" i="34"/>
  <c r="V581" i="34"/>
  <c r="V593" i="34"/>
  <c r="V597" i="34"/>
  <c r="V607" i="34"/>
  <c r="V611" i="34"/>
  <c r="V616" i="34"/>
  <c r="V624" i="34"/>
  <c r="V630" i="34"/>
  <c r="V635" i="34"/>
  <c r="V640" i="34"/>
  <c r="V643" i="34"/>
  <c r="V647" i="34"/>
  <c r="V651" i="34"/>
  <c r="V655" i="34"/>
  <c r="V660" i="34"/>
  <c r="V661" i="34"/>
  <c r="V674" i="34"/>
  <c r="V677" i="34"/>
  <c r="V686" i="34"/>
  <c r="V691" i="34"/>
  <c r="V703" i="34"/>
  <c r="V711" i="34"/>
  <c r="V718" i="34"/>
  <c r="V721" i="34"/>
  <c r="V724" i="34"/>
  <c r="V731" i="34"/>
  <c r="V736" i="34"/>
  <c r="V740" i="34"/>
  <c r="V743" i="34"/>
  <c r="V747" i="34"/>
  <c r="V751" i="34"/>
  <c r="V753" i="34"/>
  <c r="V757" i="34"/>
  <c r="V769" i="34"/>
  <c r="V775" i="34"/>
  <c r="V779" i="34"/>
  <c r="V784" i="34"/>
  <c r="V787" i="34"/>
  <c r="V789" i="34"/>
  <c r="V791" i="34"/>
  <c r="V794" i="34"/>
  <c r="V798" i="34"/>
  <c r="V810" i="34"/>
  <c r="V814" i="34"/>
  <c r="V815" i="34"/>
  <c r="V818" i="34"/>
  <c r="V820" i="34"/>
  <c r="V825" i="34"/>
  <c r="V827" i="34"/>
  <c r="W21" i="34"/>
  <c r="W31" i="34"/>
  <c r="W32" i="34"/>
  <c r="W37" i="34"/>
  <c r="W48" i="34"/>
  <c r="W54" i="34"/>
  <c r="W56" i="34"/>
  <c r="W58" i="34"/>
  <c r="W66" i="34"/>
  <c r="W68" i="34"/>
  <c r="W71" i="34"/>
  <c r="W80" i="34"/>
  <c r="W84" i="34"/>
  <c r="W88" i="34"/>
  <c r="W92" i="34"/>
  <c r="W99" i="34"/>
  <c r="W103" i="34"/>
  <c r="W110" i="34"/>
  <c r="W120" i="34"/>
  <c r="W126" i="34"/>
  <c r="W131" i="34"/>
  <c r="W149" i="34"/>
  <c r="W153" i="34"/>
  <c r="W159" i="34"/>
  <c r="W162" i="34"/>
  <c r="W165" i="34"/>
  <c r="W170" i="34"/>
  <c r="W177" i="34"/>
  <c r="W182" i="34"/>
  <c r="W190" i="34"/>
  <c r="W197" i="34"/>
  <c r="W201" i="34"/>
  <c r="W203" i="34"/>
  <c r="W207" i="34"/>
  <c r="W210" i="34"/>
  <c r="W214" i="34"/>
  <c r="W217" i="34"/>
  <c r="W222" i="34"/>
  <c r="W231" i="34"/>
  <c r="W239" i="34"/>
  <c r="W242" i="34"/>
  <c r="W243" i="34"/>
  <c r="W249" i="34"/>
  <c r="W251" i="34"/>
  <c r="W253" i="34"/>
  <c r="W255" i="34"/>
  <c r="W274" i="34"/>
  <c r="W276" i="34"/>
  <c r="W283" i="34"/>
  <c r="W286" i="34"/>
  <c r="W290" i="34"/>
  <c r="W296" i="34"/>
  <c r="W299" i="34"/>
  <c r="W302" i="34"/>
  <c r="W306" i="34"/>
  <c r="W315" i="34"/>
  <c r="W318" i="34"/>
  <c r="W326" i="34"/>
  <c r="W327" i="34"/>
  <c r="W339" i="34"/>
  <c r="W340" i="34"/>
  <c r="W347" i="34"/>
  <c r="W351" i="34"/>
  <c r="W357" i="34"/>
  <c r="W361" i="34"/>
  <c r="W371" i="34"/>
  <c r="W374" i="34"/>
  <c r="W377" i="34"/>
  <c r="W386" i="34"/>
  <c r="W388" i="34"/>
  <c r="W395" i="34"/>
  <c r="W401" i="34"/>
  <c r="W409" i="34"/>
  <c r="W418" i="34"/>
  <c r="W421" i="34"/>
  <c r="W425" i="34"/>
  <c r="W434" i="34"/>
  <c r="W446" i="34"/>
  <c r="W455" i="34"/>
  <c r="W462" i="34"/>
  <c r="W465" i="34"/>
  <c r="W473" i="34"/>
  <c r="W484" i="34"/>
  <c r="W493" i="34"/>
  <c r="W498" i="34"/>
  <c r="W511" i="34"/>
  <c r="W515" i="34"/>
  <c r="W518" i="34"/>
  <c r="W520" i="34"/>
  <c r="W532" i="34"/>
  <c r="W538" i="34"/>
  <c r="W541" i="34"/>
  <c r="W543" i="34"/>
  <c r="W553" i="34"/>
  <c r="W561" i="34"/>
  <c r="W565" i="34"/>
  <c r="W566" i="34"/>
  <c r="W572" i="34"/>
  <c r="W581" i="34"/>
  <c r="W593" i="34"/>
  <c r="W597" i="34"/>
  <c r="W607" i="34"/>
  <c r="W611" i="34"/>
  <c r="W616" i="34"/>
  <c r="W624" i="34"/>
  <c r="W630" i="34"/>
  <c r="W635" i="34"/>
  <c r="W640" i="34"/>
  <c r="W643" i="34"/>
  <c r="W647" i="34"/>
  <c r="W651" i="34"/>
  <c r="W655" i="34"/>
  <c r="W660" i="34"/>
  <c r="W661" i="34"/>
  <c r="W674" i="34"/>
  <c r="W677" i="34"/>
  <c r="W686" i="34"/>
  <c r="W691" i="34"/>
  <c r="W703" i="34"/>
  <c r="W711" i="34"/>
  <c r="W718" i="34"/>
  <c r="W721" i="34"/>
  <c r="W724" i="34"/>
  <c r="W731" i="34"/>
  <c r="W736" i="34"/>
  <c r="W740" i="34"/>
  <c r="W743" i="34"/>
  <c r="W747" i="34"/>
  <c r="W751" i="34"/>
  <c r="W753" i="34"/>
  <c r="W757" i="34"/>
  <c r="W769" i="34"/>
  <c r="W775" i="34"/>
  <c r="W779" i="34"/>
  <c r="W784" i="34"/>
  <c r="W787" i="34"/>
  <c r="W789" i="34"/>
  <c r="W791" i="34"/>
  <c r="W794" i="34"/>
  <c r="W798" i="34"/>
  <c r="W810" i="34"/>
  <c r="W814" i="34"/>
  <c r="W815" i="34"/>
  <c r="W818" i="34"/>
  <c r="W820" i="34"/>
  <c r="W825" i="34"/>
  <c r="W827" i="34"/>
  <c r="X21" i="34"/>
  <c r="X31" i="34"/>
  <c r="X32" i="34"/>
  <c r="X37" i="34"/>
  <c r="X48" i="34"/>
  <c r="X54" i="34"/>
  <c r="X56" i="34"/>
  <c r="X58" i="34"/>
  <c r="X66" i="34"/>
  <c r="X68" i="34"/>
  <c r="X71" i="34"/>
  <c r="X80" i="34"/>
  <c r="X84" i="34"/>
  <c r="X88" i="34"/>
  <c r="X92" i="34"/>
  <c r="X99" i="34"/>
  <c r="X103" i="34"/>
  <c r="X110" i="34"/>
  <c r="X120" i="34"/>
  <c r="X126" i="34"/>
  <c r="X131" i="34"/>
  <c r="X149" i="34"/>
  <c r="X153" i="34"/>
  <c r="X159" i="34"/>
  <c r="X162" i="34"/>
  <c r="X165" i="34"/>
  <c r="X170" i="34"/>
  <c r="X177" i="34"/>
  <c r="X182" i="34"/>
  <c r="X190" i="34"/>
  <c r="X197" i="34"/>
  <c r="X201" i="34"/>
  <c r="X203" i="34"/>
  <c r="X207" i="34"/>
  <c r="X210" i="34"/>
  <c r="X214" i="34"/>
  <c r="X217" i="34"/>
  <c r="X222" i="34"/>
  <c r="X231" i="34"/>
  <c r="X239" i="34"/>
  <c r="X242" i="34"/>
  <c r="X243" i="34"/>
  <c r="X249" i="34"/>
  <c r="X251" i="34"/>
  <c r="X253" i="34"/>
  <c r="X255" i="34"/>
  <c r="X274" i="34"/>
  <c r="X276" i="34"/>
  <c r="X283" i="34"/>
  <c r="X286" i="34"/>
  <c r="X290" i="34"/>
  <c r="X296" i="34"/>
  <c r="X299" i="34"/>
  <c r="X302" i="34"/>
  <c r="X306" i="34"/>
  <c r="X315" i="34"/>
  <c r="X318" i="34"/>
  <c r="X326" i="34"/>
  <c r="X327" i="34"/>
  <c r="X339" i="34"/>
  <c r="X340" i="34"/>
  <c r="X347" i="34"/>
  <c r="X351" i="34"/>
  <c r="X357" i="34"/>
  <c r="X361" i="34"/>
  <c r="X371" i="34"/>
  <c r="X374" i="34"/>
  <c r="X377" i="34"/>
  <c r="X386" i="34"/>
  <c r="X388" i="34"/>
  <c r="X395" i="34"/>
  <c r="X401" i="34"/>
  <c r="X409" i="34"/>
  <c r="X418" i="34"/>
  <c r="X421" i="34"/>
  <c r="X425" i="34"/>
  <c r="X434" i="34"/>
  <c r="X446" i="34"/>
  <c r="X455" i="34"/>
  <c r="X462" i="34"/>
  <c r="X465" i="34"/>
  <c r="X473" i="34"/>
  <c r="X484" i="34"/>
  <c r="X493" i="34"/>
  <c r="X498" i="34"/>
  <c r="X511" i="34"/>
  <c r="X515" i="34"/>
  <c r="X518" i="34"/>
  <c r="X520" i="34"/>
  <c r="X532" i="34"/>
  <c r="X538" i="34"/>
  <c r="X541" i="34"/>
  <c r="X543" i="34"/>
  <c r="X553" i="34"/>
  <c r="X561" i="34"/>
  <c r="X565" i="34"/>
  <c r="X566" i="34"/>
  <c r="X572" i="34"/>
  <c r="X581" i="34"/>
  <c r="X593" i="34"/>
  <c r="X597" i="34"/>
  <c r="X607" i="34"/>
  <c r="X611" i="34"/>
  <c r="X616" i="34"/>
  <c r="X624" i="34"/>
  <c r="X630" i="34"/>
  <c r="X635" i="34"/>
  <c r="X640" i="34"/>
  <c r="X643" i="34"/>
  <c r="X647" i="34"/>
  <c r="X651" i="34"/>
  <c r="X655" i="34"/>
  <c r="X660" i="34"/>
  <c r="X661" i="34"/>
  <c r="X674" i="34"/>
  <c r="X677" i="34"/>
  <c r="X686" i="34"/>
  <c r="X691" i="34"/>
  <c r="X703" i="34"/>
  <c r="X711" i="34"/>
  <c r="X718" i="34"/>
  <c r="X721" i="34"/>
  <c r="X724" i="34"/>
  <c r="X731" i="34"/>
  <c r="X736" i="34"/>
  <c r="X740" i="34"/>
  <c r="X743" i="34"/>
  <c r="X747" i="34"/>
  <c r="X751" i="34"/>
  <c r="X753" i="34"/>
  <c r="X757" i="34"/>
  <c r="X769" i="34"/>
  <c r="X775" i="34"/>
  <c r="X779" i="34"/>
  <c r="X784" i="34"/>
  <c r="X787" i="34"/>
  <c r="X789" i="34"/>
  <c r="X791" i="34"/>
  <c r="X794" i="34"/>
  <c r="X798" i="34"/>
  <c r="X810" i="34"/>
  <c r="X814" i="34"/>
  <c r="X815" i="34"/>
  <c r="X818" i="34"/>
  <c r="X820" i="34"/>
  <c r="X825" i="34"/>
  <c r="X827" i="34"/>
  <c r="Y21" i="34"/>
  <c r="Y31" i="34"/>
  <c r="Y32" i="34"/>
  <c r="Y37" i="34"/>
  <c r="Y48" i="34"/>
  <c r="Y54" i="34"/>
  <c r="Y56" i="34"/>
  <c r="Y58" i="34"/>
  <c r="Y66" i="34"/>
  <c r="Y68" i="34"/>
  <c r="Y71" i="34"/>
  <c r="Y80" i="34"/>
  <c r="Y84" i="34"/>
  <c r="Y88" i="34"/>
  <c r="Y92" i="34"/>
  <c r="Y99" i="34"/>
  <c r="Y103" i="34"/>
  <c r="Y110" i="34"/>
  <c r="Y120" i="34"/>
  <c r="Y126" i="34"/>
  <c r="Y131" i="34"/>
  <c r="Y149" i="34"/>
  <c r="Y153" i="34"/>
  <c r="Y159" i="34"/>
  <c r="Y162" i="34"/>
  <c r="Y165" i="34"/>
  <c r="Y170" i="34"/>
  <c r="Y177" i="34"/>
  <c r="Y182" i="34"/>
  <c r="Y190" i="34"/>
  <c r="Y197" i="34"/>
  <c r="Y201" i="34"/>
  <c r="Y203" i="34"/>
  <c r="Y207" i="34"/>
  <c r="Y210" i="34"/>
  <c r="Y214" i="34"/>
  <c r="Y217" i="34"/>
  <c r="Y222" i="34"/>
  <c r="Y231" i="34"/>
  <c r="Y239" i="34"/>
  <c r="Y242" i="34"/>
  <c r="Y243" i="34"/>
  <c r="Y249" i="34"/>
  <c r="Y251" i="34"/>
  <c r="Y253" i="34"/>
  <c r="Y255" i="34"/>
  <c r="Y274" i="34"/>
  <c r="Y276" i="34"/>
  <c r="Y283" i="34"/>
  <c r="Y286" i="34"/>
  <c r="Y290" i="34"/>
  <c r="Y296" i="34"/>
  <c r="Y299" i="34"/>
  <c r="Y302" i="34"/>
  <c r="Y306" i="34"/>
  <c r="Y315" i="34"/>
  <c r="Y318" i="34"/>
  <c r="Y326" i="34"/>
  <c r="Y327" i="34"/>
  <c r="Y339" i="34"/>
  <c r="Y340" i="34"/>
  <c r="Y347" i="34"/>
  <c r="Y351" i="34"/>
  <c r="Y357" i="34"/>
  <c r="Y361" i="34"/>
  <c r="Y371" i="34"/>
  <c r="Y374" i="34"/>
  <c r="Y377" i="34"/>
  <c r="Y386" i="34"/>
  <c r="Y388" i="34"/>
  <c r="Y395" i="34"/>
  <c r="Y401" i="34"/>
  <c r="Y409" i="34"/>
  <c r="Y418" i="34"/>
  <c r="Y421" i="34"/>
  <c r="Y425" i="34"/>
  <c r="Y434" i="34"/>
  <c r="Y446" i="34"/>
  <c r="Y455" i="34"/>
  <c r="Y462" i="34"/>
  <c r="Y465" i="34"/>
  <c r="Y473" i="34"/>
  <c r="Y484" i="34"/>
  <c r="Y493" i="34"/>
  <c r="Y498" i="34"/>
  <c r="Y511" i="34"/>
  <c r="Y515" i="34"/>
  <c r="Y518" i="34"/>
  <c r="Y520" i="34"/>
  <c r="Y532" i="34"/>
  <c r="Y538" i="34"/>
  <c r="Y541" i="34"/>
  <c r="Y543" i="34"/>
  <c r="Y553" i="34"/>
  <c r="Y561" i="34"/>
  <c r="Y565" i="34"/>
  <c r="Y566" i="34"/>
  <c r="Y572" i="34"/>
  <c r="Y581" i="34"/>
  <c r="Y593" i="34"/>
  <c r="Y597" i="34"/>
  <c r="Y607" i="34"/>
  <c r="Y611" i="34"/>
  <c r="Y616" i="34"/>
  <c r="Y624" i="34"/>
  <c r="Y630" i="34"/>
  <c r="Y635" i="34"/>
  <c r="Y640" i="34"/>
  <c r="Y643" i="34"/>
  <c r="Y647" i="34"/>
  <c r="Y651" i="34"/>
  <c r="Y655" i="34"/>
  <c r="Y660" i="34"/>
  <c r="Y661" i="34"/>
  <c r="Y674" i="34"/>
  <c r="Y677" i="34"/>
  <c r="Y686" i="34"/>
  <c r="Y691" i="34"/>
  <c r="Y703" i="34"/>
  <c r="Y711" i="34"/>
  <c r="Y718" i="34"/>
  <c r="Y721" i="34"/>
  <c r="Y724" i="34"/>
  <c r="Y731" i="34"/>
  <c r="Y736" i="34"/>
  <c r="Y740" i="34"/>
  <c r="Y743" i="34"/>
  <c r="Y747" i="34"/>
  <c r="Y751" i="34"/>
  <c r="Y753" i="34"/>
  <c r="Y757" i="34"/>
  <c r="Y769" i="34"/>
  <c r="Y775" i="34"/>
  <c r="Y779" i="34"/>
  <c r="Y784" i="34"/>
  <c r="Y787" i="34"/>
  <c r="Y789" i="34"/>
  <c r="Y791" i="34"/>
  <c r="Y794" i="34"/>
  <c r="Y798" i="34"/>
  <c r="Y810" i="34"/>
  <c r="Y814" i="34"/>
  <c r="Y815" i="34"/>
  <c r="Y818" i="34"/>
  <c r="Y820" i="34"/>
  <c r="Y825" i="34"/>
  <c r="Y827" i="34"/>
  <c r="Z21" i="34"/>
  <c r="Z31" i="34"/>
  <c r="Z32" i="34"/>
  <c r="Z37" i="34"/>
  <c r="Z48" i="34"/>
  <c r="Z54" i="34"/>
  <c r="Z56" i="34"/>
  <c r="Z58" i="34"/>
  <c r="Z66" i="34"/>
  <c r="Z68" i="34"/>
  <c r="Z71" i="34"/>
  <c r="Z80" i="34"/>
  <c r="Z84" i="34"/>
  <c r="Z88" i="34"/>
  <c r="Z92" i="34"/>
  <c r="Z99" i="34"/>
  <c r="Z103" i="34"/>
  <c r="Z110" i="34"/>
  <c r="Z120" i="34"/>
  <c r="Z126" i="34"/>
  <c r="Z131" i="34"/>
  <c r="Z149" i="34"/>
  <c r="Z153" i="34"/>
  <c r="Z159" i="34"/>
  <c r="Z162" i="34"/>
  <c r="Z165" i="34"/>
  <c r="Z170" i="34"/>
  <c r="Z177" i="34"/>
  <c r="Z182" i="34"/>
  <c r="Z190" i="34"/>
  <c r="Z197" i="34"/>
  <c r="Z201" i="34"/>
  <c r="Z203" i="34"/>
  <c r="Z207" i="34"/>
  <c r="Z210" i="34"/>
  <c r="Z214" i="34"/>
  <c r="Z217" i="34"/>
  <c r="Z222" i="34"/>
  <c r="Z231" i="34"/>
  <c r="Z239" i="34"/>
  <c r="Z242" i="34"/>
  <c r="Z243" i="34"/>
  <c r="Z249" i="34"/>
  <c r="Z251" i="34"/>
  <c r="Z253" i="34"/>
  <c r="Z255" i="34"/>
  <c r="Z274" i="34"/>
  <c r="Z276" i="34"/>
  <c r="Z283" i="34"/>
  <c r="Z286" i="34"/>
  <c r="Z290" i="34"/>
  <c r="Z296" i="34"/>
  <c r="Z299" i="34"/>
  <c r="Z302" i="34"/>
  <c r="Z306" i="34"/>
  <c r="Z315" i="34"/>
  <c r="Z318" i="34"/>
  <c r="Z326" i="34"/>
  <c r="Z327" i="34"/>
  <c r="Z339" i="34"/>
  <c r="Z340" i="34"/>
  <c r="Z347" i="34"/>
  <c r="Z351" i="34"/>
  <c r="Z357" i="34"/>
  <c r="Z361" i="34"/>
  <c r="Z371" i="34"/>
  <c r="Z374" i="34"/>
  <c r="Z377" i="34"/>
  <c r="Z386" i="34"/>
  <c r="Z388" i="34"/>
  <c r="Z395" i="34"/>
  <c r="Z401" i="34"/>
  <c r="Z409" i="34"/>
  <c r="Z418" i="34"/>
  <c r="Z421" i="34"/>
  <c r="Z425" i="34"/>
  <c r="Z434" i="34"/>
  <c r="Z446" i="34"/>
  <c r="Z455" i="34"/>
  <c r="Z462" i="34"/>
  <c r="Z465" i="34"/>
  <c r="Z473" i="34"/>
  <c r="Z484" i="34"/>
  <c r="Z493" i="34"/>
  <c r="Z498" i="34"/>
  <c r="Z511" i="34"/>
  <c r="Z515" i="34"/>
  <c r="Z518" i="34"/>
  <c r="Z520" i="34"/>
  <c r="Z532" i="34"/>
  <c r="Z538" i="34"/>
  <c r="Z541" i="34"/>
  <c r="Z543" i="34"/>
  <c r="Z553" i="34"/>
  <c r="Z561" i="34"/>
  <c r="Z565" i="34"/>
  <c r="Z566" i="34"/>
  <c r="Z572" i="34"/>
  <c r="Z581" i="34"/>
  <c r="Z593" i="34"/>
  <c r="Z597" i="34"/>
  <c r="Z607" i="34"/>
  <c r="Z611" i="34"/>
  <c r="Z616" i="34"/>
  <c r="Z624" i="34"/>
  <c r="Z630" i="34"/>
  <c r="Z635" i="34"/>
  <c r="Z640" i="34"/>
  <c r="Z643" i="34"/>
  <c r="Z647" i="34"/>
  <c r="Z651" i="34"/>
  <c r="Z655" i="34"/>
  <c r="Z660" i="34"/>
  <c r="Z661" i="34"/>
  <c r="Z674" i="34"/>
  <c r="Z677" i="34"/>
  <c r="Z686" i="34"/>
  <c r="Z691" i="34"/>
  <c r="Z703" i="34"/>
  <c r="Z711" i="34"/>
  <c r="Z718" i="34"/>
  <c r="Z721" i="34"/>
  <c r="Z724" i="34"/>
  <c r="Z731" i="34"/>
  <c r="Z736" i="34"/>
  <c r="Z740" i="34"/>
  <c r="Z743" i="34"/>
  <c r="Z747" i="34"/>
  <c r="Z751" i="34"/>
  <c r="Z753" i="34"/>
  <c r="Z757" i="34"/>
  <c r="Z769" i="34"/>
  <c r="Z775" i="34"/>
  <c r="Z779" i="34"/>
  <c r="Z784" i="34"/>
  <c r="Z787" i="34"/>
  <c r="Z789" i="34"/>
  <c r="Z791" i="34"/>
  <c r="Z794" i="34"/>
  <c r="Z798" i="34"/>
  <c r="Z810" i="34"/>
  <c r="Z814" i="34"/>
  <c r="Z815" i="34"/>
  <c r="Z818" i="34"/>
  <c r="Z820" i="34"/>
  <c r="Z825" i="34"/>
  <c r="Z827" i="34"/>
  <c r="AA21" i="34"/>
  <c r="AA31" i="34"/>
  <c r="AA32" i="34"/>
  <c r="AA37" i="34"/>
  <c r="AA48" i="34"/>
  <c r="AA54" i="34"/>
  <c r="AA56" i="34"/>
  <c r="AA58" i="34"/>
  <c r="AA66" i="34"/>
  <c r="AA68" i="34"/>
  <c r="AA71" i="34"/>
  <c r="AA80" i="34"/>
  <c r="AA84" i="34"/>
  <c r="AA88" i="34"/>
  <c r="AA92" i="34"/>
  <c r="AA99" i="34"/>
  <c r="AA103" i="34"/>
  <c r="AA110" i="34"/>
  <c r="AA120" i="34"/>
  <c r="AA126" i="34"/>
  <c r="AA131" i="34"/>
  <c r="AA149" i="34"/>
  <c r="AA153" i="34"/>
  <c r="AA159" i="34"/>
  <c r="AA162" i="34"/>
  <c r="AA165" i="34"/>
  <c r="AA170" i="34"/>
  <c r="AA177" i="34"/>
  <c r="AA182" i="34"/>
  <c r="AA190" i="34"/>
  <c r="AA197" i="34"/>
  <c r="AA201" i="34"/>
  <c r="AA203" i="34"/>
  <c r="AA207" i="34"/>
  <c r="AA210" i="34"/>
  <c r="AA214" i="34"/>
  <c r="AA217" i="34"/>
  <c r="AA222" i="34"/>
  <c r="AA231" i="34"/>
  <c r="AA239" i="34"/>
  <c r="AA242" i="34"/>
  <c r="AA243" i="34"/>
  <c r="AA249" i="34"/>
  <c r="AA251" i="34"/>
  <c r="AA253" i="34"/>
  <c r="AA255" i="34"/>
  <c r="AA274" i="34"/>
  <c r="AA276" i="34"/>
  <c r="AA283" i="34"/>
  <c r="AA286" i="34"/>
  <c r="AA290" i="34"/>
  <c r="AA296" i="34"/>
  <c r="AA299" i="34"/>
  <c r="AA302" i="34"/>
  <c r="AA306" i="34"/>
  <c r="AA315" i="34"/>
  <c r="AA318" i="34"/>
  <c r="AA326" i="34"/>
  <c r="AA327" i="34"/>
  <c r="AA339" i="34"/>
  <c r="AA340" i="34"/>
  <c r="AA347" i="34"/>
  <c r="AA351" i="34"/>
  <c r="AA357" i="34"/>
  <c r="AA361" i="34"/>
  <c r="AA371" i="34"/>
  <c r="AA374" i="34"/>
  <c r="AA377" i="34"/>
  <c r="AA386" i="34"/>
  <c r="AA388" i="34"/>
  <c r="AA395" i="34"/>
  <c r="AA401" i="34"/>
  <c r="AA409" i="34"/>
  <c r="AA418" i="34"/>
  <c r="AA421" i="34"/>
  <c r="AA425" i="34"/>
  <c r="AA434" i="34"/>
  <c r="AA446" i="34"/>
  <c r="AA455" i="34"/>
  <c r="AA462" i="34"/>
  <c r="AA465" i="34"/>
  <c r="AA473" i="34"/>
  <c r="AA484" i="34"/>
  <c r="AA493" i="34"/>
  <c r="AA498" i="34"/>
  <c r="AA511" i="34"/>
  <c r="AA515" i="34"/>
  <c r="AA518" i="34"/>
  <c r="AA520" i="34"/>
  <c r="AA532" i="34"/>
  <c r="AA538" i="34"/>
  <c r="AA541" i="34"/>
  <c r="AA543" i="34"/>
  <c r="AA553" i="34"/>
  <c r="AA561" i="34"/>
  <c r="AA565" i="34"/>
  <c r="AA566" i="34"/>
  <c r="AA572" i="34"/>
  <c r="AA581" i="34"/>
  <c r="AA593" i="34"/>
  <c r="AA597" i="34"/>
  <c r="AA607" i="34"/>
  <c r="AA611" i="34"/>
  <c r="AA616" i="34"/>
  <c r="AA624" i="34"/>
  <c r="AA630" i="34"/>
  <c r="AA635" i="34"/>
  <c r="AA640" i="34"/>
  <c r="AA643" i="34"/>
  <c r="AA647" i="34"/>
  <c r="AA651" i="34"/>
  <c r="AA655" i="34"/>
  <c r="AA660" i="34"/>
  <c r="AA661" i="34"/>
  <c r="AA674" i="34"/>
  <c r="AA677" i="34"/>
  <c r="AA686" i="34"/>
  <c r="AA691" i="34"/>
  <c r="AA703" i="34"/>
  <c r="AA711" i="34"/>
  <c r="AA718" i="34"/>
  <c r="AA721" i="34"/>
  <c r="AA724" i="34"/>
  <c r="AA731" i="34"/>
  <c r="AA736" i="34"/>
  <c r="AA740" i="34"/>
  <c r="AA743" i="34"/>
  <c r="AA747" i="34"/>
  <c r="AA751" i="34"/>
  <c r="AA753" i="34"/>
  <c r="AA757" i="34"/>
  <c r="AA769" i="34"/>
  <c r="AA775" i="34"/>
  <c r="AA779" i="34"/>
  <c r="AA784" i="34"/>
  <c r="AA787" i="34"/>
  <c r="AA789" i="34"/>
  <c r="AA791" i="34"/>
  <c r="AA794" i="34"/>
  <c r="AA798" i="34"/>
  <c r="AA810" i="34"/>
  <c r="AA814" i="34"/>
  <c r="AA815" i="34"/>
  <c r="AA818" i="34"/>
  <c r="AA820" i="34"/>
  <c r="AA825" i="34"/>
  <c r="AA827" i="34"/>
  <c r="AB21" i="34"/>
  <c r="AB31" i="34"/>
  <c r="AB32" i="34"/>
  <c r="AB37" i="34"/>
  <c r="AB48" i="34"/>
  <c r="AB54" i="34"/>
  <c r="AB56" i="34"/>
  <c r="AB58" i="34"/>
  <c r="AB66" i="34"/>
  <c r="AB68" i="34"/>
  <c r="AB71" i="34"/>
  <c r="AB80" i="34"/>
  <c r="AB84" i="34"/>
  <c r="AB88" i="34"/>
  <c r="AB92" i="34"/>
  <c r="AB99" i="34"/>
  <c r="AB103" i="34"/>
  <c r="AB110" i="34"/>
  <c r="AB120" i="34"/>
  <c r="AB126" i="34"/>
  <c r="AB131" i="34"/>
  <c r="AB149" i="34"/>
  <c r="AB153" i="34"/>
  <c r="AB159" i="34"/>
  <c r="AB162" i="34"/>
  <c r="AB165" i="34"/>
  <c r="AB170" i="34"/>
  <c r="AB177" i="34"/>
  <c r="AB182" i="34"/>
  <c r="AB190" i="34"/>
  <c r="AB197" i="34"/>
  <c r="AB201" i="34"/>
  <c r="AB203" i="34"/>
  <c r="AB207" i="34"/>
  <c r="AB210" i="34"/>
  <c r="AB214" i="34"/>
  <c r="AB217" i="34"/>
  <c r="AB222" i="34"/>
  <c r="AB231" i="34"/>
  <c r="AB239" i="34"/>
  <c r="AB242" i="34"/>
  <c r="AB243" i="34"/>
  <c r="AB249" i="34"/>
  <c r="AB251" i="34"/>
  <c r="AB253" i="34"/>
  <c r="AB255" i="34"/>
  <c r="AB274" i="34"/>
  <c r="AB276" i="34"/>
  <c r="AB283" i="34"/>
  <c r="AB286" i="34"/>
  <c r="AB290" i="34"/>
  <c r="AB296" i="34"/>
  <c r="AB299" i="34"/>
  <c r="AB302" i="34"/>
  <c r="AB306" i="34"/>
  <c r="AB315" i="34"/>
  <c r="AB318" i="34"/>
  <c r="AB326" i="34"/>
  <c r="AB327" i="34"/>
  <c r="AB339" i="34"/>
  <c r="AB340" i="34"/>
  <c r="AB347" i="34"/>
  <c r="AB351" i="34"/>
  <c r="AB357" i="34"/>
  <c r="AB361" i="34"/>
  <c r="AB371" i="34"/>
  <c r="AB374" i="34"/>
  <c r="AB377" i="34"/>
  <c r="AB386" i="34"/>
  <c r="AB388" i="34"/>
  <c r="AB395" i="34"/>
  <c r="AB401" i="34"/>
  <c r="AB409" i="34"/>
  <c r="AB418" i="34"/>
  <c r="AB421" i="34"/>
  <c r="AB425" i="34"/>
  <c r="AB434" i="34"/>
  <c r="AB446" i="34"/>
  <c r="AB455" i="34"/>
  <c r="AB462" i="34"/>
  <c r="AB465" i="34"/>
  <c r="AB473" i="34"/>
  <c r="AB484" i="34"/>
  <c r="AB493" i="34"/>
  <c r="AB498" i="34"/>
  <c r="AB511" i="34"/>
  <c r="AB515" i="34"/>
  <c r="AB518" i="34"/>
  <c r="AB520" i="34"/>
  <c r="AB532" i="34"/>
  <c r="AB538" i="34"/>
  <c r="AB541" i="34"/>
  <c r="AB543" i="34"/>
  <c r="AB553" i="34"/>
  <c r="AB561" i="34"/>
  <c r="AB565" i="34"/>
  <c r="AB566" i="34"/>
  <c r="AB572" i="34"/>
  <c r="AB581" i="34"/>
  <c r="AB593" i="34"/>
  <c r="AB597" i="34"/>
  <c r="AB607" i="34"/>
  <c r="AB611" i="34"/>
  <c r="AB616" i="34"/>
  <c r="AB624" i="34"/>
  <c r="AB630" i="34"/>
  <c r="AB635" i="34"/>
  <c r="AB640" i="34"/>
  <c r="AB643" i="34"/>
  <c r="AB647" i="34"/>
  <c r="AB651" i="34"/>
  <c r="AB655" i="34"/>
  <c r="AB660" i="34"/>
  <c r="AB661" i="34"/>
  <c r="AB674" i="34"/>
  <c r="AB677" i="34"/>
  <c r="AB686" i="34"/>
  <c r="AB691" i="34"/>
  <c r="AB703" i="34"/>
  <c r="AB711" i="34"/>
  <c r="AB718" i="34"/>
  <c r="AB721" i="34"/>
  <c r="AB724" i="34"/>
  <c r="AB731" i="34"/>
  <c r="AB736" i="34"/>
  <c r="AB740" i="34"/>
  <c r="AB743" i="34"/>
  <c r="AB747" i="34"/>
  <c r="AB751" i="34"/>
  <c r="AB753" i="34"/>
  <c r="AB757" i="34"/>
  <c r="AB769" i="34"/>
  <c r="AB775" i="34"/>
  <c r="AB779" i="34"/>
  <c r="AB784" i="34"/>
  <c r="AB787" i="34"/>
  <c r="AB789" i="34"/>
  <c r="AB791" i="34"/>
  <c r="AB794" i="34"/>
  <c r="AB798" i="34"/>
  <c r="AB810" i="34"/>
  <c r="AB814" i="34"/>
  <c r="AB815" i="34"/>
  <c r="AB818" i="34"/>
  <c r="AB820" i="34"/>
  <c r="AB825" i="34"/>
  <c r="AB827" i="34"/>
  <c r="AC21" i="34"/>
  <c r="AC31" i="34"/>
  <c r="AC32" i="34"/>
  <c r="AC37" i="34"/>
  <c r="AC48" i="34"/>
  <c r="AC54" i="34"/>
  <c r="AC56" i="34"/>
  <c r="AC58" i="34"/>
  <c r="AC66" i="34"/>
  <c r="AC68" i="34"/>
  <c r="AC71" i="34"/>
  <c r="AC80" i="34"/>
  <c r="AC84" i="34"/>
  <c r="AC88" i="34"/>
  <c r="AC92" i="34"/>
  <c r="AC99" i="34"/>
  <c r="AC103" i="34"/>
  <c r="AC110" i="34"/>
  <c r="AC120" i="34"/>
  <c r="AC126" i="34"/>
  <c r="AC131" i="34"/>
  <c r="AC149" i="34"/>
  <c r="AC153" i="34"/>
  <c r="AC159" i="34"/>
  <c r="AC162" i="34"/>
  <c r="AC165" i="34"/>
  <c r="AC170" i="34"/>
  <c r="AC177" i="34"/>
  <c r="AC182" i="34"/>
  <c r="AC190" i="34"/>
  <c r="AC197" i="34"/>
  <c r="AC201" i="34"/>
  <c r="AC203" i="34"/>
  <c r="AC207" i="34"/>
  <c r="AC210" i="34"/>
  <c r="AC214" i="34"/>
  <c r="AC217" i="34"/>
  <c r="AC222" i="34"/>
  <c r="AC231" i="34"/>
  <c r="AC239" i="34"/>
  <c r="AC242" i="34"/>
  <c r="AC243" i="34"/>
  <c r="AC249" i="34"/>
  <c r="AC251" i="34"/>
  <c r="AC253" i="34"/>
  <c r="AC255" i="34"/>
  <c r="AC274" i="34"/>
  <c r="AC276" i="34"/>
  <c r="AC283" i="34"/>
  <c r="AC286" i="34"/>
  <c r="AC290" i="34"/>
  <c r="AC296" i="34"/>
  <c r="AC299" i="34"/>
  <c r="AC302" i="34"/>
  <c r="AC306" i="34"/>
  <c r="AC315" i="34"/>
  <c r="AC318" i="34"/>
  <c r="AC326" i="34"/>
  <c r="AC327" i="34"/>
  <c r="AC339" i="34"/>
  <c r="AC340" i="34"/>
  <c r="AC347" i="34"/>
  <c r="AC351" i="34"/>
  <c r="AC357" i="34"/>
  <c r="AC361" i="34"/>
  <c r="AC371" i="34"/>
  <c r="AC374" i="34"/>
  <c r="AC377" i="34"/>
  <c r="AC386" i="34"/>
  <c r="AC388" i="34"/>
  <c r="AC395" i="34"/>
  <c r="AC401" i="34"/>
  <c r="AC409" i="34"/>
  <c r="AC418" i="34"/>
  <c r="AC421" i="34"/>
  <c r="AC425" i="34"/>
  <c r="AC434" i="34"/>
  <c r="AC446" i="34"/>
  <c r="AC455" i="34"/>
  <c r="AC462" i="34"/>
  <c r="AC465" i="34"/>
  <c r="AC473" i="34"/>
  <c r="AC484" i="34"/>
  <c r="AC493" i="34"/>
  <c r="AC498" i="34"/>
  <c r="AC511" i="34"/>
  <c r="AC515" i="34"/>
  <c r="AC518" i="34"/>
  <c r="AC520" i="34"/>
  <c r="AC532" i="34"/>
  <c r="AC538" i="34"/>
  <c r="AC541" i="34"/>
  <c r="AC543" i="34"/>
  <c r="AC553" i="34"/>
  <c r="AC561" i="34"/>
  <c r="AC565" i="34"/>
  <c r="AC566" i="34"/>
  <c r="AC572" i="34"/>
  <c r="AC581" i="34"/>
  <c r="AC593" i="34"/>
  <c r="AC597" i="34"/>
  <c r="AC607" i="34"/>
  <c r="AC611" i="34"/>
  <c r="AC616" i="34"/>
  <c r="AC624" i="34"/>
  <c r="AC630" i="34"/>
  <c r="AC635" i="34"/>
  <c r="AC640" i="34"/>
  <c r="AC643" i="34"/>
  <c r="AC647" i="34"/>
  <c r="AC651" i="34"/>
  <c r="AC655" i="34"/>
  <c r="AC660" i="34"/>
  <c r="AC661" i="34"/>
  <c r="AC674" i="34"/>
  <c r="AC677" i="34"/>
  <c r="AC686" i="34"/>
  <c r="AC691" i="34"/>
  <c r="AC703" i="34"/>
  <c r="AC711" i="34"/>
  <c r="AC718" i="34"/>
  <c r="AC721" i="34"/>
  <c r="AC724" i="34"/>
  <c r="AC731" i="34"/>
  <c r="AC736" i="34"/>
  <c r="AC740" i="34"/>
  <c r="AC743" i="34"/>
  <c r="AC747" i="34"/>
  <c r="AC751" i="34"/>
  <c r="AC753" i="34"/>
  <c r="AC757" i="34"/>
  <c r="AC769" i="34"/>
  <c r="AC775" i="34"/>
  <c r="AC779" i="34"/>
  <c r="AC784" i="34"/>
  <c r="AC787" i="34"/>
  <c r="AC789" i="34"/>
  <c r="AC791" i="34"/>
  <c r="AC794" i="34"/>
  <c r="AC798" i="34"/>
  <c r="AC810" i="34"/>
  <c r="AC814" i="34"/>
  <c r="AC815" i="34"/>
  <c r="AC818" i="34"/>
  <c r="AC820" i="34"/>
  <c r="AC825" i="34"/>
  <c r="AC827" i="34"/>
  <c r="AD21" i="34"/>
  <c r="AD31" i="34"/>
  <c r="AD32" i="34"/>
  <c r="AD37" i="34"/>
  <c r="AD48" i="34"/>
  <c r="AD54" i="34"/>
  <c r="AD56" i="34"/>
  <c r="AD58" i="34"/>
  <c r="AD66" i="34"/>
  <c r="AD68" i="34"/>
  <c r="AD71" i="34"/>
  <c r="AD80" i="34"/>
  <c r="AD84" i="34"/>
  <c r="AD88" i="34"/>
  <c r="AD92" i="34"/>
  <c r="AD99" i="34"/>
  <c r="AD103" i="34"/>
  <c r="AD110" i="34"/>
  <c r="AD120" i="34"/>
  <c r="AD126" i="34"/>
  <c r="AD131" i="34"/>
  <c r="AD149" i="34"/>
  <c r="AD153" i="34"/>
  <c r="AD159" i="34"/>
  <c r="AD162" i="34"/>
  <c r="AD165" i="34"/>
  <c r="AD170" i="34"/>
  <c r="AD177" i="34"/>
  <c r="AD182" i="34"/>
  <c r="AD190" i="34"/>
  <c r="AD197" i="34"/>
  <c r="AD201" i="34"/>
  <c r="AD203" i="34"/>
  <c r="AD207" i="34"/>
  <c r="AD210" i="34"/>
  <c r="AD214" i="34"/>
  <c r="AD217" i="34"/>
  <c r="AD222" i="34"/>
  <c r="AD231" i="34"/>
  <c r="AD239" i="34"/>
  <c r="AD242" i="34"/>
  <c r="AD243" i="34"/>
  <c r="AD249" i="34"/>
  <c r="AD251" i="34"/>
  <c r="AD253" i="34"/>
  <c r="AD255" i="34"/>
  <c r="AD274" i="34"/>
  <c r="AD276" i="34"/>
  <c r="AD283" i="34"/>
  <c r="AD286" i="34"/>
  <c r="AD290" i="34"/>
  <c r="AD296" i="34"/>
  <c r="AD299" i="34"/>
  <c r="AD302" i="34"/>
  <c r="AD306" i="34"/>
  <c r="AD315" i="34"/>
  <c r="AD318" i="34"/>
  <c r="AD326" i="34"/>
  <c r="AD327" i="34"/>
  <c r="AD339" i="34"/>
  <c r="AD340" i="34"/>
  <c r="AD347" i="34"/>
  <c r="AD351" i="34"/>
  <c r="AD357" i="34"/>
  <c r="AD361" i="34"/>
  <c r="AD371" i="34"/>
  <c r="AD374" i="34"/>
  <c r="AD377" i="34"/>
  <c r="AD386" i="34"/>
  <c r="AD388" i="34"/>
  <c r="AD395" i="34"/>
  <c r="AD401" i="34"/>
  <c r="AD409" i="34"/>
  <c r="AD418" i="34"/>
  <c r="AD421" i="34"/>
  <c r="AD425" i="34"/>
  <c r="AD434" i="34"/>
  <c r="AD446" i="34"/>
  <c r="AD455" i="34"/>
  <c r="AD462" i="34"/>
  <c r="AD465" i="34"/>
  <c r="AD473" i="34"/>
  <c r="AD484" i="34"/>
  <c r="AD493" i="34"/>
  <c r="AD498" i="34"/>
  <c r="AD511" i="34"/>
  <c r="AD515" i="34"/>
  <c r="AD518" i="34"/>
  <c r="AD520" i="34"/>
  <c r="AD532" i="34"/>
  <c r="AD538" i="34"/>
  <c r="AD541" i="34"/>
  <c r="AD543" i="34"/>
  <c r="AD553" i="34"/>
  <c r="AD561" i="34"/>
  <c r="AD565" i="34"/>
  <c r="AD566" i="34"/>
  <c r="AD572" i="34"/>
  <c r="AD581" i="34"/>
  <c r="AD593" i="34"/>
  <c r="AD597" i="34"/>
  <c r="AD607" i="34"/>
  <c r="AD611" i="34"/>
  <c r="AD616" i="34"/>
  <c r="AD624" i="34"/>
  <c r="AD630" i="34"/>
  <c r="AD635" i="34"/>
  <c r="AD640" i="34"/>
  <c r="AD643" i="34"/>
  <c r="AD647" i="34"/>
  <c r="AD651" i="34"/>
  <c r="AD655" i="34"/>
  <c r="AD660" i="34"/>
  <c r="AD661" i="34"/>
  <c r="AD674" i="34"/>
  <c r="AD677" i="34"/>
  <c r="AD686" i="34"/>
  <c r="AD691" i="34"/>
  <c r="AD703" i="34"/>
  <c r="AD711" i="34"/>
  <c r="AD718" i="34"/>
  <c r="AD721" i="34"/>
  <c r="AD724" i="34"/>
  <c r="AD731" i="34"/>
  <c r="AD736" i="34"/>
  <c r="AD740" i="34"/>
  <c r="AD743" i="34"/>
  <c r="AD747" i="34"/>
  <c r="AD751" i="34"/>
  <c r="AD753" i="34"/>
  <c r="AD757" i="34"/>
  <c r="AD769" i="34"/>
  <c r="AD775" i="34"/>
  <c r="AD779" i="34"/>
  <c r="AD784" i="34"/>
  <c r="AD787" i="34"/>
  <c r="AD789" i="34"/>
  <c r="AD791" i="34"/>
  <c r="AD794" i="34"/>
  <c r="AD798" i="34"/>
  <c r="AD810" i="34"/>
  <c r="AD814" i="34"/>
  <c r="AD815" i="34"/>
  <c r="AD818" i="34"/>
  <c r="AD820" i="34"/>
  <c r="AD825" i="34"/>
  <c r="AD827" i="34"/>
  <c r="AE21" i="34"/>
  <c r="AE31" i="34"/>
  <c r="AE32" i="34"/>
  <c r="AE37" i="34"/>
  <c r="AE48" i="34"/>
  <c r="AE54" i="34"/>
  <c r="AE56" i="34"/>
  <c r="AE58" i="34"/>
  <c r="AE66" i="34"/>
  <c r="AE68" i="34"/>
  <c r="AE71" i="34"/>
  <c r="AE80" i="34"/>
  <c r="AE84" i="34"/>
  <c r="AE88" i="34"/>
  <c r="AE92" i="34"/>
  <c r="AE99" i="34"/>
  <c r="AE103" i="34"/>
  <c r="AE110" i="34"/>
  <c r="AE120" i="34"/>
  <c r="AE126" i="34"/>
  <c r="AE131" i="34"/>
  <c r="AE149" i="34"/>
  <c r="AE153" i="34"/>
  <c r="AE159" i="34"/>
  <c r="AE162" i="34"/>
  <c r="AE165" i="34"/>
  <c r="AE170" i="34"/>
  <c r="AE177" i="34"/>
  <c r="AE182" i="34"/>
  <c r="AE190" i="34"/>
  <c r="AE197" i="34"/>
  <c r="AE201" i="34"/>
  <c r="AE203" i="34"/>
  <c r="AE207" i="34"/>
  <c r="AE210" i="34"/>
  <c r="AE214" i="34"/>
  <c r="AE217" i="34"/>
  <c r="AE222" i="34"/>
  <c r="AE231" i="34"/>
  <c r="AE239" i="34"/>
  <c r="AE242" i="34"/>
  <c r="AE243" i="34"/>
  <c r="AE249" i="34"/>
  <c r="AE251" i="34"/>
  <c r="AE253" i="34"/>
  <c r="AE255" i="34"/>
  <c r="AE274" i="34"/>
  <c r="AE276" i="34"/>
  <c r="AE283" i="34"/>
  <c r="AE286" i="34"/>
  <c r="AE290" i="34"/>
  <c r="AE296" i="34"/>
  <c r="AE299" i="34"/>
  <c r="AE302" i="34"/>
  <c r="AE306" i="34"/>
  <c r="AE315" i="34"/>
  <c r="AE318" i="34"/>
  <c r="AE326" i="34"/>
  <c r="AE327" i="34"/>
  <c r="AE339" i="34"/>
  <c r="AE340" i="34"/>
  <c r="AE347" i="34"/>
  <c r="AE351" i="34"/>
  <c r="AE357" i="34"/>
  <c r="AE361" i="34"/>
  <c r="AE371" i="34"/>
  <c r="AE374" i="34"/>
  <c r="AE377" i="34"/>
  <c r="AE386" i="34"/>
  <c r="AE388" i="34"/>
  <c r="AE395" i="34"/>
  <c r="AE401" i="34"/>
  <c r="AE409" i="34"/>
  <c r="AE418" i="34"/>
  <c r="AE421" i="34"/>
  <c r="AE425" i="34"/>
  <c r="AE434" i="34"/>
  <c r="AE446" i="34"/>
  <c r="AE455" i="34"/>
  <c r="AE462" i="34"/>
  <c r="AE465" i="34"/>
  <c r="AE473" i="34"/>
  <c r="AE484" i="34"/>
  <c r="AE493" i="34"/>
  <c r="AE498" i="34"/>
  <c r="AE511" i="34"/>
  <c r="AE515" i="34"/>
  <c r="AE518" i="34"/>
  <c r="AE520" i="34"/>
  <c r="AE532" i="34"/>
  <c r="AE538" i="34"/>
  <c r="AE541" i="34"/>
  <c r="AE543" i="34"/>
  <c r="AE553" i="34"/>
  <c r="AE561" i="34"/>
  <c r="AE565" i="34"/>
  <c r="AE566" i="34"/>
  <c r="AE572" i="34"/>
  <c r="AE581" i="34"/>
  <c r="AE593" i="34"/>
  <c r="AE597" i="34"/>
  <c r="AE607" i="34"/>
  <c r="AE611" i="34"/>
  <c r="AE616" i="34"/>
  <c r="AE624" i="34"/>
  <c r="AE630" i="34"/>
  <c r="AE635" i="34"/>
  <c r="AE640" i="34"/>
  <c r="AE643" i="34"/>
  <c r="AE647" i="34"/>
  <c r="AE651" i="34"/>
  <c r="AE655" i="34"/>
  <c r="AE660" i="34"/>
  <c r="AE661" i="34"/>
  <c r="AE674" i="34"/>
  <c r="AE677" i="34"/>
  <c r="AE686" i="34"/>
  <c r="AE691" i="34"/>
  <c r="AE703" i="34"/>
  <c r="AE711" i="34"/>
  <c r="AE718" i="34"/>
  <c r="AE721" i="34"/>
  <c r="AE724" i="34"/>
  <c r="AE731" i="34"/>
  <c r="AE736" i="34"/>
  <c r="AE740" i="34"/>
  <c r="AE743" i="34"/>
  <c r="AE747" i="34"/>
  <c r="AE751" i="34"/>
  <c r="AE753" i="34"/>
  <c r="AE757" i="34"/>
  <c r="AE769" i="34"/>
  <c r="AE775" i="34"/>
  <c r="AE779" i="34"/>
  <c r="AE784" i="34"/>
  <c r="AE787" i="34"/>
  <c r="AE789" i="34"/>
  <c r="AE791" i="34"/>
  <c r="AE794" i="34"/>
  <c r="AE798" i="34"/>
  <c r="AE810" i="34"/>
  <c r="AE814" i="34"/>
  <c r="AE815" i="34"/>
  <c r="AE818" i="34"/>
  <c r="AE820" i="34"/>
  <c r="AE825" i="34"/>
  <c r="AE827" i="34"/>
  <c r="AF21" i="34"/>
  <c r="AF31" i="34"/>
  <c r="AF32" i="34"/>
  <c r="AF37" i="34"/>
  <c r="AF48" i="34"/>
  <c r="AF54" i="34"/>
  <c r="AF56" i="34"/>
  <c r="AF58" i="34"/>
  <c r="AF66" i="34"/>
  <c r="AF68" i="34"/>
  <c r="AF71" i="34"/>
  <c r="AF80" i="34"/>
  <c r="AF84" i="34"/>
  <c r="AF88" i="34"/>
  <c r="AF92" i="34"/>
  <c r="AF99" i="34"/>
  <c r="AF103" i="34"/>
  <c r="AF110" i="34"/>
  <c r="AF120" i="34"/>
  <c r="AF126" i="34"/>
  <c r="AF131" i="34"/>
  <c r="AF149" i="34"/>
  <c r="AF153" i="34"/>
  <c r="AF159" i="34"/>
  <c r="AF162" i="34"/>
  <c r="AF165" i="34"/>
  <c r="AF170" i="34"/>
  <c r="AF177" i="34"/>
  <c r="AF182" i="34"/>
  <c r="AF190" i="34"/>
  <c r="AF197" i="34"/>
  <c r="AF201" i="34"/>
  <c r="AF203" i="34"/>
  <c r="AF207" i="34"/>
  <c r="AF210" i="34"/>
  <c r="AF214" i="34"/>
  <c r="AF217" i="34"/>
  <c r="AF222" i="34"/>
  <c r="AF231" i="34"/>
  <c r="AF239" i="34"/>
  <c r="AF242" i="34"/>
  <c r="AF243" i="34"/>
  <c r="AF249" i="34"/>
  <c r="AF251" i="34"/>
  <c r="AF253" i="34"/>
  <c r="AF255" i="34"/>
  <c r="AF274" i="34"/>
  <c r="AF276" i="34"/>
  <c r="AF283" i="34"/>
  <c r="AF286" i="34"/>
  <c r="AF290" i="34"/>
  <c r="AF296" i="34"/>
  <c r="AF299" i="34"/>
  <c r="AF302" i="34"/>
  <c r="AF306" i="34"/>
  <c r="AF315" i="34"/>
  <c r="AF318" i="34"/>
  <c r="AF326" i="34"/>
  <c r="AF327" i="34"/>
  <c r="AF339" i="34"/>
  <c r="AF340" i="34"/>
  <c r="AF347" i="34"/>
  <c r="AF351" i="34"/>
  <c r="AF357" i="34"/>
  <c r="AF361" i="34"/>
  <c r="AF371" i="34"/>
  <c r="AF374" i="34"/>
  <c r="AF377" i="34"/>
  <c r="AF386" i="34"/>
  <c r="AF388" i="34"/>
  <c r="AF395" i="34"/>
  <c r="AF401" i="34"/>
  <c r="AF409" i="34"/>
  <c r="AF418" i="34"/>
  <c r="AF421" i="34"/>
  <c r="AF425" i="34"/>
  <c r="AF434" i="34"/>
  <c r="AF446" i="34"/>
  <c r="AF455" i="34"/>
  <c r="AF462" i="34"/>
  <c r="AF465" i="34"/>
  <c r="AF473" i="34"/>
  <c r="AF484" i="34"/>
  <c r="AF493" i="34"/>
  <c r="AF498" i="34"/>
  <c r="AF511" i="34"/>
  <c r="AF515" i="34"/>
  <c r="AF518" i="34"/>
  <c r="AF520" i="34"/>
  <c r="AF532" i="34"/>
  <c r="AF538" i="34"/>
  <c r="AF541" i="34"/>
  <c r="AF543" i="34"/>
  <c r="AF553" i="34"/>
  <c r="AF561" i="34"/>
  <c r="AF565" i="34"/>
  <c r="AF566" i="34"/>
  <c r="AF572" i="34"/>
  <c r="AF581" i="34"/>
  <c r="AF593" i="34"/>
  <c r="AF597" i="34"/>
  <c r="AF607" i="34"/>
  <c r="AF611" i="34"/>
  <c r="AF616" i="34"/>
  <c r="AF624" i="34"/>
  <c r="AF630" i="34"/>
  <c r="AF635" i="34"/>
  <c r="AF640" i="34"/>
  <c r="AF643" i="34"/>
  <c r="AF647" i="34"/>
  <c r="AF651" i="34"/>
  <c r="AF655" i="34"/>
  <c r="AF660" i="34"/>
  <c r="AF661" i="34"/>
  <c r="AF674" i="34"/>
  <c r="AF677" i="34"/>
  <c r="AF686" i="34"/>
  <c r="AF691" i="34"/>
  <c r="AF703" i="34"/>
  <c r="AF711" i="34"/>
  <c r="AF718" i="34"/>
  <c r="AF721" i="34"/>
  <c r="AF724" i="34"/>
  <c r="AF731" i="34"/>
  <c r="AF736" i="34"/>
  <c r="AF740" i="34"/>
  <c r="AF743" i="34"/>
  <c r="AF747" i="34"/>
  <c r="AF751" i="34"/>
  <c r="AF753" i="34"/>
  <c r="AF757" i="34"/>
  <c r="AF769" i="34"/>
  <c r="AF775" i="34"/>
  <c r="AF779" i="34"/>
  <c r="AF784" i="34"/>
  <c r="AF787" i="34"/>
  <c r="AF789" i="34"/>
  <c r="AF791" i="34"/>
  <c r="AF794" i="34"/>
  <c r="AF798" i="34"/>
  <c r="AF810" i="34"/>
  <c r="AF814" i="34"/>
  <c r="AF815" i="34"/>
  <c r="AF818" i="34"/>
  <c r="AF820" i="34"/>
  <c r="AF825" i="34"/>
  <c r="AF827" i="34"/>
  <c r="AG21" i="34"/>
  <c r="AG31" i="34"/>
  <c r="AG32" i="34"/>
  <c r="AG37" i="34"/>
  <c r="AG48" i="34"/>
  <c r="AG54" i="34"/>
  <c r="AG56" i="34"/>
  <c r="AG58" i="34"/>
  <c r="AG66" i="34"/>
  <c r="AG68" i="34"/>
  <c r="AG71" i="34"/>
  <c r="AG80" i="34"/>
  <c r="AG84" i="34"/>
  <c r="AG88" i="34"/>
  <c r="AG92" i="34"/>
  <c r="AG99" i="34"/>
  <c r="AG103" i="34"/>
  <c r="AG110" i="34"/>
  <c r="AG120" i="34"/>
  <c r="AG126" i="34"/>
  <c r="AG131" i="34"/>
  <c r="AG149" i="34"/>
  <c r="AG153" i="34"/>
  <c r="AG159" i="34"/>
  <c r="AG162" i="34"/>
  <c r="AG165" i="34"/>
  <c r="AG170" i="34"/>
  <c r="AG177" i="34"/>
  <c r="AG182" i="34"/>
  <c r="AG190" i="34"/>
  <c r="AG197" i="34"/>
  <c r="AG201" i="34"/>
  <c r="AG203" i="34"/>
  <c r="AG207" i="34"/>
  <c r="AG210" i="34"/>
  <c r="AG214" i="34"/>
  <c r="AG217" i="34"/>
  <c r="AG222" i="34"/>
  <c r="AG231" i="34"/>
  <c r="AG239" i="34"/>
  <c r="AG242" i="34"/>
  <c r="AG243" i="34"/>
  <c r="AG249" i="34"/>
  <c r="AG251" i="34"/>
  <c r="AG253" i="34"/>
  <c r="AG255" i="34"/>
  <c r="AG274" i="34"/>
  <c r="AG276" i="34"/>
  <c r="AG283" i="34"/>
  <c r="AG286" i="34"/>
  <c r="AG290" i="34"/>
  <c r="AG296" i="34"/>
  <c r="AG299" i="34"/>
  <c r="AG302" i="34"/>
  <c r="AG306" i="34"/>
  <c r="AG315" i="34"/>
  <c r="AG318" i="34"/>
  <c r="AG326" i="34"/>
  <c r="AG327" i="34"/>
  <c r="AG339" i="34"/>
  <c r="AG340" i="34"/>
  <c r="AG347" i="34"/>
  <c r="AG351" i="34"/>
  <c r="AG357" i="34"/>
  <c r="AG361" i="34"/>
  <c r="AG371" i="34"/>
  <c r="AG374" i="34"/>
  <c r="AG377" i="34"/>
  <c r="AG386" i="34"/>
  <c r="AG388" i="34"/>
  <c r="AG395" i="34"/>
  <c r="AG401" i="34"/>
  <c r="AG409" i="34"/>
  <c r="AG418" i="34"/>
  <c r="AG421" i="34"/>
  <c r="AG425" i="34"/>
  <c r="AG434" i="34"/>
  <c r="AG446" i="34"/>
  <c r="AG455" i="34"/>
  <c r="AG462" i="34"/>
  <c r="AG465" i="34"/>
  <c r="AG473" i="34"/>
  <c r="AG484" i="34"/>
  <c r="AG493" i="34"/>
  <c r="AG498" i="34"/>
  <c r="AG511" i="34"/>
  <c r="AG515" i="34"/>
  <c r="AG518" i="34"/>
  <c r="AG520" i="34"/>
  <c r="AG532" i="34"/>
  <c r="AG538" i="34"/>
  <c r="AG541" i="34"/>
  <c r="AG543" i="34"/>
  <c r="AG553" i="34"/>
  <c r="AG561" i="34"/>
  <c r="AG565" i="34"/>
  <c r="AG566" i="34"/>
  <c r="AG572" i="34"/>
  <c r="AG581" i="34"/>
  <c r="AG593" i="34"/>
  <c r="AG597" i="34"/>
  <c r="AG607" i="34"/>
  <c r="AG611" i="34"/>
  <c r="AG616" i="34"/>
  <c r="AG624" i="34"/>
  <c r="AG630" i="34"/>
  <c r="AG635" i="34"/>
  <c r="AG640" i="34"/>
  <c r="AG643" i="34"/>
  <c r="AG647" i="34"/>
  <c r="AG651" i="34"/>
  <c r="AG655" i="34"/>
  <c r="AG660" i="34"/>
  <c r="AG661" i="34"/>
  <c r="AG674" i="34"/>
  <c r="AG677" i="34"/>
  <c r="AG686" i="34"/>
  <c r="AG691" i="34"/>
  <c r="AG703" i="34"/>
  <c r="AG711" i="34"/>
  <c r="AG718" i="34"/>
  <c r="AG721" i="34"/>
  <c r="AG724" i="34"/>
  <c r="AG731" i="34"/>
  <c r="AG736" i="34"/>
  <c r="AG740" i="34"/>
  <c r="AG743" i="34"/>
  <c r="AG747" i="34"/>
  <c r="AG751" i="34"/>
  <c r="AG753" i="34"/>
  <c r="AG757" i="34"/>
  <c r="AG769" i="34"/>
  <c r="AG775" i="34"/>
  <c r="AG779" i="34"/>
  <c r="AG784" i="34"/>
  <c r="AG787" i="34"/>
  <c r="AG789" i="34"/>
  <c r="AG791" i="34"/>
  <c r="AG794" i="34"/>
  <c r="AG798" i="34"/>
  <c r="AG810" i="34"/>
  <c r="AG814" i="34"/>
  <c r="AG815" i="34"/>
  <c r="AG818" i="34"/>
  <c r="AG820" i="34"/>
  <c r="AG825" i="34"/>
  <c r="AG827" i="34"/>
  <c r="D18" i="34"/>
  <c r="D24" i="34"/>
  <c r="D19" i="34"/>
  <c r="D26" i="34"/>
  <c r="D27" i="34"/>
  <c r="D28" i="34"/>
  <c r="D35" i="34"/>
  <c r="D43" i="34"/>
  <c r="D46" i="34"/>
  <c r="D47" i="34"/>
  <c r="D61" i="34"/>
  <c r="D62" i="34"/>
  <c r="D63" i="34"/>
  <c r="D64" i="34"/>
  <c r="D70" i="34"/>
  <c r="D75" i="34"/>
  <c r="D78" i="34"/>
  <c r="D79" i="34"/>
  <c r="D82" i="34"/>
  <c r="D83" i="34"/>
  <c r="D102" i="34"/>
  <c r="D106" i="34"/>
  <c r="D111" i="34"/>
  <c r="D116" i="34"/>
  <c r="D117" i="34"/>
  <c r="D139" i="34"/>
  <c r="D145" i="34"/>
  <c r="D151" i="34"/>
  <c r="D157" i="34"/>
  <c r="D174" i="34"/>
  <c r="D186" i="34"/>
  <c r="D194" i="34"/>
  <c r="D196" i="34"/>
  <c r="D212" i="34"/>
  <c r="D220" i="34"/>
  <c r="D227" i="34"/>
  <c r="D233" i="34"/>
  <c r="D235" i="34"/>
  <c r="D246" i="34"/>
  <c r="D254" i="34"/>
  <c r="D257" i="34"/>
  <c r="D264" i="34"/>
  <c r="D265" i="34"/>
  <c r="D267" i="34"/>
  <c r="D273" i="34"/>
  <c r="D278" i="34"/>
  <c r="D285" i="34"/>
  <c r="D288" i="34"/>
  <c r="D303" i="34"/>
  <c r="D319" i="34"/>
  <c r="D323" i="34"/>
  <c r="D331" i="34"/>
  <c r="D355" i="34"/>
  <c r="D360" i="34"/>
  <c r="D363" i="34"/>
  <c r="D403" i="34"/>
  <c r="D410" i="34"/>
  <c r="D428" i="34"/>
  <c r="D433" i="34"/>
  <c r="D445" i="34"/>
  <c r="D448" i="34"/>
  <c r="D450" i="34"/>
  <c r="D457" i="34"/>
  <c r="D468" i="34"/>
  <c r="D475" i="34"/>
  <c r="D481" i="34"/>
  <c r="D501" i="34"/>
  <c r="D503" i="34"/>
  <c r="D506" i="34"/>
  <c r="D508" i="34"/>
  <c r="D522" i="34"/>
  <c r="D525" i="34"/>
  <c r="D528" i="34"/>
  <c r="D530" i="34"/>
  <c r="D531" i="34"/>
  <c r="D534" i="34"/>
  <c r="D536" i="34"/>
  <c r="D544" i="34"/>
  <c r="D560" i="34"/>
  <c r="D568" i="34"/>
  <c r="D575" i="34"/>
  <c r="D576" i="34"/>
  <c r="D599" i="34"/>
  <c r="D610" i="34"/>
  <c r="D614" i="34"/>
  <c r="D623" i="34"/>
  <c r="D627" i="34"/>
  <c r="D628" i="34"/>
  <c r="D631" i="34"/>
  <c r="D642" i="34"/>
  <c r="D654" i="34"/>
  <c r="D679" i="34"/>
  <c r="D689" i="34"/>
  <c r="D706" i="34"/>
  <c r="D714" i="34"/>
  <c r="D734" i="34"/>
  <c r="D746" i="34"/>
  <c r="D749" i="34"/>
  <c r="D759" i="34"/>
  <c r="D761" i="34"/>
  <c r="D777" i="34"/>
  <c r="D793" i="34"/>
  <c r="D809" i="34"/>
  <c r="D819" i="34"/>
  <c r="D822" i="34"/>
  <c r="D829" i="34"/>
  <c r="D832" i="34"/>
  <c r="D833" i="34"/>
  <c r="O18" i="34"/>
  <c r="O24" i="34"/>
  <c r="O19" i="34"/>
  <c r="O26" i="34"/>
  <c r="O27" i="34"/>
  <c r="O28" i="34"/>
  <c r="O35" i="34"/>
  <c r="O43" i="34"/>
  <c r="O46" i="34"/>
  <c r="O47" i="34"/>
  <c r="O61" i="34"/>
  <c r="O62" i="34"/>
  <c r="O63" i="34"/>
  <c r="O64" i="34"/>
  <c r="O70" i="34"/>
  <c r="O75" i="34"/>
  <c r="O78" i="34"/>
  <c r="O79" i="34"/>
  <c r="O82" i="34"/>
  <c r="O83" i="34"/>
  <c r="O102" i="34"/>
  <c r="O106" i="34"/>
  <c r="O111" i="34"/>
  <c r="O116" i="34"/>
  <c r="O117" i="34"/>
  <c r="O139" i="34"/>
  <c r="O145" i="34"/>
  <c r="O151" i="34"/>
  <c r="O157" i="34"/>
  <c r="O174" i="34"/>
  <c r="O186" i="34"/>
  <c r="O194" i="34"/>
  <c r="O196" i="34"/>
  <c r="O212" i="34"/>
  <c r="O220" i="34"/>
  <c r="O227" i="34"/>
  <c r="O233" i="34"/>
  <c r="O235" i="34"/>
  <c r="O246" i="34"/>
  <c r="O254" i="34"/>
  <c r="O257" i="34"/>
  <c r="O264" i="34"/>
  <c r="O265" i="34"/>
  <c r="O267" i="34"/>
  <c r="O273" i="34"/>
  <c r="O278" i="34"/>
  <c r="O285" i="34"/>
  <c r="O288" i="34"/>
  <c r="O303" i="34"/>
  <c r="O319" i="34"/>
  <c r="O323" i="34"/>
  <c r="O331" i="34"/>
  <c r="O355" i="34"/>
  <c r="O360" i="34"/>
  <c r="O363" i="34"/>
  <c r="O403" i="34"/>
  <c r="O410" i="34"/>
  <c r="O428" i="34"/>
  <c r="O433" i="34"/>
  <c r="O445" i="34"/>
  <c r="O448" i="34"/>
  <c r="O450" i="34"/>
  <c r="O457" i="34"/>
  <c r="O468" i="34"/>
  <c r="O475" i="34"/>
  <c r="O481" i="34"/>
  <c r="O501" i="34"/>
  <c r="O503" i="34"/>
  <c r="O506" i="34"/>
  <c r="O508" i="34"/>
  <c r="O522" i="34"/>
  <c r="O525" i="34"/>
  <c r="O528" i="34"/>
  <c r="O530" i="34"/>
  <c r="O531" i="34"/>
  <c r="O534" i="34"/>
  <c r="O536" i="34"/>
  <c r="O544" i="34"/>
  <c r="O560" i="34"/>
  <c r="O568" i="34"/>
  <c r="O575" i="34"/>
  <c r="O576" i="34"/>
  <c r="O599" i="34"/>
  <c r="O610" i="34"/>
  <c r="O614" i="34"/>
  <c r="O623" i="34"/>
  <c r="O627" i="34"/>
  <c r="O628" i="34"/>
  <c r="O631" i="34"/>
  <c r="O642" i="34"/>
  <c r="O654" i="34"/>
  <c r="O679" i="34"/>
  <c r="O689" i="34"/>
  <c r="O706" i="34"/>
  <c r="O714" i="34"/>
  <c r="O734" i="34"/>
  <c r="O746" i="34"/>
  <c r="O749" i="34"/>
  <c r="O759" i="34"/>
  <c r="O761" i="34"/>
  <c r="O777" i="34"/>
  <c r="O793" i="34"/>
  <c r="O809" i="34"/>
  <c r="O819" i="34"/>
  <c r="O822" i="34"/>
  <c r="O829" i="34"/>
  <c r="O832" i="34"/>
  <c r="O833" i="34"/>
  <c r="P18" i="34"/>
  <c r="P24" i="34"/>
  <c r="P19" i="34"/>
  <c r="P26" i="34"/>
  <c r="P27" i="34"/>
  <c r="P28" i="34"/>
  <c r="P35" i="34"/>
  <c r="P43" i="34"/>
  <c r="P46" i="34"/>
  <c r="P47" i="34"/>
  <c r="P61" i="34"/>
  <c r="P62" i="34"/>
  <c r="P63" i="34"/>
  <c r="P64" i="34"/>
  <c r="P70" i="34"/>
  <c r="P75" i="34"/>
  <c r="P78" i="34"/>
  <c r="P79" i="34"/>
  <c r="P82" i="34"/>
  <c r="P83" i="34"/>
  <c r="P102" i="34"/>
  <c r="P106" i="34"/>
  <c r="P111" i="34"/>
  <c r="P116" i="34"/>
  <c r="P117" i="34"/>
  <c r="P139" i="34"/>
  <c r="P145" i="34"/>
  <c r="P151" i="34"/>
  <c r="P157" i="34"/>
  <c r="P174" i="34"/>
  <c r="P186" i="34"/>
  <c r="P194" i="34"/>
  <c r="P196" i="34"/>
  <c r="P212" i="34"/>
  <c r="P220" i="34"/>
  <c r="P227" i="34"/>
  <c r="P233" i="34"/>
  <c r="P235" i="34"/>
  <c r="P246" i="34"/>
  <c r="P254" i="34"/>
  <c r="P257" i="34"/>
  <c r="P264" i="34"/>
  <c r="P265" i="34"/>
  <c r="P267" i="34"/>
  <c r="P273" i="34"/>
  <c r="P278" i="34"/>
  <c r="P285" i="34"/>
  <c r="P288" i="34"/>
  <c r="P303" i="34"/>
  <c r="P319" i="34"/>
  <c r="P323" i="34"/>
  <c r="P331" i="34"/>
  <c r="P355" i="34"/>
  <c r="P360" i="34"/>
  <c r="P363" i="34"/>
  <c r="P403" i="34"/>
  <c r="P410" i="34"/>
  <c r="P428" i="34"/>
  <c r="P433" i="34"/>
  <c r="P445" i="34"/>
  <c r="P448" i="34"/>
  <c r="P450" i="34"/>
  <c r="P457" i="34"/>
  <c r="P468" i="34"/>
  <c r="P475" i="34"/>
  <c r="P481" i="34"/>
  <c r="P501" i="34"/>
  <c r="P503" i="34"/>
  <c r="P506" i="34"/>
  <c r="P508" i="34"/>
  <c r="P522" i="34"/>
  <c r="P525" i="34"/>
  <c r="P528" i="34"/>
  <c r="P530" i="34"/>
  <c r="P531" i="34"/>
  <c r="P534" i="34"/>
  <c r="P536" i="34"/>
  <c r="P544" i="34"/>
  <c r="P560" i="34"/>
  <c r="P568" i="34"/>
  <c r="P575" i="34"/>
  <c r="P576" i="34"/>
  <c r="P599" i="34"/>
  <c r="P610" i="34"/>
  <c r="P614" i="34"/>
  <c r="P623" i="34"/>
  <c r="P627" i="34"/>
  <c r="P628" i="34"/>
  <c r="P631" i="34"/>
  <c r="P642" i="34"/>
  <c r="P654" i="34"/>
  <c r="P679" i="34"/>
  <c r="P689" i="34"/>
  <c r="P706" i="34"/>
  <c r="P714" i="34"/>
  <c r="P734" i="34"/>
  <c r="P746" i="34"/>
  <c r="P749" i="34"/>
  <c r="P759" i="34"/>
  <c r="P761" i="34"/>
  <c r="P777" i="34"/>
  <c r="P793" i="34"/>
  <c r="P809" i="34"/>
  <c r="P819" i="34"/>
  <c r="P822" i="34"/>
  <c r="P829" i="34"/>
  <c r="P832" i="34"/>
  <c r="P833" i="34"/>
  <c r="Q18" i="34"/>
  <c r="Q24" i="34"/>
  <c r="Q19" i="34"/>
  <c r="Q26" i="34"/>
  <c r="Q27" i="34"/>
  <c r="Q28" i="34"/>
  <c r="Q35" i="34"/>
  <c r="Q43" i="34"/>
  <c r="Q46" i="34"/>
  <c r="Q47" i="34"/>
  <c r="Q61" i="34"/>
  <c r="Q62" i="34"/>
  <c r="Q63" i="34"/>
  <c r="Q64" i="34"/>
  <c r="Q70" i="34"/>
  <c r="Q75" i="34"/>
  <c r="Q78" i="34"/>
  <c r="Q79" i="34"/>
  <c r="Q82" i="34"/>
  <c r="Q83" i="34"/>
  <c r="Q102" i="34"/>
  <c r="Q106" i="34"/>
  <c r="Q111" i="34"/>
  <c r="Q116" i="34"/>
  <c r="Q117" i="34"/>
  <c r="Q139" i="34"/>
  <c r="Q145" i="34"/>
  <c r="Q151" i="34"/>
  <c r="Q157" i="34"/>
  <c r="Q174" i="34"/>
  <c r="Q186" i="34"/>
  <c r="Q194" i="34"/>
  <c r="Q196" i="34"/>
  <c r="Q212" i="34"/>
  <c r="Q220" i="34"/>
  <c r="Q227" i="34"/>
  <c r="Q233" i="34"/>
  <c r="Q235" i="34"/>
  <c r="Q246" i="34"/>
  <c r="Q254" i="34"/>
  <c r="Q257" i="34"/>
  <c r="Q264" i="34"/>
  <c r="Q265" i="34"/>
  <c r="Q267" i="34"/>
  <c r="Q273" i="34"/>
  <c r="Q278" i="34"/>
  <c r="Q285" i="34"/>
  <c r="Q288" i="34"/>
  <c r="Q303" i="34"/>
  <c r="Q319" i="34"/>
  <c r="Q323" i="34"/>
  <c r="Q331" i="34"/>
  <c r="Q355" i="34"/>
  <c r="Q360" i="34"/>
  <c r="Q363" i="34"/>
  <c r="Q403" i="34"/>
  <c r="Q410" i="34"/>
  <c r="Q428" i="34"/>
  <c r="Q433" i="34"/>
  <c r="Q445" i="34"/>
  <c r="Q448" i="34"/>
  <c r="Q450" i="34"/>
  <c r="Q457" i="34"/>
  <c r="Q468" i="34"/>
  <c r="Q475" i="34"/>
  <c r="Q481" i="34"/>
  <c r="Q501" i="34"/>
  <c r="Q503" i="34"/>
  <c r="Q506" i="34"/>
  <c r="Q508" i="34"/>
  <c r="Q522" i="34"/>
  <c r="Q525" i="34"/>
  <c r="Q528" i="34"/>
  <c r="Q530" i="34"/>
  <c r="Q531" i="34"/>
  <c r="Q534" i="34"/>
  <c r="Q536" i="34"/>
  <c r="Q544" i="34"/>
  <c r="Q560" i="34"/>
  <c r="Q568" i="34"/>
  <c r="Q575" i="34"/>
  <c r="Q576" i="34"/>
  <c r="Q599" i="34"/>
  <c r="Q610" i="34"/>
  <c r="Q614" i="34"/>
  <c r="Q623" i="34"/>
  <c r="Q627" i="34"/>
  <c r="Q628" i="34"/>
  <c r="Q631" i="34"/>
  <c r="Q642" i="34"/>
  <c r="Q654" i="34"/>
  <c r="Q679" i="34"/>
  <c r="Q689" i="34"/>
  <c r="Q706" i="34"/>
  <c r="Q714" i="34"/>
  <c r="Q734" i="34"/>
  <c r="Q746" i="34"/>
  <c r="Q749" i="34"/>
  <c r="Q759" i="34"/>
  <c r="Q761" i="34"/>
  <c r="Q777" i="34"/>
  <c r="Q793" i="34"/>
  <c r="Q809" i="34"/>
  <c r="Q819" i="34"/>
  <c r="Q822" i="34"/>
  <c r="Q829" i="34"/>
  <c r="Q832" i="34"/>
  <c r="Q833" i="34"/>
  <c r="U18" i="34"/>
  <c r="U24" i="34"/>
  <c r="U19" i="34"/>
  <c r="U26" i="34"/>
  <c r="U27" i="34"/>
  <c r="U28" i="34"/>
  <c r="U35" i="34"/>
  <c r="U43" i="34"/>
  <c r="U46" i="34"/>
  <c r="U47" i="34"/>
  <c r="U61" i="34"/>
  <c r="U62" i="34"/>
  <c r="U63" i="34"/>
  <c r="U64" i="34"/>
  <c r="U70" i="34"/>
  <c r="U75" i="34"/>
  <c r="U78" i="34"/>
  <c r="U79" i="34"/>
  <c r="U82" i="34"/>
  <c r="U83" i="34"/>
  <c r="U102" i="34"/>
  <c r="U106" i="34"/>
  <c r="U111" i="34"/>
  <c r="U116" i="34"/>
  <c r="U117" i="34"/>
  <c r="U139" i="34"/>
  <c r="U145" i="34"/>
  <c r="U151" i="34"/>
  <c r="U157" i="34"/>
  <c r="U174" i="34"/>
  <c r="U186" i="34"/>
  <c r="U194" i="34"/>
  <c r="U196" i="34"/>
  <c r="U212" i="34"/>
  <c r="U220" i="34"/>
  <c r="U227" i="34"/>
  <c r="U233" i="34"/>
  <c r="U235" i="34"/>
  <c r="U246" i="34"/>
  <c r="U254" i="34"/>
  <c r="U257" i="34"/>
  <c r="U264" i="34"/>
  <c r="U265" i="34"/>
  <c r="U267" i="34"/>
  <c r="U273" i="34"/>
  <c r="U278" i="34"/>
  <c r="U285" i="34"/>
  <c r="U288" i="34"/>
  <c r="U303" i="34"/>
  <c r="U319" i="34"/>
  <c r="U323" i="34"/>
  <c r="U331" i="34"/>
  <c r="U355" i="34"/>
  <c r="U360" i="34"/>
  <c r="U363" i="34"/>
  <c r="U403" i="34"/>
  <c r="U410" i="34"/>
  <c r="U428" i="34"/>
  <c r="U433" i="34"/>
  <c r="U445" i="34"/>
  <c r="U448" i="34"/>
  <c r="U450" i="34"/>
  <c r="U457" i="34"/>
  <c r="U468" i="34"/>
  <c r="U475" i="34"/>
  <c r="U481" i="34"/>
  <c r="U501" i="34"/>
  <c r="U503" i="34"/>
  <c r="U506" i="34"/>
  <c r="U508" i="34"/>
  <c r="U522" i="34"/>
  <c r="U525" i="34"/>
  <c r="U528" i="34"/>
  <c r="U530" i="34"/>
  <c r="U531" i="34"/>
  <c r="U534" i="34"/>
  <c r="U536" i="34"/>
  <c r="U544" i="34"/>
  <c r="U560" i="34"/>
  <c r="U568" i="34"/>
  <c r="U575" i="34"/>
  <c r="U576" i="34"/>
  <c r="U599" i="34"/>
  <c r="U610" i="34"/>
  <c r="U614" i="34"/>
  <c r="U623" i="34"/>
  <c r="U627" i="34"/>
  <c r="U628" i="34"/>
  <c r="U631" i="34"/>
  <c r="U642" i="34"/>
  <c r="U654" i="34"/>
  <c r="U679" i="34"/>
  <c r="U689" i="34"/>
  <c r="U706" i="34"/>
  <c r="U714" i="34"/>
  <c r="U734" i="34"/>
  <c r="U746" i="34"/>
  <c r="U749" i="34"/>
  <c r="U759" i="34"/>
  <c r="U761" i="34"/>
  <c r="U777" i="34"/>
  <c r="U793" i="34"/>
  <c r="U809" i="34"/>
  <c r="U819" i="34"/>
  <c r="U822" i="34"/>
  <c r="U829" i="34"/>
  <c r="U832" i="34"/>
  <c r="U833" i="34"/>
  <c r="V18" i="34"/>
  <c r="V24" i="34"/>
  <c r="V19" i="34"/>
  <c r="V26" i="34"/>
  <c r="V27" i="34"/>
  <c r="V28" i="34"/>
  <c r="V35" i="34"/>
  <c r="V43" i="34"/>
  <c r="V46" i="34"/>
  <c r="V47" i="34"/>
  <c r="V61" i="34"/>
  <c r="V62" i="34"/>
  <c r="V63" i="34"/>
  <c r="V64" i="34"/>
  <c r="V70" i="34"/>
  <c r="V75" i="34"/>
  <c r="V78" i="34"/>
  <c r="V79" i="34"/>
  <c r="V82" i="34"/>
  <c r="V83" i="34"/>
  <c r="V102" i="34"/>
  <c r="V106" i="34"/>
  <c r="V111" i="34"/>
  <c r="V116" i="34"/>
  <c r="V117" i="34"/>
  <c r="V139" i="34"/>
  <c r="V145" i="34"/>
  <c r="V151" i="34"/>
  <c r="V157" i="34"/>
  <c r="V174" i="34"/>
  <c r="V186" i="34"/>
  <c r="V194" i="34"/>
  <c r="V196" i="34"/>
  <c r="V212" i="34"/>
  <c r="V220" i="34"/>
  <c r="V227" i="34"/>
  <c r="V233" i="34"/>
  <c r="V235" i="34"/>
  <c r="V246" i="34"/>
  <c r="V254" i="34"/>
  <c r="V257" i="34"/>
  <c r="V264" i="34"/>
  <c r="V265" i="34"/>
  <c r="V267" i="34"/>
  <c r="V273" i="34"/>
  <c r="V278" i="34"/>
  <c r="V285" i="34"/>
  <c r="V288" i="34"/>
  <c r="V303" i="34"/>
  <c r="V319" i="34"/>
  <c r="V323" i="34"/>
  <c r="V331" i="34"/>
  <c r="V355" i="34"/>
  <c r="V360" i="34"/>
  <c r="V363" i="34"/>
  <c r="V403" i="34"/>
  <c r="V410" i="34"/>
  <c r="V428" i="34"/>
  <c r="V433" i="34"/>
  <c r="V445" i="34"/>
  <c r="V448" i="34"/>
  <c r="V450" i="34"/>
  <c r="V457" i="34"/>
  <c r="V468" i="34"/>
  <c r="V475" i="34"/>
  <c r="V481" i="34"/>
  <c r="V501" i="34"/>
  <c r="V503" i="34"/>
  <c r="V506" i="34"/>
  <c r="V508" i="34"/>
  <c r="V522" i="34"/>
  <c r="V525" i="34"/>
  <c r="V528" i="34"/>
  <c r="V530" i="34"/>
  <c r="V531" i="34"/>
  <c r="V534" i="34"/>
  <c r="V536" i="34"/>
  <c r="V544" i="34"/>
  <c r="V560" i="34"/>
  <c r="V568" i="34"/>
  <c r="V575" i="34"/>
  <c r="V576" i="34"/>
  <c r="V599" i="34"/>
  <c r="V610" i="34"/>
  <c r="V614" i="34"/>
  <c r="V623" i="34"/>
  <c r="V627" i="34"/>
  <c r="V628" i="34"/>
  <c r="V631" i="34"/>
  <c r="V642" i="34"/>
  <c r="V654" i="34"/>
  <c r="V679" i="34"/>
  <c r="V689" i="34"/>
  <c r="V706" i="34"/>
  <c r="V714" i="34"/>
  <c r="V734" i="34"/>
  <c r="V746" i="34"/>
  <c r="V749" i="34"/>
  <c r="V759" i="34"/>
  <c r="V761" i="34"/>
  <c r="V777" i="34"/>
  <c r="V793" i="34"/>
  <c r="V809" i="34"/>
  <c r="V819" i="34"/>
  <c r="V822" i="34"/>
  <c r="V829" i="34"/>
  <c r="V832" i="34"/>
  <c r="V833" i="34"/>
  <c r="W18" i="34"/>
  <c r="W24" i="34"/>
  <c r="W19" i="34"/>
  <c r="W26" i="34"/>
  <c r="W27" i="34"/>
  <c r="W28" i="34"/>
  <c r="W35" i="34"/>
  <c r="W43" i="34"/>
  <c r="W46" i="34"/>
  <c r="W47" i="34"/>
  <c r="W61" i="34"/>
  <c r="W62" i="34"/>
  <c r="W63" i="34"/>
  <c r="W64" i="34"/>
  <c r="W70" i="34"/>
  <c r="W75" i="34"/>
  <c r="W78" i="34"/>
  <c r="W79" i="34"/>
  <c r="W82" i="34"/>
  <c r="W83" i="34"/>
  <c r="W102" i="34"/>
  <c r="W106" i="34"/>
  <c r="W111" i="34"/>
  <c r="W116" i="34"/>
  <c r="W117" i="34"/>
  <c r="W139" i="34"/>
  <c r="W145" i="34"/>
  <c r="W151" i="34"/>
  <c r="W157" i="34"/>
  <c r="W174" i="34"/>
  <c r="W186" i="34"/>
  <c r="W194" i="34"/>
  <c r="W196" i="34"/>
  <c r="W212" i="34"/>
  <c r="W220" i="34"/>
  <c r="W227" i="34"/>
  <c r="W233" i="34"/>
  <c r="W235" i="34"/>
  <c r="W246" i="34"/>
  <c r="W254" i="34"/>
  <c r="W257" i="34"/>
  <c r="W264" i="34"/>
  <c r="W265" i="34"/>
  <c r="W267" i="34"/>
  <c r="W273" i="34"/>
  <c r="W278" i="34"/>
  <c r="W285" i="34"/>
  <c r="W288" i="34"/>
  <c r="W303" i="34"/>
  <c r="W319" i="34"/>
  <c r="W323" i="34"/>
  <c r="W331" i="34"/>
  <c r="W355" i="34"/>
  <c r="W360" i="34"/>
  <c r="W363" i="34"/>
  <c r="W403" i="34"/>
  <c r="W410" i="34"/>
  <c r="W428" i="34"/>
  <c r="W433" i="34"/>
  <c r="W445" i="34"/>
  <c r="W448" i="34"/>
  <c r="W450" i="34"/>
  <c r="W457" i="34"/>
  <c r="W468" i="34"/>
  <c r="W475" i="34"/>
  <c r="W481" i="34"/>
  <c r="W501" i="34"/>
  <c r="W503" i="34"/>
  <c r="W506" i="34"/>
  <c r="W508" i="34"/>
  <c r="W522" i="34"/>
  <c r="W525" i="34"/>
  <c r="W528" i="34"/>
  <c r="W530" i="34"/>
  <c r="W531" i="34"/>
  <c r="W534" i="34"/>
  <c r="W536" i="34"/>
  <c r="W544" i="34"/>
  <c r="W560" i="34"/>
  <c r="W568" i="34"/>
  <c r="W575" i="34"/>
  <c r="W576" i="34"/>
  <c r="W599" i="34"/>
  <c r="W610" i="34"/>
  <c r="W614" i="34"/>
  <c r="W623" i="34"/>
  <c r="W627" i="34"/>
  <c r="W628" i="34"/>
  <c r="W631" i="34"/>
  <c r="W642" i="34"/>
  <c r="W654" i="34"/>
  <c r="W679" i="34"/>
  <c r="W689" i="34"/>
  <c r="W706" i="34"/>
  <c r="W714" i="34"/>
  <c r="W734" i="34"/>
  <c r="W746" i="34"/>
  <c r="W749" i="34"/>
  <c r="W759" i="34"/>
  <c r="W761" i="34"/>
  <c r="W777" i="34"/>
  <c r="W793" i="34"/>
  <c r="W809" i="34"/>
  <c r="W819" i="34"/>
  <c r="W822" i="34"/>
  <c r="W829" i="34"/>
  <c r="W832" i="34"/>
  <c r="W833" i="34"/>
  <c r="X18" i="34"/>
  <c r="X24" i="34"/>
  <c r="X19" i="34"/>
  <c r="X26" i="34"/>
  <c r="X27" i="34"/>
  <c r="X28" i="34"/>
  <c r="X35" i="34"/>
  <c r="X43" i="34"/>
  <c r="X46" i="34"/>
  <c r="X47" i="34"/>
  <c r="X61" i="34"/>
  <c r="X62" i="34"/>
  <c r="X63" i="34"/>
  <c r="X64" i="34"/>
  <c r="X70" i="34"/>
  <c r="X75" i="34"/>
  <c r="X78" i="34"/>
  <c r="X79" i="34"/>
  <c r="X82" i="34"/>
  <c r="X83" i="34"/>
  <c r="X102" i="34"/>
  <c r="X106" i="34"/>
  <c r="X111" i="34"/>
  <c r="X116" i="34"/>
  <c r="X117" i="34"/>
  <c r="X139" i="34"/>
  <c r="X145" i="34"/>
  <c r="X151" i="34"/>
  <c r="X157" i="34"/>
  <c r="X174" i="34"/>
  <c r="X186" i="34"/>
  <c r="X194" i="34"/>
  <c r="X196" i="34"/>
  <c r="X212" i="34"/>
  <c r="X220" i="34"/>
  <c r="X227" i="34"/>
  <c r="X233" i="34"/>
  <c r="X235" i="34"/>
  <c r="X246" i="34"/>
  <c r="X254" i="34"/>
  <c r="X257" i="34"/>
  <c r="X264" i="34"/>
  <c r="X265" i="34"/>
  <c r="X267" i="34"/>
  <c r="X273" i="34"/>
  <c r="X278" i="34"/>
  <c r="X285" i="34"/>
  <c r="X288" i="34"/>
  <c r="X303" i="34"/>
  <c r="X319" i="34"/>
  <c r="X323" i="34"/>
  <c r="X331" i="34"/>
  <c r="X355" i="34"/>
  <c r="X360" i="34"/>
  <c r="X363" i="34"/>
  <c r="X403" i="34"/>
  <c r="X410" i="34"/>
  <c r="X428" i="34"/>
  <c r="X433" i="34"/>
  <c r="X445" i="34"/>
  <c r="X448" i="34"/>
  <c r="X450" i="34"/>
  <c r="X457" i="34"/>
  <c r="X468" i="34"/>
  <c r="X475" i="34"/>
  <c r="X481" i="34"/>
  <c r="X501" i="34"/>
  <c r="X503" i="34"/>
  <c r="X506" i="34"/>
  <c r="X508" i="34"/>
  <c r="X522" i="34"/>
  <c r="X525" i="34"/>
  <c r="X528" i="34"/>
  <c r="X530" i="34"/>
  <c r="X531" i="34"/>
  <c r="X534" i="34"/>
  <c r="X536" i="34"/>
  <c r="X544" i="34"/>
  <c r="X560" i="34"/>
  <c r="X568" i="34"/>
  <c r="X575" i="34"/>
  <c r="X576" i="34"/>
  <c r="X599" i="34"/>
  <c r="X610" i="34"/>
  <c r="X614" i="34"/>
  <c r="X623" i="34"/>
  <c r="X627" i="34"/>
  <c r="X628" i="34"/>
  <c r="X631" i="34"/>
  <c r="X642" i="34"/>
  <c r="X654" i="34"/>
  <c r="X679" i="34"/>
  <c r="X689" i="34"/>
  <c r="X706" i="34"/>
  <c r="X714" i="34"/>
  <c r="X734" i="34"/>
  <c r="X746" i="34"/>
  <c r="X749" i="34"/>
  <c r="X759" i="34"/>
  <c r="X761" i="34"/>
  <c r="X777" i="34"/>
  <c r="X793" i="34"/>
  <c r="X809" i="34"/>
  <c r="X819" i="34"/>
  <c r="X822" i="34"/>
  <c r="X829" i="34"/>
  <c r="X832" i="34"/>
  <c r="X833" i="34"/>
  <c r="Y18" i="34"/>
  <c r="Y24" i="34"/>
  <c r="Y19" i="34"/>
  <c r="Y26" i="34"/>
  <c r="Y27" i="34"/>
  <c r="Y28" i="34"/>
  <c r="Y35" i="34"/>
  <c r="Y43" i="34"/>
  <c r="Y46" i="34"/>
  <c r="Y47" i="34"/>
  <c r="Y61" i="34"/>
  <c r="Y62" i="34"/>
  <c r="Y63" i="34"/>
  <c r="Y64" i="34"/>
  <c r="Y70" i="34"/>
  <c r="Y75" i="34"/>
  <c r="Y78" i="34"/>
  <c r="Y79" i="34"/>
  <c r="Y82" i="34"/>
  <c r="Y83" i="34"/>
  <c r="Y102" i="34"/>
  <c r="Y106" i="34"/>
  <c r="Y111" i="34"/>
  <c r="Y116" i="34"/>
  <c r="Y117" i="34"/>
  <c r="Y139" i="34"/>
  <c r="Y145" i="34"/>
  <c r="Y151" i="34"/>
  <c r="Y157" i="34"/>
  <c r="Y174" i="34"/>
  <c r="Y186" i="34"/>
  <c r="Y194" i="34"/>
  <c r="Y196" i="34"/>
  <c r="Y212" i="34"/>
  <c r="Y220" i="34"/>
  <c r="Y227" i="34"/>
  <c r="Y233" i="34"/>
  <c r="Y235" i="34"/>
  <c r="Y246" i="34"/>
  <c r="Y254" i="34"/>
  <c r="Y257" i="34"/>
  <c r="Y264" i="34"/>
  <c r="Y265" i="34"/>
  <c r="Y267" i="34"/>
  <c r="Y273" i="34"/>
  <c r="Y278" i="34"/>
  <c r="Y285" i="34"/>
  <c r="Y288" i="34"/>
  <c r="Y303" i="34"/>
  <c r="Y319" i="34"/>
  <c r="Y323" i="34"/>
  <c r="Y331" i="34"/>
  <c r="Y355" i="34"/>
  <c r="Y360" i="34"/>
  <c r="Y363" i="34"/>
  <c r="Y403" i="34"/>
  <c r="Y410" i="34"/>
  <c r="Y428" i="34"/>
  <c r="Y433" i="34"/>
  <c r="Y445" i="34"/>
  <c r="Y448" i="34"/>
  <c r="Y450" i="34"/>
  <c r="Y457" i="34"/>
  <c r="Y468" i="34"/>
  <c r="Y475" i="34"/>
  <c r="Y481" i="34"/>
  <c r="Y501" i="34"/>
  <c r="Y503" i="34"/>
  <c r="Y506" i="34"/>
  <c r="Y508" i="34"/>
  <c r="Y522" i="34"/>
  <c r="Y525" i="34"/>
  <c r="Y528" i="34"/>
  <c r="Y530" i="34"/>
  <c r="Y531" i="34"/>
  <c r="Y534" i="34"/>
  <c r="Y536" i="34"/>
  <c r="Y544" i="34"/>
  <c r="Y560" i="34"/>
  <c r="Y568" i="34"/>
  <c r="Y575" i="34"/>
  <c r="Y576" i="34"/>
  <c r="Y599" i="34"/>
  <c r="Y610" i="34"/>
  <c r="Y614" i="34"/>
  <c r="Y623" i="34"/>
  <c r="Y627" i="34"/>
  <c r="Y628" i="34"/>
  <c r="Y631" i="34"/>
  <c r="Y642" i="34"/>
  <c r="Y654" i="34"/>
  <c r="Y679" i="34"/>
  <c r="Y689" i="34"/>
  <c r="Y706" i="34"/>
  <c r="Y714" i="34"/>
  <c r="Y734" i="34"/>
  <c r="Y746" i="34"/>
  <c r="Y749" i="34"/>
  <c r="Y759" i="34"/>
  <c r="Y761" i="34"/>
  <c r="Y777" i="34"/>
  <c r="Y793" i="34"/>
  <c r="Y809" i="34"/>
  <c r="Y819" i="34"/>
  <c r="Y822" i="34"/>
  <c r="Y829" i="34"/>
  <c r="Y832" i="34"/>
  <c r="Y833" i="34"/>
  <c r="Z18" i="34"/>
  <c r="Z24" i="34"/>
  <c r="Z19" i="34"/>
  <c r="Z26" i="34"/>
  <c r="Z27" i="34"/>
  <c r="Z28" i="34"/>
  <c r="Z35" i="34"/>
  <c r="Z43" i="34"/>
  <c r="Z46" i="34"/>
  <c r="Z47" i="34"/>
  <c r="Z61" i="34"/>
  <c r="Z62" i="34"/>
  <c r="Z63" i="34"/>
  <c r="Z64" i="34"/>
  <c r="Z70" i="34"/>
  <c r="Z75" i="34"/>
  <c r="Z78" i="34"/>
  <c r="Z79" i="34"/>
  <c r="Z82" i="34"/>
  <c r="Z83" i="34"/>
  <c r="Z102" i="34"/>
  <c r="Z106" i="34"/>
  <c r="Z111" i="34"/>
  <c r="Z116" i="34"/>
  <c r="Z117" i="34"/>
  <c r="Z139" i="34"/>
  <c r="Z145" i="34"/>
  <c r="Z151" i="34"/>
  <c r="Z157" i="34"/>
  <c r="Z174" i="34"/>
  <c r="Z186" i="34"/>
  <c r="Z194" i="34"/>
  <c r="Z196" i="34"/>
  <c r="Z212" i="34"/>
  <c r="Z220" i="34"/>
  <c r="Z227" i="34"/>
  <c r="Z233" i="34"/>
  <c r="Z235" i="34"/>
  <c r="Z246" i="34"/>
  <c r="Z254" i="34"/>
  <c r="Z257" i="34"/>
  <c r="Z264" i="34"/>
  <c r="Z265" i="34"/>
  <c r="Z267" i="34"/>
  <c r="Z273" i="34"/>
  <c r="Z278" i="34"/>
  <c r="Z285" i="34"/>
  <c r="Z288" i="34"/>
  <c r="Z303" i="34"/>
  <c r="Z319" i="34"/>
  <c r="Z323" i="34"/>
  <c r="Z331" i="34"/>
  <c r="Z355" i="34"/>
  <c r="Z360" i="34"/>
  <c r="Z363" i="34"/>
  <c r="Z403" i="34"/>
  <c r="Z410" i="34"/>
  <c r="Z428" i="34"/>
  <c r="Z433" i="34"/>
  <c r="Z445" i="34"/>
  <c r="Z448" i="34"/>
  <c r="Z450" i="34"/>
  <c r="Z457" i="34"/>
  <c r="Z468" i="34"/>
  <c r="Z475" i="34"/>
  <c r="Z481" i="34"/>
  <c r="Z501" i="34"/>
  <c r="Z503" i="34"/>
  <c r="Z506" i="34"/>
  <c r="Z508" i="34"/>
  <c r="Z522" i="34"/>
  <c r="Z525" i="34"/>
  <c r="Z528" i="34"/>
  <c r="Z530" i="34"/>
  <c r="Z531" i="34"/>
  <c r="Z534" i="34"/>
  <c r="Z536" i="34"/>
  <c r="Z544" i="34"/>
  <c r="Z560" i="34"/>
  <c r="Z568" i="34"/>
  <c r="Z575" i="34"/>
  <c r="Z576" i="34"/>
  <c r="Z599" i="34"/>
  <c r="Z610" i="34"/>
  <c r="Z614" i="34"/>
  <c r="Z623" i="34"/>
  <c r="Z627" i="34"/>
  <c r="Z628" i="34"/>
  <c r="Z631" i="34"/>
  <c r="Z642" i="34"/>
  <c r="Z654" i="34"/>
  <c r="Z679" i="34"/>
  <c r="Z689" i="34"/>
  <c r="Z706" i="34"/>
  <c r="Z714" i="34"/>
  <c r="Z734" i="34"/>
  <c r="Z746" i="34"/>
  <c r="Z749" i="34"/>
  <c r="Z759" i="34"/>
  <c r="Z761" i="34"/>
  <c r="Z777" i="34"/>
  <c r="Z793" i="34"/>
  <c r="Z809" i="34"/>
  <c r="Z819" i="34"/>
  <c r="Z822" i="34"/>
  <c r="Z829" i="34"/>
  <c r="Z832" i="34"/>
  <c r="Z833" i="34"/>
  <c r="AA18" i="34"/>
  <c r="AA24" i="34"/>
  <c r="AA19" i="34"/>
  <c r="AA26" i="34"/>
  <c r="AA27" i="34"/>
  <c r="AA28" i="34"/>
  <c r="AA35" i="34"/>
  <c r="AA43" i="34"/>
  <c r="AA46" i="34"/>
  <c r="AA47" i="34"/>
  <c r="AA61" i="34"/>
  <c r="AA62" i="34"/>
  <c r="AA63" i="34"/>
  <c r="AA64" i="34"/>
  <c r="AA70" i="34"/>
  <c r="AA75" i="34"/>
  <c r="AA78" i="34"/>
  <c r="AA79" i="34"/>
  <c r="AA82" i="34"/>
  <c r="AA83" i="34"/>
  <c r="AA102" i="34"/>
  <c r="AA106" i="34"/>
  <c r="AA111" i="34"/>
  <c r="AA116" i="34"/>
  <c r="AA117" i="34"/>
  <c r="AA139" i="34"/>
  <c r="AA145" i="34"/>
  <c r="AA151" i="34"/>
  <c r="AA157" i="34"/>
  <c r="AA174" i="34"/>
  <c r="AA186" i="34"/>
  <c r="AA194" i="34"/>
  <c r="AA196" i="34"/>
  <c r="AA212" i="34"/>
  <c r="AA220" i="34"/>
  <c r="AA227" i="34"/>
  <c r="AA233" i="34"/>
  <c r="AA235" i="34"/>
  <c r="AA246" i="34"/>
  <c r="AA254" i="34"/>
  <c r="AA257" i="34"/>
  <c r="AA264" i="34"/>
  <c r="AA265" i="34"/>
  <c r="AA267" i="34"/>
  <c r="AA273" i="34"/>
  <c r="AA278" i="34"/>
  <c r="AA285" i="34"/>
  <c r="AA288" i="34"/>
  <c r="AA303" i="34"/>
  <c r="AA319" i="34"/>
  <c r="AA323" i="34"/>
  <c r="AA331" i="34"/>
  <c r="AA355" i="34"/>
  <c r="AA360" i="34"/>
  <c r="AA363" i="34"/>
  <c r="AA403" i="34"/>
  <c r="AA410" i="34"/>
  <c r="AA428" i="34"/>
  <c r="AA433" i="34"/>
  <c r="AA445" i="34"/>
  <c r="AA448" i="34"/>
  <c r="AA450" i="34"/>
  <c r="AA457" i="34"/>
  <c r="AA468" i="34"/>
  <c r="AA475" i="34"/>
  <c r="AA481" i="34"/>
  <c r="AA501" i="34"/>
  <c r="AA503" i="34"/>
  <c r="AA506" i="34"/>
  <c r="AA508" i="34"/>
  <c r="AA522" i="34"/>
  <c r="AA525" i="34"/>
  <c r="AA528" i="34"/>
  <c r="AA530" i="34"/>
  <c r="AA531" i="34"/>
  <c r="AA534" i="34"/>
  <c r="AA536" i="34"/>
  <c r="AA544" i="34"/>
  <c r="AA560" i="34"/>
  <c r="AA568" i="34"/>
  <c r="AA575" i="34"/>
  <c r="AA576" i="34"/>
  <c r="AA599" i="34"/>
  <c r="AA610" i="34"/>
  <c r="AA614" i="34"/>
  <c r="AA623" i="34"/>
  <c r="AA627" i="34"/>
  <c r="AA628" i="34"/>
  <c r="AA631" i="34"/>
  <c r="AA642" i="34"/>
  <c r="AA654" i="34"/>
  <c r="AA679" i="34"/>
  <c r="AA689" i="34"/>
  <c r="AA706" i="34"/>
  <c r="AA714" i="34"/>
  <c r="AA734" i="34"/>
  <c r="AA746" i="34"/>
  <c r="AA749" i="34"/>
  <c r="AA759" i="34"/>
  <c r="AA761" i="34"/>
  <c r="AA777" i="34"/>
  <c r="AA793" i="34"/>
  <c r="AA809" i="34"/>
  <c r="AA819" i="34"/>
  <c r="AA822" i="34"/>
  <c r="AA829" i="34"/>
  <c r="AA832" i="34"/>
  <c r="AA833" i="34"/>
  <c r="AB18" i="34"/>
  <c r="AB24" i="34"/>
  <c r="AB19" i="34"/>
  <c r="AB26" i="34"/>
  <c r="AB27" i="34"/>
  <c r="AB28" i="34"/>
  <c r="AB35" i="34"/>
  <c r="AB43" i="34"/>
  <c r="AB46" i="34"/>
  <c r="AB47" i="34"/>
  <c r="AB61" i="34"/>
  <c r="AB62" i="34"/>
  <c r="AB63" i="34"/>
  <c r="AB64" i="34"/>
  <c r="AB70" i="34"/>
  <c r="AB75" i="34"/>
  <c r="AB78" i="34"/>
  <c r="AB79" i="34"/>
  <c r="AB82" i="34"/>
  <c r="AB83" i="34"/>
  <c r="AB102" i="34"/>
  <c r="AB106" i="34"/>
  <c r="AB111" i="34"/>
  <c r="AB116" i="34"/>
  <c r="AB117" i="34"/>
  <c r="AB139" i="34"/>
  <c r="AB145" i="34"/>
  <c r="AB151" i="34"/>
  <c r="AB157" i="34"/>
  <c r="AB174" i="34"/>
  <c r="AB186" i="34"/>
  <c r="AB194" i="34"/>
  <c r="AB196" i="34"/>
  <c r="AB212" i="34"/>
  <c r="AB220" i="34"/>
  <c r="AB227" i="34"/>
  <c r="AB233" i="34"/>
  <c r="AB235" i="34"/>
  <c r="AB246" i="34"/>
  <c r="AB254" i="34"/>
  <c r="AB257" i="34"/>
  <c r="AB264" i="34"/>
  <c r="AB265" i="34"/>
  <c r="AB267" i="34"/>
  <c r="AB273" i="34"/>
  <c r="AB278" i="34"/>
  <c r="AB285" i="34"/>
  <c r="AB288" i="34"/>
  <c r="AB303" i="34"/>
  <c r="AB319" i="34"/>
  <c r="AB323" i="34"/>
  <c r="AB331" i="34"/>
  <c r="AB355" i="34"/>
  <c r="AB360" i="34"/>
  <c r="AB363" i="34"/>
  <c r="AB403" i="34"/>
  <c r="AB410" i="34"/>
  <c r="AB428" i="34"/>
  <c r="AB433" i="34"/>
  <c r="AB445" i="34"/>
  <c r="AB448" i="34"/>
  <c r="AB450" i="34"/>
  <c r="AB457" i="34"/>
  <c r="AB468" i="34"/>
  <c r="AB475" i="34"/>
  <c r="AB481" i="34"/>
  <c r="AB501" i="34"/>
  <c r="AB503" i="34"/>
  <c r="AB506" i="34"/>
  <c r="AB508" i="34"/>
  <c r="AB522" i="34"/>
  <c r="AB525" i="34"/>
  <c r="AB528" i="34"/>
  <c r="AB530" i="34"/>
  <c r="AB531" i="34"/>
  <c r="AB534" i="34"/>
  <c r="AB536" i="34"/>
  <c r="AB544" i="34"/>
  <c r="AB560" i="34"/>
  <c r="AB568" i="34"/>
  <c r="AB575" i="34"/>
  <c r="AB576" i="34"/>
  <c r="AB599" i="34"/>
  <c r="AB610" i="34"/>
  <c r="AB614" i="34"/>
  <c r="AB623" i="34"/>
  <c r="AB627" i="34"/>
  <c r="AB628" i="34"/>
  <c r="AB631" i="34"/>
  <c r="AB642" i="34"/>
  <c r="AB654" i="34"/>
  <c r="AB679" i="34"/>
  <c r="AB689" i="34"/>
  <c r="AB706" i="34"/>
  <c r="AB714" i="34"/>
  <c r="AB734" i="34"/>
  <c r="AB746" i="34"/>
  <c r="AB749" i="34"/>
  <c r="AB759" i="34"/>
  <c r="AB761" i="34"/>
  <c r="AB777" i="34"/>
  <c r="AB793" i="34"/>
  <c r="AB809" i="34"/>
  <c r="AB819" i="34"/>
  <c r="AB822" i="34"/>
  <c r="AB829" i="34"/>
  <c r="AB832" i="34"/>
  <c r="AB833" i="34"/>
  <c r="AC18" i="34"/>
  <c r="AC24" i="34"/>
  <c r="AC19" i="34"/>
  <c r="AC26" i="34"/>
  <c r="AC27" i="34"/>
  <c r="AC28" i="34"/>
  <c r="AC35" i="34"/>
  <c r="AC43" i="34"/>
  <c r="AC46" i="34"/>
  <c r="AC47" i="34"/>
  <c r="AC61" i="34"/>
  <c r="AC62" i="34"/>
  <c r="AC63" i="34"/>
  <c r="AC64" i="34"/>
  <c r="AC70" i="34"/>
  <c r="AC75" i="34"/>
  <c r="AC78" i="34"/>
  <c r="AC79" i="34"/>
  <c r="AC82" i="34"/>
  <c r="AC83" i="34"/>
  <c r="AC102" i="34"/>
  <c r="AC106" i="34"/>
  <c r="AC111" i="34"/>
  <c r="AC116" i="34"/>
  <c r="AC117" i="34"/>
  <c r="AC139" i="34"/>
  <c r="AC145" i="34"/>
  <c r="AC151" i="34"/>
  <c r="AC157" i="34"/>
  <c r="AC174" i="34"/>
  <c r="AC186" i="34"/>
  <c r="AC194" i="34"/>
  <c r="AC196" i="34"/>
  <c r="AC212" i="34"/>
  <c r="AC220" i="34"/>
  <c r="AC227" i="34"/>
  <c r="AC233" i="34"/>
  <c r="AC235" i="34"/>
  <c r="AC246" i="34"/>
  <c r="AC254" i="34"/>
  <c r="AC257" i="34"/>
  <c r="AC264" i="34"/>
  <c r="AC265" i="34"/>
  <c r="AC267" i="34"/>
  <c r="AC273" i="34"/>
  <c r="AC278" i="34"/>
  <c r="AC285" i="34"/>
  <c r="AC288" i="34"/>
  <c r="AC303" i="34"/>
  <c r="AC319" i="34"/>
  <c r="AC323" i="34"/>
  <c r="AC331" i="34"/>
  <c r="AC355" i="34"/>
  <c r="AC360" i="34"/>
  <c r="AC363" i="34"/>
  <c r="AC403" i="34"/>
  <c r="AC410" i="34"/>
  <c r="AC428" i="34"/>
  <c r="AC433" i="34"/>
  <c r="AC445" i="34"/>
  <c r="AC448" i="34"/>
  <c r="AC450" i="34"/>
  <c r="AC457" i="34"/>
  <c r="AC468" i="34"/>
  <c r="AC475" i="34"/>
  <c r="AC481" i="34"/>
  <c r="AC501" i="34"/>
  <c r="AC503" i="34"/>
  <c r="AC506" i="34"/>
  <c r="AC508" i="34"/>
  <c r="AC522" i="34"/>
  <c r="AC525" i="34"/>
  <c r="AC528" i="34"/>
  <c r="AC530" i="34"/>
  <c r="AC531" i="34"/>
  <c r="AC534" i="34"/>
  <c r="AC536" i="34"/>
  <c r="AC544" i="34"/>
  <c r="AC560" i="34"/>
  <c r="AC568" i="34"/>
  <c r="AC575" i="34"/>
  <c r="AC576" i="34"/>
  <c r="AC599" i="34"/>
  <c r="AC610" i="34"/>
  <c r="AC614" i="34"/>
  <c r="AC623" i="34"/>
  <c r="AC627" i="34"/>
  <c r="AC628" i="34"/>
  <c r="AC631" i="34"/>
  <c r="AC642" i="34"/>
  <c r="AC654" i="34"/>
  <c r="AC679" i="34"/>
  <c r="AC689" i="34"/>
  <c r="AC706" i="34"/>
  <c r="AC714" i="34"/>
  <c r="AC734" i="34"/>
  <c r="AC746" i="34"/>
  <c r="AC749" i="34"/>
  <c r="AC759" i="34"/>
  <c r="AC761" i="34"/>
  <c r="AC777" i="34"/>
  <c r="AC793" i="34"/>
  <c r="AC809" i="34"/>
  <c r="AC819" i="34"/>
  <c r="AC822" i="34"/>
  <c r="AC829" i="34"/>
  <c r="AC832" i="34"/>
  <c r="AC833" i="34"/>
  <c r="AD18" i="34"/>
  <c r="AD24" i="34"/>
  <c r="AD19" i="34"/>
  <c r="AD26" i="34"/>
  <c r="AD27" i="34"/>
  <c r="AD28" i="34"/>
  <c r="AD35" i="34"/>
  <c r="AD43" i="34"/>
  <c r="AD46" i="34"/>
  <c r="AD47" i="34"/>
  <c r="AD61" i="34"/>
  <c r="AD62" i="34"/>
  <c r="AD63" i="34"/>
  <c r="AD64" i="34"/>
  <c r="AD70" i="34"/>
  <c r="AD75" i="34"/>
  <c r="AD78" i="34"/>
  <c r="AD79" i="34"/>
  <c r="AD82" i="34"/>
  <c r="AD83" i="34"/>
  <c r="AD102" i="34"/>
  <c r="AD106" i="34"/>
  <c r="AD111" i="34"/>
  <c r="AD116" i="34"/>
  <c r="AD117" i="34"/>
  <c r="AD139" i="34"/>
  <c r="AD145" i="34"/>
  <c r="AD151" i="34"/>
  <c r="AD157" i="34"/>
  <c r="AD174" i="34"/>
  <c r="AD186" i="34"/>
  <c r="AD194" i="34"/>
  <c r="AD196" i="34"/>
  <c r="AD212" i="34"/>
  <c r="AD220" i="34"/>
  <c r="AD227" i="34"/>
  <c r="AD233" i="34"/>
  <c r="AD235" i="34"/>
  <c r="AD246" i="34"/>
  <c r="AD254" i="34"/>
  <c r="AD257" i="34"/>
  <c r="AD264" i="34"/>
  <c r="AD265" i="34"/>
  <c r="AD267" i="34"/>
  <c r="AD273" i="34"/>
  <c r="AD278" i="34"/>
  <c r="AD285" i="34"/>
  <c r="AD288" i="34"/>
  <c r="AD303" i="34"/>
  <c r="AD319" i="34"/>
  <c r="AD323" i="34"/>
  <c r="AD331" i="34"/>
  <c r="AD355" i="34"/>
  <c r="AD360" i="34"/>
  <c r="AD363" i="34"/>
  <c r="AD403" i="34"/>
  <c r="AD410" i="34"/>
  <c r="AD428" i="34"/>
  <c r="AD433" i="34"/>
  <c r="AD445" i="34"/>
  <c r="AD448" i="34"/>
  <c r="AD450" i="34"/>
  <c r="AD457" i="34"/>
  <c r="AD468" i="34"/>
  <c r="AD475" i="34"/>
  <c r="AD481" i="34"/>
  <c r="AD501" i="34"/>
  <c r="AD503" i="34"/>
  <c r="AD506" i="34"/>
  <c r="AD508" i="34"/>
  <c r="AD522" i="34"/>
  <c r="AD525" i="34"/>
  <c r="AD528" i="34"/>
  <c r="AD530" i="34"/>
  <c r="AD531" i="34"/>
  <c r="AD534" i="34"/>
  <c r="AD536" i="34"/>
  <c r="AD544" i="34"/>
  <c r="AD560" i="34"/>
  <c r="AD568" i="34"/>
  <c r="AD575" i="34"/>
  <c r="AD576" i="34"/>
  <c r="AD599" i="34"/>
  <c r="AD610" i="34"/>
  <c r="AD614" i="34"/>
  <c r="AD623" i="34"/>
  <c r="AD627" i="34"/>
  <c r="AD628" i="34"/>
  <c r="AD631" i="34"/>
  <c r="AD642" i="34"/>
  <c r="AD654" i="34"/>
  <c r="AD679" i="34"/>
  <c r="AD689" i="34"/>
  <c r="AD706" i="34"/>
  <c r="AD714" i="34"/>
  <c r="AD734" i="34"/>
  <c r="AD746" i="34"/>
  <c r="AD749" i="34"/>
  <c r="AD759" i="34"/>
  <c r="AD761" i="34"/>
  <c r="AD777" i="34"/>
  <c r="AD793" i="34"/>
  <c r="AD809" i="34"/>
  <c r="AD819" i="34"/>
  <c r="AD822" i="34"/>
  <c r="AD829" i="34"/>
  <c r="AD832" i="34"/>
  <c r="AD833" i="34"/>
  <c r="AE18" i="34"/>
  <c r="AE24" i="34"/>
  <c r="AE19" i="34"/>
  <c r="AE26" i="34"/>
  <c r="AE27" i="34"/>
  <c r="AE28" i="34"/>
  <c r="AE35" i="34"/>
  <c r="AE43" i="34"/>
  <c r="AE46" i="34"/>
  <c r="AE47" i="34"/>
  <c r="AE61" i="34"/>
  <c r="AE62" i="34"/>
  <c r="AE63" i="34"/>
  <c r="AE64" i="34"/>
  <c r="AE70" i="34"/>
  <c r="AE75" i="34"/>
  <c r="AE78" i="34"/>
  <c r="AE79" i="34"/>
  <c r="AE82" i="34"/>
  <c r="AE83" i="34"/>
  <c r="AE102" i="34"/>
  <c r="AE106" i="34"/>
  <c r="AE111" i="34"/>
  <c r="AE116" i="34"/>
  <c r="AE117" i="34"/>
  <c r="AE139" i="34"/>
  <c r="AE145" i="34"/>
  <c r="AE151" i="34"/>
  <c r="AE157" i="34"/>
  <c r="AE174" i="34"/>
  <c r="AE186" i="34"/>
  <c r="AE194" i="34"/>
  <c r="AE196" i="34"/>
  <c r="AE212" i="34"/>
  <c r="AE220" i="34"/>
  <c r="AE227" i="34"/>
  <c r="AE233" i="34"/>
  <c r="AE235" i="34"/>
  <c r="AE246" i="34"/>
  <c r="AE254" i="34"/>
  <c r="AE257" i="34"/>
  <c r="AE264" i="34"/>
  <c r="AE265" i="34"/>
  <c r="AE267" i="34"/>
  <c r="AE273" i="34"/>
  <c r="AE278" i="34"/>
  <c r="AE285" i="34"/>
  <c r="AE288" i="34"/>
  <c r="AE303" i="34"/>
  <c r="AE319" i="34"/>
  <c r="AE323" i="34"/>
  <c r="AE331" i="34"/>
  <c r="AE355" i="34"/>
  <c r="AE360" i="34"/>
  <c r="AE363" i="34"/>
  <c r="AE403" i="34"/>
  <c r="AE410" i="34"/>
  <c r="AE428" i="34"/>
  <c r="AE433" i="34"/>
  <c r="AE445" i="34"/>
  <c r="AE448" i="34"/>
  <c r="AE450" i="34"/>
  <c r="AE457" i="34"/>
  <c r="AE468" i="34"/>
  <c r="AE475" i="34"/>
  <c r="AE481" i="34"/>
  <c r="AE501" i="34"/>
  <c r="AE503" i="34"/>
  <c r="AE506" i="34"/>
  <c r="AE508" i="34"/>
  <c r="AE522" i="34"/>
  <c r="AE525" i="34"/>
  <c r="AE528" i="34"/>
  <c r="AE530" i="34"/>
  <c r="AE531" i="34"/>
  <c r="AE534" i="34"/>
  <c r="AE536" i="34"/>
  <c r="AE544" i="34"/>
  <c r="AE560" i="34"/>
  <c r="AE568" i="34"/>
  <c r="AE575" i="34"/>
  <c r="AE576" i="34"/>
  <c r="AE599" i="34"/>
  <c r="AE610" i="34"/>
  <c r="AE614" i="34"/>
  <c r="AE623" i="34"/>
  <c r="AE627" i="34"/>
  <c r="AE628" i="34"/>
  <c r="AE631" i="34"/>
  <c r="AE642" i="34"/>
  <c r="AE654" i="34"/>
  <c r="AE679" i="34"/>
  <c r="AE689" i="34"/>
  <c r="AE706" i="34"/>
  <c r="AE714" i="34"/>
  <c r="AE734" i="34"/>
  <c r="AE746" i="34"/>
  <c r="AE749" i="34"/>
  <c r="AE759" i="34"/>
  <c r="AE761" i="34"/>
  <c r="AE777" i="34"/>
  <c r="AE793" i="34"/>
  <c r="AE809" i="34"/>
  <c r="AE819" i="34"/>
  <c r="AE822" i="34"/>
  <c r="AE829" i="34"/>
  <c r="AE832" i="34"/>
  <c r="AE833" i="34"/>
  <c r="AF18" i="34"/>
  <c r="AF24" i="34"/>
  <c r="AF19" i="34"/>
  <c r="AF26" i="34"/>
  <c r="AF27" i="34"/>
  <c r="AF28" i="34"/>
  <c r="AF35" i="34"/>
  <c r="AF43" i="34"/>
  <c r="AF46" i="34"/>
  <c r="AF47" i="34"/>
  <c r="AF61" i="34"/>
  <c r="AF62" i="34"/>
  <c r="AF63" i="34"/>
  <c r="AF64" i="34"/>
  <c r="AF70" i="34"/>
  <c r="AF75" i="34"/>
  <c r="AF78" i="34"/>
  <c r="AF79" i="34"/>
  <c r="AF82" i="34"/>
  <c r="AF83" i="34"/>
  <c r="AF102" i="34"/>
  <c r="AF106" i="34"/>
  <c r="AF111" i="34"/>
  <c r="AF116" i="34"/>
  <c r="AF117" i="34"/>
  <c r="AF139" i="34"/>
  <c r="AF145" i="34"/>
  <c r="AF151" i="34"/>
  <c r="AF157" i="34"/>
  <c r="AF174" i="34"/>
  <c r="AF186" i="34"/>
  <c r="AF194" i="34"/>
  <c r="AF196" i="34"/>
  <c r="AF212" i="34"/>
  <c r="AF220" i="34"/>
  <c r="AF227" i="34"/>
  <c r="AF233" i="34"/>
  <c r="AF235" i="34"/>
  <c r="AF246" i="34"/>
  <c r="AF254" i="34"/>
  <c r="AF257" i="34"/>
  <c r="AF264" i="34"/>
  <c r="AF265" i="34"/>
  <c r="AF267" i="34"/>
  <c r="AF273" i="34"/>
  <c r="AF278" i="34"/>
  <c r="AF285" i="34"/>
  <c r="AF288" i="34"/>
  <c r="AF303" i="34"/>
  <c r="AF319" i="34"/>
  <c r="AF323" i="34"/>
  <c r="AF331" i="34"/>
  <c r="AF355" i="34"/>
  <c r="AF360" i="34"/>
  <c r="AF363" i="34"/>
  <c r="AF403" i="34"/>
  <c r="AF410" i="34"/>
  <c r="AF428" i="34"/>
  <c r="AF433" i="34"/>
  <c r="AF445" i="34"/>
  <c r="AF448" i="34"/>
  <c r="AF450" i="34"/>
  <c r="AF457" i="34"/>
  <c r="AF468" i="34"/>
  <c r="AF475" i="34"/>
  <c r="AF481" i="34"/>
  <c r="AF501" i="34"/>
  <c r="AF503" i="34"/>
  <c r="AF506" i="34"/>
  <c r="AF508" i="34"/>
  <c r="AF522" i="34"/>
  <c r="AF525" i="34"/>
  <c r="AF528" i="34"/>
  <c r="AF530" i="34"/>
  <c r="AF531" i="34"/>
  <c r="AF534" i="34"/>
  <c r="AF536" i="34"/>
  <c r="AF544" i="34"/>
  <c r="AF560" i="34"/>
  <c r="AF568" i="34"/>
  <c r="AF575" i="34"/>
  <c r="AF576" i="34"/>
  <c r="AF599" i="34"/>
  <c r="AF610" i="34"/>
  <c r="AF614" i="34"/>
  <c r="AF623" i="34"/>
  <c r="AF627" i="34"/>
  <c r="AF628" i="34"/>
  <c r="AF631" i="34"/>
  <c r="AF642" i="34"/>
  <c r="AF654" i="34"/>
  <c r="AF679" i="34"/>
  <c r="AF689" i="34"/>
  <c r="AF706" i="34"/>
  <c r="AF714" i="34"/>
  <c r="AF734" i="34"/>
  <c r="AF746" i="34"/>
  <c r="AF749" i="34"/>
  <c r="AF759" i="34"/>
  <c r="AF761" i="34"/>
  <c r="AF777" i="34"/>
  <c r="AF793" i="34"/>
  <c r="AF809" i="34"/>
  <c r="AF819" i="34"/>
  <c r="AF822" i="34"/>
  <c r="AF829" i="34"/>
  <c r="AF832" i="34"/>
  <c r="AF833" i="34"/>
  <c r="AG18" i="34"/>
  <c r="AG24" i="34"/>
  <c r="AG19" i="34"/>
  <c r="AG26" i="34"/>
  <c r="AG27" i="34"/>
  <c r="AG28" i="34"/>
  <c r="AG35" i="34"/>
  <c r="AG43" i="34"/>
  <c r="AG46" i="34"/>
  <c r="AG47" i="34"/>
  <c r="AG61" i="34"/>
  <c r="AG62" i="34"/>
  <c r="AG63" i="34"/>
  <c r="AG64" i="34"/>
  <c r="AG70" i="34"/>
  <c r="AG75" i="34"/>
  <c r="AG78" i="34"/>
  <c r="AG79" i="34"/>
  <c r="AG82" i="34"/>
  <c r="AG83" i="34"/>
  <c r="AG102" i="34"/>
  <c r="AG106" i="34"/>
  <c r="AG111" i="34"/>
  <c r="AG116" i="34"/>
  <c r="AG117" i="34"/>
  <c r="AG139" i="34"/>
  <c r="AG145" i="34"/>
  <c r="AG151" i="34"/>
  <c r="AG157" i="34"/>
  <c r="AG174" i="34"/>
  <c r="AG186" i="34"/>
  <c r="AG194" i="34"/>
  <c r="AG196" i="34"/>
  <c r="AG212" i="34"/>
  <c r="AG220" i="34"/>
  <c r="AG227" i="34"/>
  <c r="AG233" i="34"/>
  <c r="AG235" i="34"/>
  <c r="AG246" i="34"/>
  <c r="AG254" i="34"/>
  <c r="AG257" i="34"/>
  <c r="AG264" i="34"/>
  <c r="AG265" i="34"/>
  <c r="AG267" i="34"/>
  <c r="AG273" i="34"/>
  <c r="AG278" i="34"/>
  <c r="AG285" i="34"/>
  <c r="AG288" i="34"/>
  <c r="AG303" i="34"/>
  <c r="AG319" i="34"/>
  <c r="AG323" i="34"/>
  <c r="AG331" i="34"/>
  <c r="AG355" i="34"/>
  <c r="AG360" i="34"/>
  <c r="AG363" i="34"/>
  <c r="AG403" i="34"/>
  <c r="AG410" i="34"/>
  <c r="AG428" i="34"/>
  <c r="AG433" i="34"/>
  <c r="AG445" i="34"/>
  <c r="AG448" i="34"/>
  <c r="AG450" i="34"/>
  <c r="AG457" i="34"/>
  <c r="AG468" i="34"/>
  <c r="AG475" i="34"/>
  <c r="AG481" i="34"/>
  <c r="AG501" i="34"/>
  <c r="AG503" i="34"/>
  <c r="AG506" i="34"/>
  <c r="AG508" i="34"/>
  <c r="AG522" i="34"/>
  <c r="AG525" i="34"/>
  <c r="AG528" i="34"/>
  <c r="AG530" i="34"/>
  <c r="AG531" i="34"/>
  <c r="AG534" i="34"/>
  <c r="AG536" i="34"/>
  <c r="AG544" i="34"/>
  <c r="AG560" i="34"/>
  <c r="AG568" i="34"/>
  <c r="AG575" i="34"/>
  <c r="AG576" i="34"/>
  <c r="AG599" i="34"/>
  <c r="AG610" i="34"/>
  <c r="AG614" i="34"/>
  <c r="AG623" i="34"/>
  <c r="AG627" i="34"/>
  <c r="AG628" i="34"/>
  <c r="AG631" i="34"/>
  <c r="AG642" i="34"/>
  <c r="AG654" i="34"/>
  <c r="AG679" i="34"/>
  <c r="AG689" i="34"/>
  <c r="AG706" i="34"/>
  <c r="AG714" i="34"/>
  <c r="AG734" i="34"/>
  <c r="AG746" i="34"/>
  <c r="AG749" i="34"/>
  <c r="AG759" i="34"/>
  <c r="AG761" i="34"/>
  <c r="AG777" i="34"/>
  <c r="AG793" i="34"/>
  <c r="AG809" i="34"/>
  <c r="AG819" i="34"/>
  <c r="AG822" i="34"/>
  <c r="AG829" i="34"/>
  <c r="AG832" i="34"/>
  <c r="AG833" i="34"/>
  <c r="D38" i="34"/>
  <c r="D45" i="34"/>
  <c r="D51" i="34"/>
  <c r="D91" i="34"/>
  <c r="D97" i="34"/>
  <c r="D101" i="34"/>
  <c r="D144" i="34"/>
  <c r="D148" i="34"/>
  <c r="D161" i="34"/>
  <c r="D167" i="34"/>
  <c r="D168" i="34"/>
  <c r="D171" i="34"/>
  <c r="D175" i="34"/>
  <c r="D199" i="34"/>
  <c r="D205" i="34"/>
  <c r="D206" i="34"/>
  <c r="D230" i="34"/>
  <c r="D237" i="34"/>
  <c r="D238" i="34"/>
  <c r="D244" i="34"/>
  <c r="D261" i="34"/>
  <c r="D268" i="34"/>
  <c r="D269" i="34"/>
  <c r="D271" i="34"/>
  <c r="D294" i="34"/>
  <c r="D295" i="34"/>
  <c r="D301" i="34"/>
  <c r="D310" i="34"/>
  <c r="D312" i="34"/>
  <c r="D320" i="34"/>
  <c r="D329" i="34"/>
  <c r="D332" i="34"/>
  <c r="D334" i="34"/>
  <c r="D335" i="34"/>
  <c r="D350" i="34"/>
  <c r="D364" i="34"/>
  <c r="D373" i="34"/>
  <c r="D380" i="34"/>
  <c r="D381" i="34"/>
  <c r="D397" i="34"/>
  <c r="D407" i="34"/>
  <c r="D414" i="34"/>
  <c r="D442" i="34"/>
  <c r="D449" i="34"/>
  <c r="D451" i="34"/>
  <c r="D456" i="34"/>
  <c r="D458" i="34"/>
  <c r="D476" i="34"/>
  <c r="D477" i="34"/>
  <c r="D505" i="34"/>
  <c r="D519" i="34"/>
  <c r="D549" i="34"/>
  <c r="D550" i="34"/>
  <c r="D552" i="34"/>
  <c r="D556" i="34"/>
  <c r="D569" i="34"/>
  <c r="D580" i="34"/>
  <c r="D588" i="34"/>
  <c r="D589" i="34"/>
  <c r="D595" i="34"/>
  <c r="D596" i="34"/>
  <c r="D601" i="34"/>
  <c r="D626" i="34"/>
  <c r="D672" i="34"/>
  <c r="D675" i="34"/>
  <c r="D680" i="34"/>
  <c r="D681" i="34"/>
  <c r="D704" i="34"/>
  <c r="D716" i="34"/>
  <c r="D719" i="34"/>
  <c r="D729" i="34"/>
  <c r="D764" i="34"/>
  <c r="D766" i="34"/>
  <c r="D768" i="34"/>
  <c r="D773" i="34"/>
  <c r="D783" i="34"/>
  <c r="D836" i="34"/>
  <c r="O38" i="34"/>
  <c r="O45" i="34"/>
  <c r="O51" i="34"/>
  <c r="O91" i="34"/>
  <c r="O97" i="34"/>
  <c r="O101" i="34"/>
  <c r="O144" i="34"/>
  <c r="O148" i="34"/>
  <c r="O161" i="34"/>
  <c r="O167" i="34"/>
  <c r="O168" i="34"/>
  <c r="O171" i="34"/>
  <c r="O175" i="34"/>
  <c r="O199" i="34"/>
  <c r="O205" i="34"/>
  <c r="O206" i="34"/>
  <c r="O230" i="34"/>
  <c r="O237" i="34"/>
  <c r="O238" i="34"/>
  <c r="O244" i="34"/>
  <c r="O261" i="34"/>
  <c r="O268" i="34"/>
  <c r="O269" i="34"/>
  <c r="O271" i="34"/>
  <c r="O294" i="34"/>
  <c r="O295" i="34"/>
  <c r="O301" i="34"/>
  <c r="O310" i="34"/>
  <c r="O312" i="34"/>
  <c r="O320" i="34"/>
  <c r="O329" i="34"/>
  <c r="O332" i="34"/>
  <c r="O334" i="34"/>
  <c r="O335" i="34"/>
  <c r="O350" i="34"/>
  <c r="O364" i="34"/>
  <c r="O373" i="34"/>
  <c r="O380" i="34"/>
  <c r="O381" i="34"/>
  <c r="O397" i="34"/>
  <c r="O407" i="34"/>
  <c r="O414" i="34"/>
  <c r="O442" i="34"/>
  <c r="O449" i="34"/>
  <c r="O451" i="34"/>
  <c r="O456" i="34"/>
  <c r="O458" i="34"/>
  <c r="O476" i="34"/>
  <c r="O477" i="34"/>
  <c r="O505" i="34"/>
  <c r="O519" i="34"/>
  <c r="O549" i="34"/>
  <c r="O550" i="34"/>
  <c r="O552" i="34"/>
  <c r="O556" i="34"/>
  <c r="O569" i="34"/>
  <c r="O580" i="34"/>
  <c r="O588" i="34"/>
  <c r="O589" i="34"/>
  <c r="O595" i="34"/>
  <c r="O596" i="34"/>
  <c r="O601" i="34"/>
  <c r="O626" i="34"/>
  <c r="O672" i="34"/>
  <c r="O675" i="34"/>
  <c r="O680" i="34"/>
  <c r="O681" i="34"/>
  <c r="O704" i="34"/>
  <c r="O716" i="34"/>
  <c r="O719" i="34"/>
  <c r="O729" i="34"/>
  <c r="O764" i="34"/>
  <c r="O766" i="34"/>
  <c r="O768" i="34"/>
  <c r="O773" i="34"/>
  <c r="O783" i="34"/>
  <c r="O836" i="34"/>
  <c r="P38" i="34"/>
  <c r="P45" i="34"/>
  <c r="P51" i="34"/>
  <c r="P91" i="34"/>
  <c r="P97" i="34"/>
  <c r="P101" i="34"/>
  <c r="P144" i="34"/>
  <c r="P148" i="34"/>
  <c r="P161" i="34"/>
  <c r="P167" i="34"/>
  <c r="P168" i="34"/>
  <c r="P171" i="34"/>
  <c r="P175" i="34"/>
  <c r="P199" i="34"/>
  <c r="P205" i="34"/>
  <c r="P206" i="34"/>
  <c r="P230" i="34"/>
  <c r="P237" i="34"/>
  <c r="P238" i="34"/>
  <c r="P244" i="34"/>
  <c r="P261" i="34"/>
  <c r="P268" i="34"/>
  <c r="P269" i="34"/>
  <c r="P271" i="34"/>
  <c r="P294" i="34"/>
  <c r="P295" i="34"/>
  <c r="P301" i="34"/>
  <c r="P310" i="34"/>
  <c r="P312" i="34"/>
  <c r="P320" i="34"/>
  <c r="P329" i="34"/>
  <c r="P332" i="34"/>
  <c r="P334" i="34"/>
  <c r="P335" i="34"/>
  <c r="P350" i="34"/>
  <c r="P364" i="34"/>
  <c r="P373" i="34"/>
  <c r="P380" i="34"/>
  <c r="P381" i="34"/>
  <c r="P397" i="34"/>
  <c r="P407" i="34"/>
  <c r="P414" i="34"/>
  <c r="P442" i="34"/>
  <c r="P449" i="34"/>
  <c r="P451" i="34"/>
  <c r="P456" i="34"/>
  <c r="P458" i="34"/>
  <c r="P476" i="34"/>
  <c r="P477" i="34"/>
  <c r="P505" i="34"/>
  <c r="P519" i="34"/>
  <c r="P549" i="34"/>
  <c r="P550" i="34"/>
  <c r="P552" i="34"/>
  <c r="P556" i="34"/>
  <c r="P569" i="34"/>
  <c r="P580" i="34"/>
  <c r="P588" i="34"/>
  <c r="P589" i="34"/>
  <c r="P595" i="34"/>
  <c r="P596" i="34"/>
  <c r="P601" i="34"/>
  <c r="P626" i="34"/>
  <c r="P672" i="34"/>
  <c r="P675" i="34"/>
  <c r="P680" i="34"/>
  <c r="P681" i="34"/>
  <c r="P704" i="34"/>
  <c r="P716" i="34"/>
  <c r="P719" i="34"/>
  <c r="P729" i="34"/>
  <c r="P764" i="34"/>
  <c r="P766" i="34"/>
  <c r="P768" i="34"/>
  <c r="P773" i="34"/>
  <c r="P783" i="34"/>
  <c r="P836" i="34"/>
  <c r="Q38" i="34"/>
  <c r="Q45" i="34"/>
  <c r="Q51" i="34"/>
  <c r="Q91" i="34"/>
  <c r="Q97" i="34"/>
  <c r="Q101" i="34"/>
  <c r="Q144" i="34"/>
  <c r="Q148" i="34"/>
  <c r="Q161" i="34"/>
  <c r="Q167" i="34"/>
  <c r="Q168" i="34"/>
  <c r="Q171" i="34"/>
  <c r="Q175" i="34"/>
  <c r="Q199" i="34"/>
  <c r="Q205" i="34"/>
  <c r="Q206" i="34"/>
  <c r="Q230" i="34"/>
  <c r="Q237" i="34"/>
  <c r="Q238" i="34"/>
  <c r="Q244" i="34"/>
  <c r="Q261" i="34"/>
  <c r="Q268" i="34"/>
  <c r="Q269" i="34"/>
  <c r="Q271" i="34"/>
  <c r="Q294" i="34"/>
  <c r="Q295" i="34"/>
  <c r="Q301" i="34"/>
  <c r="Q310" i="34"/>
  <c r="Q312" i="34"/>
  <c r="Q320" i="34"/>
  <c r="Q329" i="34"/>
  <c r="Q332" i="34"/>
  <c r="Q334" i="34"/>
  <c r="Q335" i="34"/>
  <c r="Q350" i="34"/>
  <c r="Q364" i="34"/>
  <c r="Q373" i="34"/>
  <c r="Q380" i="34"/>
  <c r="Q381" i="34"/>
  <c r="Q397" i="34"/>
  <c r="Q407" i="34"/>
  <c r="Q414" i="34"/>
  <c r="Q442" i="34"/>
  <c r="Q449" i="34"/>
  <c r="Q451" i="34"/>
  <c r="Q456" i="34"/>
  <c r="Q458" i="34"/>
  <c r="Q476" i="34"/>
  <c r="Q477" i="34"/>
  <c r="Q505" i="34"/>
  <c r="Q519" i="34"/>
  <c r="Q549" i="34"/>
  <c r="Q550" i="34"/>
  <c r="Q552" i="34"/>
  <c r="Q556" i="34"/>
  <c r="Q569" i="34"/>
  <c r="Q580" i="34"/>
  <c r="Q588" i="34"/>
  <c r="Q589" i="34"/>
  <c r="Q595" i="34"/>
  <c r="Q596" i="34"/>
  <c r="Q601" i="34"/>
  <c r="Q626" i="34"/>
  <c r="Q672" i="34"/>
  <c r="Q675" i="34"/>
  <c r="Q680" i="34"/>
  <c r="Q681" i="34"/>
  <c r="Q704" i="34"/>
  <c r="Q716" i="34"/>
  <c r="Q719" i="34"/>
  <c r="Q729" i="34"/>
  <c r="Q764" i="34"/>
  <c r="Q766" i="34"/>
  <c r="Q768" i="34"/>
  <c r="Q773" i="34"/>
  <c r="Q783" i="34"/>
  <c r="Q836" i="34"/>
  <c r="U38" i="34"/>
  <c r="U45" i="34"/>
  <c r="U51" i="34"/>
  <c r="U91" i="34"/>
  <c r="U97" i="34"/>
  <c r="U101" i="34"/>
  <c r="U144" i="34"/>
  <c r="U148" i="34"/>
  <c r="U161" i="34"/>
  <c r="U167" i="34"/>
  <c r="U168" i="34"/>
  <c r="U171" i="34"/>
  <c r="U175" i="34"/>
  <c r="U199" i="34"/>
  <c r="U205" i="34"/>
  <c r="U206" i="34"/>
  <c r="U230" i="34"/>
  <c r="U237" i="34"/>
  <c r="U238" i="34"/>
  <c r="U244" i="34"/>
  <c r="U261" i="34"/>
  <c r="U268" i="34"/>
  <c r="U269" i="34"/>
  <c r="U271" i="34"/>
  <c r="U294" i="34"/>
  <c r="U295" i="34"/>
  <c r="U301" i="34"/>
  <c r="U310" i="34"/>
  <c r="U312" i="34"/>
  <c r="U320" i="34"/>
  <c r="U329" i="34"/>
  <c r="U332" i="34"/>
  <c r="U334" i="34"/>
  <c r="U335" i="34"/>
  <c r="U350" i="34"/>
  <c r="U364" i="34"/>
  <c r="U373" i="34"/>
  <c r="U380" i="34"/>
  <c r="U381" i="34"/>
  <c r="U397" i="34"/>
  <c r="U407" i="34"/>
  <c r="U414" i="34"/>
  <c r="U442" i="34"/>
  <c r="U449" i="34"/>
  <c r="U451" i="34"/>
  <c r="U456" i="34"/>
  <c r="U458" i="34"/>
  <c r="U476" i="34"/>
  <c r="U477" i="34"/>
  <c r="U505" i="34"/>
  <c r="U519" i="34"/>
  <c r="U549" i="34"/>
  <c r="U550" i="34"/>
  <c r="U552" i="34"/>
  <c r="U556" i="34"/>
  <c r="U569" i="34"/>
  <c r="U580" i="34"/>
  <c r="U588" i="34"/>
  <c r="U589" i="34"/>
  <c r="U595" i="34"/>
  <c r="U596" i="34"/>
  <c r="U601" i="34"/>
  <c r="U626" i="34"/>
  <c r="U672" i="34"/>
  <c r="U675" i="34"/>
  <c r="U680" i="34"/>
  <c r="U681" i="34"/>
  <c r="U704" i="34"/>
  <c r="U716" i="34"/>
  <c r="U719" i="34"/>
  <c r="U729" i="34"/>
  <c r="U764" i="34"/>
  <c r="U766" i="34"/>
  <c r="U768" i="34"/>
  <c r="U773" i="34"/>
  <c r="U783" i="34"/>
  <c r="U836" i="34"/>
  <c r="V38" i="34"/>
  <c r="V45" i="34"/>
  <c r="V51" i="34"/>
  <c r="V91" i="34"/>
  <c r="V97" i="34"/>
  <c r="V101" i="34"/>
  <c r="V144" i="34"/>
  <c r="V148" i="34"/>
  <c r="V161" i="34"/>
  <c r="V167" i="34"/>
  <c r="V168" i="34"/>
  <c r="V171" i="34"/>
  <c r="V175" i="34"/>
  <c r="V199" i="34"/>
  <c r="V205" i="34"/>
  <c r="V206" i="34"/>
  <c r="V230" i="34"/>
  <c r="V237" i="34"/>
  <c r="V238" i="34"/>
  <c r="V244" i="34"/>
  <c r="V261" i="34"/>
  <c r="V268" i="34"/>
  <c r="V269" i="34"/>
  <c r="V271" i="34"/>
  <c r="V294" i="34"/>
  <c r="V295" i="34"/>
  <c r="V301" i="34"/>
  <c r="V310" i="34"/>
  <c r="V312" i="34"/>
  <c r="V320" i="34"/>
  <c r="V329" i="34"/>
  <c r="V332" i="34"/>
  <c r="V334" i="34"/>
  <c r="V335" i="34"/>
  <c r="V350" i="34"/>
  <c r="V364" i="34"/>
  <c r="V373" i="34"/>
  <c r="V380" i="34"/>
  <c r="V381" i="34"/>
  <c r="V397" i="34"/>
  <c r="V407" i="34"/>
  <c r="V414" i="34"/>
  <c r="V442" i="34"/>
  <c r="V449" i="34"/>
  <c r="V451" i="34"/>
  <c r="V456" i="34"/>
  <c r="V458" i="34"/>
  <c r="V476" i="34"/>
  <c r="V477" i="34"/>
  <c r="V505" i="34"/>
  <c r="V519" i="34"/>
  <c r="V549" i="34"/>
  <c r="V550" i="34"/>
  <c r="V552" i="34"/>
  <c r="V556" i="34"/>
  <c r="V569" i="34"/>
  <c r="V580" i="34"/>
  <c r="V588" i="34"/>
  <c r="V589" i="34"/>
  <c r="V595" i="34"/>
  <c r="V596" i="34"/>
  <c r="V601" i="34"/>
  <c r="V626" i="34"/>
  <c r="V672" i="34"/>
  <c r="V675" i="34"/>
  <c r="V680" i="34"/>
  <c r="V681" i="34"/>
  <c r="V704" i="34"/>
  <c r="V716" i="34"/>
  <c r="V719" i="34"/>
  <c r="V729" i="34"/>
  <c r="V764" i="34"/>
  <c r="V766" i="34"/>
  <c r="V768" i="34"/>
  <c r="V773" i="34"/>
  <c r="V783" i="34"/>
  <c r="V836" i="34"/>
  <c r="W38" i="34"/>
  <c r="W45" i="34"/>
  <c r="W51" i="34"/>
  <c r="W91" i="34"/>
  <c r="W97" i="34"/>
  <c r="W101" i="34"/>
  <c r="W144" i="34"/>
  <c r="W148" i="34"/>
  <c r="W161" i="34"/>
  <c r="W167" i="34"/>
  <c r="W168" i="34"/>
  <c r="W171" i="34"/>
  <c r="W175" i="34"/>
  <c r="W199" i="34"/>
  <c r="W205" i="34"/>
  <c r="W206" i="34"/>
  <c r="W230" i="34"/>
  <c r="W237" i="34"/>
  <c r="W238" i="34"/>
  <c r="W244" i="34"/>
  <c r="W261" i="34"/>
  <c r="W268" i="34"/>
  <c r="W269" i="34"/>
  <c r="W271" i="34"/>
  <c r="W294" i="34"/>
  <c r="W295" i="34"/>
  <c r="W301" i="34"/>
  <c r="W310" i="34"/>
  <c r="W312" i="34"/>
  <c r="W320" i="34"/>
  <c r="W329" i="34"/>
  <c r="W332" i="34"/>
  <c r="W334" i="34"/>
  <c r="W335" i="34"/>
  <c r="W350" i="34"/>
  <c r="W364" i="34"/>
  <c r="W373" i="34"/>
  <c r="W380" i="34"/>
  <c r="W381" i="34"/>
  <c r="W397" i="34"/>
  <c r="W407" i="34"/>
  <c r="W414" i="34"/>
  <c r="W442" i="34"/>
  <c r="W449" i="34"/>
  <c r="W451" i="34"/>
  <c r="W456" i="34"/>
  <c r="W458" i="34"/>
  <c r="W476" i="34"/>
  <c r="W477" i="34"/>
  <c r="W505" i="34"/>
  <c r="W519" i="34"/>
  <c r="W549" i="34"/>
  <c r="W550" i="34"/>
  <c r="W552" i="34"/>
  <c r="W556" i="34"/>
  <c r="W569" i="34"/>
  <c r="W580" i="34"/>
  <c r="W588" i="34"/>
  <c r="W589" i="34"/>
  <c r="W595" i="34"/>
  <c r="W596" i="34"/>
  <c r="W601" i="34"/>
  <c r="W626" i="34"/>
  <c r="W672" i="34"/>
  <c r="W675" i="34"/>
  <c r="W680" i="34"/>
  <c r="W681" i="34"/>
  <c r="W704" i="34"/>
  <c r="W716" i="34"/>
  <c r="W719" i="34"/>
  <c r="W729" i="34"/>
  <c r="W764" i="34"/>
  <c r="W766" i="34"/>
  <c r="W768" i="34"/>
  <c r="W773" i="34"/>
  <c r="W783" i="34"/>
  <c r="W836" i="34"/>
  <c r="X38" i="34"/>
  <c r="X45" i="34"/>
  <c r="X51" i="34"/>
  <c r="X91" i="34"/>
  <c r="X97" i="34"/>
  <c r="X101" i="34"/>
  <c r="X144" i="34"/>
  <c r="X148" i="34"/>
  <c r="X161" i="34"/>
  <c r="X167" i="34"/>
  <c r="X168" i="34"/>
  <c r="X171" i="34"/>
  <c r="X175" i="34"/>
  <c r="X199" i="34"/>
  <c r="X205" i="34"/>
  <c r="X206" i="34"/>
  <c r="X230" i="34"/>
  <c r="X237" i="34"/>
  <c r="X238" i="34"/>
  <c r="X244" i="34"/>
  <c r="X261" i="34"/>
  <c r="X268" i="34"/>
  <c r="X269" i="34"/>
  <c r="X271" i="34"/>
  <c r="X294" i="34"/>
  <c r="X295" i="34"/>
  <c r="X301" i="34"/>
  <c r="X310" i="34"/>
  <c r="X312" i="34"/>
  <c r="X320" i="34"/>
  <c r="X329" i="34"/>
  <c r="X332" i="34"/>
  <c r="X334" i="34"/>
  <c r="X335" i="34"/>
  <c r="X350" i="34"/>
  <c r="X364" i="34"/>
  <c r="X373" i="34"/>
  <c r="X380" i="34"/>
  <c r="X381" i="34"/>
  <c r="X397" i="34"/>
  <c r="X407" i="34"/>
  <c r="X414" i="34"/>
  <c r="X442" i="34"/>
  <c r="X449" i="34"/>
  <c r="X451" i="34"/>
  <c r="X456" i="34"/>
  <c r="X458" i="34"/>
  <c r="X476" i="34"/>
  <c r="X477" i="34"/>
  <c r="X505" i="34"/>
  <c r="X519" i="34"/>
  <c r="X549" i="34"/>
  <c r="X550" i="34"/>
  <c r="X552" i="34"/>
  <c r="X556" i="34"/>
  <c r="X569" i="34"/>
  <c r="X580" i="34"/>
  <c r="X588" i="34"/>
  <c r="X589" i="34"/>
  <c r="X595" i="34"/>
  <c r="X596" i="34"/>
  <c r="X601" i="34"/>
  <c r="X626" i="34"/>
  <c r="X672" i="34"/>
  <c r="X675" i="34"/>
  <c r="X680" i="34"/>
  <c r="X681" i="34"/>
  <c r="X704" i="34"/>
  <c r="X716" i="34"/>
  <c r="X719" i="34"/>
  <c r="X729" i="34"/>
  <c r="X764" i="34"/>
  <c r="X766" i="34"/>
  <c r="X768" i="34"/>
  <c r="X773" i="34"/>
  <c r="X783" i="34"/>
  <c r="X836" i="34"/>
  <c r="Y38" i="34"/>
  <c r="Y45" i="34"/>
  <c r="Y51" i="34"/>
  <c r="Y91" i="34"/>
  <c r="Y97" i="34"/>
  <c r="Y101" i="34"/>
  <c r="Y144" i="34"/>
  <c r="Y148" i="34"/>
  <c r="Y161" i="34"/>
  <c r="Y167" i="34"/>
  <c r="Y168" i="34"/>
  <c r="Y171" i="34"/>
  <c r="Y175" i="34"/>
  <c r="Y199" i="34"/>
  <c r="Y205" i="34"/>
  <c r="Y206" i="34"/>
  <c r="Y230" i="34"/>
  <c r="Y237" i="34"/>
  <c r="Y238" i="34"/>
  <c r="Y244" i="34"/>
  <c r="Y261" i="34"/>
  <c r="Y268" i="34"/>
  <c r="Y269" i="34"/>
  <c r="Y271" i="34"/>
  <c r="Y294" i="34"/>
  <c r="Y295" i="34"/>
  <c r="Y301" i="34"/>
  <c r="Y310" i="34"/>
  <c r="Y312" i="34"/>
  <c r="Y320" i="34"/>
  <c r="Y329" i="34"/>
  <c r="Y332" i="34"/>
  <c r="Y334" i="34"/>
  <c r="Y335" i="34"/>
  <c r="Y350" i="34"/>
  <c r="Y364" i="34"/>
  <c r="Y373" i="34"/>
  <c r="Y380" i="34"/>
  <c r="Y381" i="34"/>
  <c r="Y397" i="34"/>
  <c r="Y407" i="34"/>
  <c r="Y414" i="34"/>
  <c r="Y442" i="34"/>
  <c r="Y449" i="34"/>
  <c r="Y451" i="34"/>
  <c r="Y456" i="34"/>
  <c r="Y458" i="34"/>
  <c r="Y476" i="34"/>
  <c r="Y477" i="34"/>
  <c r="Y505" i="34"/>
  <c r="Y519" i="34"/>
  <c r="Y549" i="34"/>
  <c r="Y550" i="34"/>
  <c r="Y552" i="34"/>
  <c r="Y556" i="34"/>
  <c r="Y569" i="34"/>
  <c r="Y580" i="34"/>
  <c r="Y588" i="34"/>
  <c r="Y589" i="34"/>
  <c r="Y595" i="34"/>
  <c r="Y596" i="34"/>
  <c r="Y601" i="34"/>
  <c r="Y626" i="34"/>
  <c r="Y672" i="34"/>
  <c r="Y675" i="34"/>
  <c r="Y680" i="34"/>
  <c r="Y681" i="34"/>
  <c r="Y704" i="34"/>
  <c r="Y716" i="34"/>
  <c r="Y719" i="34"/>
  <c r="Y729" i="34"/>
  <c r="Y764" i="34"/>
  <c r="Y766" i="34"/>
  <c r="Y768" i="34"/>
  <c r="Y773" i="34"/>
  <c r="Y783" i="34"/>
  <c r="Y836" i="34"/>
  <c r="Z38" i="34"/>
  <c r="Z45" i="34"/>
  <c r="Z51" i="34"/>
  <c r="Z91" i="34"/>
  <c r="Z97" i="34"/>
  <c r="Z101" i="34"/>
  <c r="Z144" i="34"/>
  <c r="Z148" i="34"/>
  <c r="Z161" i="34"/>
  <c r="Z167" i="34"/>
  <c r="Z168" i="34"/>
  <c r="Z171" i="34"/>
  <c r="Z175" i="34"/>
  <c r="Z199" i="34"/>
  <c r="Z205" i="34"/>
  <c r="Z206" i="34"/>
  <c r="Z230" i="34"/>
  <c r="Z237" i="34"/>
  <c r="Z238" i="34"/>
  <c r="Z244" i="34"/>
  <c r="Z261" i="34"/>
  <c r="Z268" i="34"/>
  <c r="Z269" i="34"/>
  <c r="Z271" i="34"/>
  <c r="Z294" i="34"/>
  <c r="Z295" i="34"/>
  <c r="Z301" i="34"/>
  <c r="Z310" i="34"/>
  <c r="Z312" i="34"/>
  <c r="Z320" i="34"/>
  <c r="Z329" i="34"/>
  <c r="Z332" i="34"/>
  <c r="Z334" i="34"/>
  <c r="Z335" i="34"/>
  <c r="Z350" i="34"/>
  <c r="Z364" i="34"/>
  <c r="Z373" i="34"/>
  <c r="Z380" i="34"/>
  <c r="Z381" i="34"/>
  <c r="Z397" i="34"/>
  <c r="Z407" i="34"/>
  <c r="Z414" i="34"/>
  <c r="Z442" i="34"/>
  <c r="Z449" i="34"/>
  <c r="Z451" i="34"/>
  <c r="Z456" i="34"/>
  <c r="Z458" i="34"/>
  <c r="Z476" i="34"/>
  <c r="Z477" i="34"/>
  <c r="Z505" i="34"/>
  <c r="Z519" i="34"/>
  <c r="Z549" i="34"/>
  <c r="Z550" i="34"/>
  <c r="Z552" i="34"/>
  <c r="Z556" i="34"/>
  <c r="Z569" i="34"/>
  <c r="Z580" i="34"/>
  <c r="Z588" i="34"/>
  <c r="Z589" i="34"/>
  <c r="Z595" i="34"/>
  <c r="Z596" i="34"/>
  <c r="Z601" i="34"/>
  <c r="Z626" i="34"/>
  <c r="Z672" i="34"/>
  <c r="Z675" i="34"/>
  <c r="Z680" i="34"/>
  <c r="Z681" i="34"/>
  <c r="Z704" i="34"/>
  <c r="Z716" i="34"/>
  <c r="Z719" i="34"/>
  <c r="Z729" i="34"/>
  <c r="Z764" i="34"/>
  <c r="Z766" i="34"/>
  <c r="Z768" i="34"/>
  <c r="Z773" i="34"/>
  <c r="Z783" i="34"/>
  <c r="Z836" i="34"/>
  <c r="AA38" i="34"/>
  <c r="AA45" i="34"/>
  <c r="AA51" i="34"/>
  <c r="AA91" i="34"/>
  <c r="AA97" i="34"/>
  <c r="AA101" i="34"/>
  <c r="AA144" i="34"/>
  <c r="AA148" i="34"/>
  <c r="AA161" i="34"/>
  <c r="AA167" i="34"/>
  <c r="AA168" i="34"/>
  <c r="AA171" i="34"/>
  <c r="AA175" i="34"/>
  <c r="AA199" i="34"/>
  <c r="AA205" i="34"/>
  <c r="AA206" i="34"/>
  <c r="AA230" i="34"/>
  <c r="AA237" i="34"/>
  <c r="AA238" i="34"/>
  <c r="AA244" i="34"/>
  <c r="AA261" i="34"/>
  <c r="AA268" i="34"/>
  <c r="AA269" i="34"/>
  <c r="AA271" i="34"/>
  <c r="AA294" i="34"/>
  <c r="AA295" i="34"/>
  <c r="AA301" i="34"/>
  <c r="AA310" i="34"/>
  <c r="AA312" i="34"/>
  <c r="AA320" i="34"/>
  <c r="AA329" i="34"/>
  <c r="AA332" i="34"/>
  <c r="AA334" i="34"/>
  <c r="AA335" i="34"/>
  <c r="AA350" i="34"/>
  <c r="AA364" i="34"/>
  <c r="AA373" i="34"/>
  <c r="AA380" i="34"/>
  <c r="AA381" i="34"/>
  <c r="AA397" i="34"/>
  <c r="AA407" i="34"/>
  <c r="AA414" i="34"/>
  <c r="AA442" i="34"/>
  <c r="AA449" i="34"/>
  <c r="AA451" i="34"/>
  <c r="AA456" i="34"/>
  <c r="AA458" i="34"/>
  <c r="AA476" i="34"/>
  <c r="AA477" i="34"/>
  <c r="AA505" i="34"/>
  <c r="AA519" i="34"/>
  <c r="AA549" i="34"/>
  <c r="AA550" i="34"/>
  <c r="AA552" i="34"/>
  <c r="AA556" i="34"/>
  <c r="AA569" i="34"/>
  <c r="AA580" i="34"/>
  <c r="AA588" i="34"/>
  <c r="AA589" i="34"/>
  <c r="AA595" i="34"/>
  <c r="AA596" i="34"/>
  <c r="AA601" i="34"/>
  <c r="AA626" i="34"/>
  <c r="AA672" i="34"/>
  <c r="AA675" i="34"/>
  <c r="AA680" i="34"/>
  <c r="AA681" i="34"/>
  <c r="AA704" i="34"/>
  <c r="AA716" i="34"/>
  <c r="AA719" i="34"/>
  <c r="AA729" i="34"/>
  <c r="AA764" i="34"/>
  <c r="AA766" i="34"/>
  <c r="AA768" i="34"/>
  <c r="AA773" i="34"/>
  <c r="AA783" i="34"/>
  <c r="AA836" i="34"/>
  <c r="AB38" i="34"/>
  <c r="AB45" i="34"/>
  <c r="AB51" i="34"/>
  <c r="AB91" i="34"/>
  <c r="AB97" i="34"/>
  <c r="AB101" i="34"/>
  <c r="AB144" i="34"/>
  <c r="AB148" i="34"/>
  <c r="AB161" i="34"/>
  <c r="AB167" i="34"/>
  <c r="AB168" i="34"/>
  <c r="AB171" i="34"/>
  <c r="AB175" i="34"/>
  <c r="AB199" i="34"/>
  <c r="AB205" i="34"/>
  <c r="AB206" i="34"/>
  <c r="AB230" i="34"/>
  <c r="AB237" i="34"/>
  <c r="AB238" i="34"/>
  <c r="AB244" i="34"/>
  <c r="AB261" i="34"/>
  <c r="AB268" i="34"/>
  <c r="AB269" i="34"/>
  <c r="AB271" i="34"/>
  <c r="AB294" i="34"/>
  <c r="AB295" i="34"/>
  <c r="AB301" i="34"/>
  <c r="AB310" i="34"/>
  <c r="AB312" i="34"/>
  <c r="AB320" i="34"/>
  <c r="AB329" i="34"/>
  <c r="AB332" i="34"/>
  <c r="AB334" i="34"/>
  <c r="AB335" i="34"/>
  <c r="AB350" i="34"/>
  <c r="AB364" i="34"/>
  <c r="AB373" i="34"/>
  <c r="AB380" i="34"/>
  <c r="AB381" i="34"/>
  <c r="AB397" i="34"/>
  <c r="AB407" i="34"/>
  <c r="AB414" i="34"/>
  <c r="AB442" i="34"/>
  <c r="AB449" i="34"/>
  <c r="AB451" i="34"/>
  <c r="AB456" i="34"/>
  <c r="AB458" i="34"/>
  <c r="AB476" i="34"/>
  <c r="AB477" i="34"/>
  <c r="AB505" i="34"/>
  <c r="AB519" i="34"/>
  <c r="AB549" i="34"/>
  <c r="AB550" i="34"/>
  <c r="AB552" i="34"/>
  <c r="AB556" i="34"/>
  <c r="AB569" i="34"/>
  <c r="AB580" i="34"/>
  <c r="AB588" i="34"/>
  <c r="AB589" i="34"/>
  <c r="AB595" i="34"/>
  <c r="AB596" i="34"/>
  <c r="AB601" i="34"/>
  <c r="AB626" i="34"/>
  <c r="AB672" i="34"/>
  <c r="AB675" i="34"/>
  <c r="AB680" i="34"/>
  <c r="AB681" i="34"/>
  <c r="AB704" i="34"/>
  <c r="AB716" i="34"/>
  <c r="AB719" i="34"/>
  <c r="AB729" i="34"/>
  <c r="AB764" i="34"/>
  <c r="AB766" i="34"/>
  <c r="AB768" i="34"/>
  <c r="AB773" i="34"/>
  <c r="AB783" i="34"/>
  <c r="AB836" i="34"/>
  <c r="AC38" i="34"/>
  <c r="AC45" i="34"/>
  <c r="AC51" i="34"/>
  <c r="AC91" i="34"/>
  <c r="AC97" i="34"/>
  <c r="AC101" i="34"/>
  <c r="AC144" i="34"/>
  <c r="AC148" i="34"/>
  <c r="AC161" i="34"/>
  <c r="AC167" i="34"/>
  <c r="AC168" i="34"/>
  <c r="AC171" i="34"/>
  <c r="AC175" i="34"/>
  <c r="AC199" i="34"/>
  <c r="AC205" i="34"/>
  <c r="AC206" i="34"/>
  <c r="AC230" i="34"/>
  <c r="AC237" i="34"/>
  <c r="AC238" i="34"/>
  <c r="AC244" i="34"/>
  <c r="AC261" i="34"/>
  <c r="AC268" i="34"/>
  <c r="AC269" i="34"/>
  <c r="AC271" i="34"/>
  <c r="AC294" i="34"/>
  <c r="AC295" i="34"/>
  <c r="AC301" i="34"/>
  <c r="AC310" i="34"/>
  <c r="AC312" i="34"/>
  <c r="AC320" i="34"/>
  <c r="AC329" i="34"/>
  <c r="AC332" i="34"/>
  <c r="AC334" i="34"/>
  <c r="AC335" i="34"/>
  <c r="AC350" i="34"/>
  <c r="AC364" i="34"/>
  <c r="AC373" i="34"/>
  <c r="AC380" i="34"/>
  <c r="AC381" i="34"/>
  <c r="AC397" i="34"/>
  <c r="AC407" i="34"/>
  <c r="AC414" i="34"/>
  <c r="AC442" i="34"/>
  <c r="AC449" i="34"/>
  <c r="AC451" i="34"/>
  <c r="AC456" i="34"/>
  <c r="AC458" i="34"/>
  <c r="AC476" i="34"/>
  <c r="AC477" i="34"/>
  <c r="AC505" i="34"/>
  <c r="AC519" i="34"/>
  <c r="AC549" i="34"/>
  <c r="AC550" i="34"/>
  <c r="AC552" i="34"/>
  <c r="AC556" i="34"/>
  <c r="AC569" i="34"/>
  <c r="AC580" i="34"/>
  <c r="AC588" i="34"/>
  <c r="AC589" i="34"/>
  <c r="AC595" i="34"/>
  <c r="AC596" i="34"/>
  <c r="AC601" i="34"/>
  <c r="AC626" i="34"/>
  <c r="AC672" i="34"/>
  <c r="AC675" i="34"/>
  <c r="AC680" i="34"/>
  <c r="AC681" i="34"/>
  <c r="AC704" i="34"/>
  <c r="AC716" i="34"/>
  <c r="AC719" i="34"/>
  <c r="AC729" i="34"/>
  <c r="AC764" i="34"/>
  <c r="AC766" i="34"/>
  <c r="AC768" i="34"/>
  <c r="AC773" i="34"/>
  <c r="AC783" i="34"/>
  <c r="AC836" i="34"/>
  <c r="AD38" i="34"/>
  <c r="AD45" i="34"/>
  <c r="AD51" i="34"/>
  <c r="AD91" i="34"/>
  <c r="AD97" i="34"/>
  <c r="AD101" i="34"/>
  <c r="AD144" i="34"/>
  <c r="AD148" i="34"/>
  <c r="AD161" i="34"/>
  <c r="AD167" i="34"/>
  <c r="AD168" i="34"/>
  <c r="AD171" i="34"/>
  <c r="AD175" i="34"/>
  <c r="AD199" i="34"/>
  <c r="AD205" i="34"/>
  <c r="AD206" i="34"/>
  <c r="AD230" i="34"/>
  <c r="AD237" i="34"/>
  <c r="AD238" i="34"/>
  <c r="AD244" i="34"/>
  <c r="AD261" i="34"/>
  <c r="AD268" i="34"/>
  <c r="AD269" i="34"/>
  <c r="AD271" i="34"/>
  <c r="AD294" i="34"/>
  <c r="AD295" i="34"/>
  <c r="AD301" i="34"/>
  <c r="AD310" i="34"/>
  <c r="AD312" i="34"/>
  <c r="AD320" i="34"/>
  <c r="AD329" i="34"/>
  <c r="AD332" i="34"/>
  <c r="AD334" i="34"/>
  <c r="AD335" i="34"/>
  <c r="AD350" i="34"/>
  <c r="AD364" i="34"/>
  <c r="AD373" i="34"/>
  <c r="AD380" i="34"/>
  <c r="AD381" i="34"/>
  <c r="AD397" i="34"/>
  <c r="AD407" i="34"/>
  <c r="AD414" i="34"/>
  <c r="AD442" i="34"/>
  <c r="AD449" i="34"/>
  <c r="AD451" i="34"/>
  <c r="AD456" i="34"/>
  <c r="AD458" i="34"/>
  <c r="AD476" i="34"/>
  <c r="AD477" i="34"/>
  <c r="AD505" i="34"/>
  <c r="AD519" i="34"/>
  <c r="AD549" i="34"/>
  <c r="AD550" i="34"/>
  <c r="AD552" i="34"/>
  <c r="AD556" i="34"/>
  <c r="AD569" i="34"/>
  <c r="AD580" i="34"/>
  <c r="AD588" i="34"/>
  <c r="AD589" i="34"/>
  <c r="AD595" i="34"/>
  <c r="AD596" i="34"/>
  <c r="AD601" i="34"/>
  <c r="AD626" i="34"/>
  <c r="AD672" i="34"/>
  <c r="AD675" i="34"/>
  <c r="AD680" i="34"/>
  <c r="AD681" i="34"/>
  <c r="AD704" i="34"/>
  <c r="AD716" i="34"/>
  <c r="AD719" i="34"/>
  <c r="AD729" i="34"/>
  <c r="AD764" i="34"/>
  <c r="AD766" i="34"/>
  <c r="AD768" i="34"/>
  <c r="AD773" i="34"/>
  <c r="AD783" i="34"/>
  <c r="AD836" i="34"/>
  <c r="AE38" i="34"/>
  <c r="AE45" i="34"/>
  <c r="AE51" i="34"/>
  <c r="AE91" i="34"/>
  <c r="AE97" i="34"/>
  <c r="AE101" i="34"/>
  <c r="AE144" i="34"/>
  <c r="AE148" i="34"/>
  <c r="AE161" i="34"/>
  <c r="AE167" i="34"/>
  <c r="AE168" i="34"/>
  <c r="AE171" i="34"/>
  <c r="AE175" i="34"/>
  <c r="AE199" i="34"/>
  <c r="AE205" i="34"/>
  <c r="AE206" i="34"/>
  <c r="AE230" i="34"/>
  <c r="AE237" i="34"/>
  <c r="AE238" i="34"/>
  <c r="AE244" i="34"/>
  <c r="AE261" i="34"/>
  <c r="AE268" i="34"/>
  <c r="AE269" i="34"/>
  <c r="AE271" i="34"/>
  <c r="AE294" i="34"/>
  <c r="AE295" i="34"/>
  <c r="AE301" i="34"/>
  <c r="AE310" i="34"/>
  <c r="AE312" i="34"/>
  <c r="AE320" i="34"/>
  <c r="AE329" i="34"/>
  <c r="AE332" i="34"/>
  <c r="AE334" i="34"/>
  <c r="AE335" i="34"/>
  <c r="AE350" i="34"/>
  <c r="AE364" i="34"/>
  <c r="AE373" i="34"/>
  <c r="AE380" i="34"/>
  <c r="AE381" i="34"/>
  <c r="AE397" i="34"/>
  <c r="AE407" i="34"/>
  <c r="AE414" i="34"/>
  <c r="AE442" i="34"/>
  <c r="AE449" i="34"/>
  <c r="AE451" i="34"/>
  <c r="AE456" i="34"/>
  <c r="AE458" i="34"/>
  <c r="AE476" i="34"/>
  <c r="AE477" i="34"/>
  <c r="AE505" i="34"/>
  <c r="AE519" i="34"/>
  <c r="AE549" i="34"/>
  <c r="AE550" i="34"/>
  <c r="AE552" i="34"/>
  <c r="AE556" i="34"/>
  <c r="AE569" i="34"/>
  <c r="AE580" i="34"/>
  <c r="AE588" i="34"/>
  <c r="AE589" i="34"/>
  <c r="AE595" i="34"/>
  <c r="AE596" i="34"/>
  <c r="AE601" i="34"/>
  <c r="AE626" i="34"/>
  <c r="AE672" i="34"/>
  <c r="AE675" i="34"/>
  <c r="AE680" i="34"/>
  <c r="AE681" i="34"/>
  <c r="AE704" i="34"/>
  <c r="AE716" i="34"/>
  <c r="AE719" i="34"/>
  <c r="AE729" i="34"/>
  <c r="AE764" i="34"/>
  <c r="AE766" i="34"/>
  <c r="AE768" i="34"/>
  <c r="AE773" i="34"/>
  <c r="AE783" i="34"/>
  <c r="AE836" i="34"/>
  <c r="AF38" i="34"/>
  <c r="AF45" i="34"/>
  <c r="AF51" i="34"/>
  <c r="AF91" i="34"/>
  <c r="AF97" i="34"/>
  <c r="AF101" i="34"/>
  <c r="AF144" i="34"/>
  <c r="AF148" i="34"/>
  <c r="AF161" i="34"/>
  <c r="AF167" i="34"/>
  <c r="AF168" i="34"/>
  <c r="AF171" i="34"/>
  <c r="AF175" i="34"/>
  <c r="AF199" i="34"/>
  <c r="AF205" i="34"/>
  <c r="AF206" i="34"/>
  <c r="AF230" i="34"/>
  <c r="AF237" i="34"/>
  <c r="AF238" i="34"/>
  <c r="AF244" i="34"/>
  <c r="AF261" i="34"/>
  <c r="AF268" i="34"/>
  <c r="AF269" i="34"/>
  <c r="AF271" i="34"/>
  <c r="AF294" i="34"/>
  <c r="AF295" i="34"/>
  <c r="AF301" i="34"/>
  <c r="AF310" i="34"/>
  <c r="AF312" i="34"/>
  <c r="AF320" i="34"/>
  <c r="AF329" i="34"/>
  <c r="AF332" i="34"/>
  <c r="AF334" i="34"/>
  <c r="AF335" i="34"/>
  <c r="AF350" i="34"/>
  <c r="AF364" i="34"/>
  <c r="AF373" i="34"/>
  <c r="AF380" i="34"/>
  <c r="AF381" i="34"/>
  <c r="AF397" i="34"/>
  <c r="AF407" i="34"/>
  <c r="AF414" i="34"/>
  <c r="AF442" i="34"/>
  <c r="AF449" i="34"/>
  <c r="AF451" i="34"/>
  <c r="AF456" i="34"/>
  <c r="AF458" i="34"/>
  <c r="AF476" i="34"/>
  <c r="AF477" i="34"/>
  <c r="AF505" i="34"/>
  <c r="AF519" i="34"/>
  <c r="AF549" i="34"/>
  <c r="AF550" i="34"/>
  <c r="AF552" i="34"/>
  <c r="AF556" i="34"/>
  <c r="AF569" i="34"/>
  <c r="AF580" i="34"/>
  <c r="AF588" i="34"/>
  <c r="AF589" i="34"/>
  <c r="AF595" i="34"/>
  <c r="AF596" i="34"/>
  <c r="AF601" i="34"/>
  <c r="AF626" i="34"/>
  <c r="AF672" i="34"/>
  <c r="AF675" i="34"/>
  <c r="AF680" i="34"/>
  <c r="AF681" i="34"/>
  <c r="AF704" i="34"/>
  <c r="AF716" i="34"/>
  <c r="AF719" i="34"/>
  <c r="AF729" i="34"/>
  <c r="AF764" i="34"/>
  <c r="AF766" i="34"/>
  <c r="AF768" i="34"/>
  <c r="AF773" i="34"/>
  <c r="AF783" i="34"/>
  <c r="AF836" i="34"/>
  <c r="AG38" i="34"/>
  <c r="AG45" i="34"/>
  <c r="AG51" i="34"/>
  <c r="AG91" i="34"/>
  <c r="AG97" i="34"/>
  <c r="AG101" i="34"/>
  <c r="AG144" i="34"/>
  <c r="AG148" i="34"/>
  <c r="AG161" i="34"/>
  <c r="AG167" i="34"/>
  <c r="AG168" i="34"/>
  <c r="AG171" i="34"/>
  <c r="AG175" i="34"/>
  <c r="AG199" i="34"/>
  <c r="AG205" i="34"/>
  <c r="AG206" i="34"/>
  <c r="AG230" i="34"/>
  <c r="AG237" i="34"/>
  <c r="AG238" i="34"/>
  <c r="AG244" i="34"/>
  <c r="AG261" i="34"/>
  <c r="AG268" i="34"/>
  <c r="AG269" i="34"/>
  <c r="AG271" i="34"/>
  <c r="AG294" i="34"/>
  <c r="AG295" i="34"/>
  <c r="AG301" i="34"/>
  <c r="AG310" i="34"/>
  <c r="AG312" i="34"/>
  <c r="AG320" i="34"/>
  <c r="AG329" i="34"/>
  <c r="AG332" i="34"/>
  <c r="AG334" i="34"/>
  <c r="AG335" i="34"/>
  <c r="AG350" i="34"/>
  <c r="AG364" i="34"/>
  <c r="AG373" i="34"/>
  <c r="AG380" i="34"/>
  <c r="AG381" i="34"/>
  <c r="AG397" i="34"/>
  <c r="AG407" i="34"/>
  <c r="AG414" i="34"/>
  <c r="AG442" i="34"/>
  <c r="AG449" i="34"/>
  <c r="AG451" i="34"/>
  <c r="AG456" i="34"/>
  <c r="AG458" i="34"/>
  <c r="AG476" i="34"/>
  <c r="AG477" i="34"/>
  <c r="AG505" i="34"/>
  <c r="AG519" i="34"/>
  <c r="AG549" i="34"/>
  <c r="AG550" i="34"/>
  <c r="AG552" i="34"/>
  <c r="AG556" i="34"/>
  <c r="AG569" i="34"/>
  <c r="AG580" i="34"/>
  <c r="AG588" i="34"/>
  <c r="AG589" i="34"/>
  <c r="AG595" i="34"/>
  <c r="AG596" i="34"/>
  <c r="AG601" i="34"/>
  <c r="AG626" i="34"/>
  <c r="AG672" i="34"/>
  <c r="AG675" i="34"/>
  <c r="AG680" i="34"/>
  <c r="AG681" i="34"/>
  <c r="AG704" i="34"/>
  <c r="AG716" i="34"/>
  <c r="AG719" i="34"/>
  <c r="AG729" i="34"/>
  <c r="AG764" i="34"/>
  <c r="AG766" i="34"/>
  <c r="AG768" i="34"/>
  <c r="AG773" i="34"/>
  <c r="AG783" i="34"/>
  <c r="AG836" i="34"/>
  <c r="D837" i="34"/>
  <c r="D74" i="34"/>
  <c r="D90" i="34"/>
  <c r="D94" i="34"/>
  <c r="D98" i="34"/>
  <c r="D108" i="34"/>
  <c r="D112" i="34"/>
  <c r="D113" i="34"/>
  <c r="D115" i="34"/>
  <c r="D121" i="34"/>
  <c r="D123" i="34"/>
  <c r="D129" i="34"/>
  <c r="D136" i="34"/>
  <c r="D137" i="34"/>
  <c r="D181" i="34"/>
  <c r="D184" i="34"/>
  <c r="D221" i="34"/>
  <c r="D234" i="34"/>
  <c r="D245" i="34"/>
  <c r="D259" i="34"/>
  <c r="D260" i="34"/>
  <c r="D266" i="34"/>
  <c r="D311" i="34"/>
  <c r="D322" i="34"/>
  <c r="D324" i="34"/>
  <c r="D330" i="34"/>
  <c r="D336" i="34"/>
  <c r="D346" i="34"/>
  <c r="D367" i="34"/>
  <c r="D368" i="34"/>
  <c r="D370" i="34"/>
  <c r="D383" i="34"/>
  <c r="D385" i="34"/>
  <c r="D417" i="34"/>
  <c r="D430" i="34"/>
  <c r="D443" i="34"/>
  <c r="D454" i="34"/>
  <c r="D464" i="34"/>
  <c r="D471" i="34"/>
  <c r="D478" i="34"/>
  <c r="D491" i="34"/>
  <c r="D497" i="34"/>
  <c r="D510" i="34"/>
  <c r="D513" i="34"/>
  <c r="D529" i="34"/>
  <c r="D557" i="34"/>
  <c r="D578" i="34"/>
  <c r="D584" i="34"/>
  <c r="D585" i="34"/>
  <c r="D591" i="34"/>
  <c r="D600" i="34"/>
  <c r="D632" i="34"/>
  <c r="D639" i="34"/>
  <c r="D645" i="34"/>
  <c r="D650" i="34"/>
  <c r="D658" i="34"/>
  <c r="D666" i="34"/>
  <c r="D670" i="34"/>
  <c r="D671" i="34"/>
  <c r="D693" i="34"/>
  <c r="D707" i="34"/>
  <c r="D715" i="34"/>
  <c r="D739" i="34"/>
  <c r="D767" i="34"/>
  <c r="D803" i="34"/>
  <c r="D823" i="34"/>
  <c r="D831" i="34"/>
  <c r="D834" i="34"/>
  <c r="D835" i="34"/>
  <c r="O837" i="34"/>
  <c r="O74" i="34"/>
  <c r="O90" i="34"/>
  <c r="O94" i="34"/>
  <c r="O98" i="34"/>
  <c r="O108" i="34"/>
  <c r="O112" i="34"/>
  <c r="O113" i="34"/>
  <c r="O115" i="34"/>
  <c r="O121" i="34"/>
  <c r="O123" i="34"/>
  <c r="O129" i="34"/>
  <c r="O136" i="34"/>
  <c r="O137" i="34"/>
  <c r="O181" i="34"/>
  <c r="O184" i="34"/>
  <c r="O221" i="34"/>
  <c r="O234" i="34"/>
  <c r="O245" i="34"/>
  <c r="O259" i="34"/>
  <c r="O260" i="34"/>
  <c r="O266" i="34"/>
  <c r="O311" i="34"/>
  <c r="O322" i="34"/>
  <c r="O324" i="34"/>
  <c r="O330" i="34"/>
  <c r="O336" i="34"/>
  <c r="O346" i="34"/>
  <c r="O367" i="34"/>
  <c r="O368" i="34"/>
  <c r="O370" i="34"/>
  <c r="O383" i="34"/>
  <c r="O385" i="34"/>
  <c r="O417" i="34"/>
  <c r="O430" i="34"/>
  <c r="O443" i="34"/>
  <c r="O454" i="34"/>
  <c r="O464" i="34"/>
  <c r="O471" i="34"/>
  <c r="O478" i="34"/>
  <c r="O491" i="34"/>
  <c r="O497" i="34"/>
  <c r="O510" i="34"/>
  <c r="O513" i="34"/>
  <c r="O529" i="34"/>
  <c r="O557" i="34"/>
  <c r="O578" i="34"/>
  <c r="O584" i="34"/>
  <c r="O585" i="34"/>
  <c r="O591" i="34"/>
  <c r="O600" i="34"/>
  <c r="O632" i="34"/>
  <c r="O639" i="34"/>
  <c r="O645" i="34"/>
  <c r="O650" i="34"/>
  <c r="O658" i="34"/>
  <c r="O666" i="34"/>
  <c r="O670" i="34"/>
  <c r="O671" i="34"/>
  <c r="O693" i="34"/>
  <c r="O707" i="34"/>
  <c r="O715" i="34"/>
  <c r="O739" i="34"/>
  <c r="O767" i="34"/>
  <c r="O803" i="34"/>
  <c r="O823" i="34"/>
  <c r="O831" i="34"/>
  <c r="O834" i="34"/>
  <c r="O835" i="34"/>
  <c r="P837" i="34"/>
  <c r="P74" i="34"/>
  <c r="P90" i="34"/>
  <c r="P94" i="34"/>
  <c r="P98" i="34"/>
  <c r="P108" i="34"/>
  <c r="P112" i="34"/>
  <c r="P113" i="34"/>
  <c r="P115" i="34"/>
  <c r="P121" i="34"/>
  <c r="P123" i="34"/>
  <c r="P129" i="34"/>
  <c r="P136" i="34"/>
  <c r="P137" i="34"/>
  <c r="P181" i="34"/>
  <c r="P184" i="34"/>
  <c r="P221" i="34"/>
  <c r="P234" i="34"/>
  <c r="P245" i="34"/>
  <c r="P259" i="34"/>
  <c r="P260" i="34"/>
  <c r="P266" i="34"/>
  <c r="P311" i="34"/>
  <c r="P322" i="34"/>
  <c r="P324" i="34"/>
  <c r="P330" i="34"/>
  <c r="P336" i="34"/>
  <c r="P346" i="34"/>
  <c r="P367" i="34"/>
  <c r="P368" i="34"/>
  <c r="P370" i="34"/>
  <c r="P383" i="34"/>
  <c r="P385" i="34"/>
  <c r="P417" i="34"/>
  <c r="P430" i="34"/>
  <c r="P443" i="34"/>
  <c r="P454" i="34"/>
  <c r="P464" i="34"/>
  <c r="P471" i="34"/>
  <c r="P478" i="34"/>
  <c r="P491" i="34"/>
  <c r="P497" i="34"/>
  <c r="P510" i="34"/>
  <c r="P513" i="34"/>
  <c r="P529" i="34"/>
  <c r="P557" i="34"/>
  <c r="P578" i="34"/>
  <c r="P584" i="34"/>
  <c r="P585" i="34"/>
  <c r="P591" i="34"/>
  <c r="P600" i="34"/>
  <c r="P632" i="34"/>
  <c r="P639" i="34"/>
  <c r="P645" i="34"/>
  <c r="P650" i="34"/>
  <c r="P658" i="34"/>
  <c r="P666" i="34"/>
  <c r="P670" i="34"/>
  <c r="P671" i="34"/>
  <c r="P693" i="34"/>
  <c r="P707" i="34"/>
  <c r="P715" i="34"/>
  <c r="P739" i="34"/>
  <c r="P767" i="34"/>
  <c r="P803" i="34"/>
  <c r="P823" i="34"/>
  <c r="P831" i="34"/>
  <c r="P834" i="34"/>
  <c r="P835" i="34"/>
  <c r="Q837" i="34"/>
  <c r="Q74" i="34"/>
  <c r="Q90" i="34"/>
  <c r="Q94" i="34"/>
  <c r="Q98" i="34"/>
  <c r="Q108" i="34"/>
  <c r="Q112" i="34"/>
  <c r="Q113" i="34"/>
  <c r="Q115" i="34"/>
  <c r="Q121" i="34"/>
  <c r="Q123" i="34"/>
  <c r="Q129" i="34"/>
  <c r="Q136" i="34"/>
  <c r="Q137" i="34"/>
  <c r="Q181" i="34"/>
  <c r="Q184" i="34"/>
  <c r="Q221" i="34"/>
  <c r="Q234" i="34"/>
  <c r="Q245" i="34"/>
  <c r="Q259" i="34"/>
  <c r="Q260" i="34"/>
  <c r="Q266" i="34"/>
  <c r="Q311" i="34"/>
  <c r="Q322" i="34"/>
  <c r="Q324" i="34"/>
  <c r="Q330" i="34"/>
  <c r="Q336" i="34"/>
  <c r="Q346" i="34"/>
  <c r="Q367" i="34"/>
  <c r="Q368" i="34"/>
  <c r="Q370" i="34"/>
  <c r="Q383" i="34"/>
  <c r="Q385" i="34"/>
  <c r="Q417" i="34"/>
  <c r="Q430" i="34"/>
  <c r="Q443" i="34"/>
  <c r="Q454" i="34"/>
  <c r="Q464" i="34"/>
  <c r="Q471" i="34"/>
  <c r="Q478" i="34"/>
  <c r="Q491" i="34"/>
  <c r="Q497" i="34"/>
  <c r="Q510" i="34"/>
  <c r="Q513" i="34"/>
  <c r="Q529" i="34"/>
  <c r="Q557" i="34"/>
  <c r="Q578" i="34"/>
  <c r="Q584" i="34"/>
  <c r="Q585" i="34"/>
  <c r="Q591" i="34"/>
  <c r="Q600" i="34"/>
  <c r="Q632" i="34"/>
  <c r="Q639" i="34"/>
  <c r="Q645" i="34"/>
  <c r="Q650" i="34"/>
  <c r="Q658" i="34"/>
  <c r="Q666" i="34"/>
  <c r="Q670" i="34"/>
  <c r="Q671" i="34"/>
  <c r="Q693" i="34"/>
  <c r="Q707" i="34"/>
  <c r="Q715" i="34"/>
  <c r="Q739" i="34"/>
  <c r="Q767" i="34"/>
  <c r="Q803" i="34"/>
  <c r="Q823" i="34"/>
  <c r="Q831" i="34"/>
  <c r="Q834" i="34"/>
  <c r="Q835" i="34"/>
  <c r="U837" i="34"/>
  <c r="U74" i="34"/>
  <c r="U90" i="34"/>
  <c r="U94" i="34"/>
  <c r="U98" i="34"/>
  <c r="U108" i="34"/>
  <c r="U112" i="34"/>
  <c r="U113" i="34"/>
  <c r="U115" i="34"/>
  <c r="U121" i="34"/>
  <c r="U123" i="34"/>
  <c r="U129" i="34"/>
  <c r="U136" i="34"/>
  <c r="U137" i="34"/>
  <c r="U181" i="34"/>
  <c r="U184" i="34"/>
  <c r="U221" i="34"/>
  <c r="U234" i="34"/>
  <c r="U245" i="34"/>
  <c r="U259" i="34"/>
  <c r="U260" i="34"/>
  <c r="U266" i="34"/>
  <c r="U311" i="34"/>
  <c r="U322" i="34"/>
  <c r="U324" i="34"/>
  <c r="U330" i="34"/>
  <c r="U336" i="34"/>
  <c r="U346" i="34"/>
  <c r="U367" i="34"/>
  <c r="U368" i="34"/>
  <c r="U370" i="34"/>
  <c r="U383" i="34"/>
  <c r="U385" i="34"/>
  <c r="U417" i="34"/>
  <c r="U430" i="34"/>
  <c r="U443" i="34"/>
  <c r="U454" i="34"/>
  <c r="U464" i="34"/>
  <c r="U471" i="34"/>
  <c r="U478" i="34"/>
  <c r="U491" i="34"/>
  <c r="U497" i="34"/>
  <c r="U510" i="34"/>
  <c r="U513" i="34"/>
  <c r="U529" i="34"/>
  <c r="U557" i="34"/>
  <c r="U578" i="34"/>
  <c r="U584" i="34"/>
  <c r="U585" i="34"/>
  <c r="U591" i="34"/>
  <c r="U600" i="34"/>
  <c r="U632" i="34"/>
  <c r="U639" i="34"/>
  <c r="U645" i="34"/>
  <c r="U650" i="34"/>
  <c r="U658" i="34"/>
  <c r="U666" i="34"/>
  <c r="U670" i="34"/>
  <c r="U671" i="34"/>
  <c r="U693" i="34"/>
  <c r="U707" i="34"/>
  <c r="U715" i="34"/>
  <c r="U739" i="34"/>
  <c r="U767" i="34"/>
  <c r="U803" i="34"/>
  <c r="U823" i="34"/>
  <c r="U831" i="34"/>
  <c r="U834" i="34"/>
  <c r="U835" i="34"/>
  <c r="V837" i="34"/>
  <c r="V74" i="34"/>
  <c r="V90" i="34"/>
  <c r="V94" i="34"/>
  <c r="V98" i="34"/>
  <c r="V108" i="34"/>
  <c r="V112" i="34"/>
  <c r="V113" i="34"/>
  <c r="V115" i="34"/>
  <c r="V121" i="34"/>
  <c r="V123" i="34"/>
  <c r="V129" i="34"/>
  <c r="V136" i="34"/>
  <c r="V137" i="34"/>
  <c r="V181" i="34"/>
  <c r="V184" i="34"/>
  <c r="V221" i="34"/>
  <c r="V234" i="34"/>
  <c r="V245" i="34"/>
  <c r="V259" i="34"/>
  <c r="V260" i="34"/>
  <c r="V266" i="34"/>
  <c r="V311" i="34"/>
  <c r="V322" i="34"/>
  <c r="V324" i="34"/>
  <c r="V330" i="34"/>
  <c r="V336" i="34"/>
  <c r="V346" i="34"/>
  <c r="V367" i="34"/>
  <c r="V368" i="34"/>
  <c r="V370" i="34"/>
  <c r="V383" i="34"/>
  <c r="V385" i="34"/>
  <c r="V417" i="34"/>
  <c r="V430" i="34"/>
  <c r="V443" i="34"/>
  <c r="V454" i="34"/>
  <c r="V464" i="34"/>
  <c r="V471" i="34"/>
  <c r="V478" i="34"/>
  <c r="V491" i="34"/>
  <c r="V497" i="34"/>
  <c r="V510" i="34"/>
  <c r="V513" i="34"/>
  <c r="V529" i="34"/>
  <c r="V557" i="34"/>
  <c r="V578" i="34"/>
  <c r="V584" i="34"/>
  <c r="V585" i="34"/>
  <c r="V591" i="34"/>
  <c r="V600" i="34"/>
  <c r="V632" i="34"/>
  <c r="V639" i="34"/>
  <c r="V645" i="34"/>
  <c r="V650" i="34"/>
  <c r="V658" i="34"/>
  <c r="V666" i="34"/>
  <c r="V670" i="34"/>
  <c r="V671" i="34"/>
  <c r="V693" i="34"/>
  <c r="V707" i="34"/>
  <c r="V715" i="34"/>
  <c r="V739" i="34"/>
  <c r="V767" i="34"/>
  <c r="V803" i="34"/>
  <c r="V823" i="34"/>
  <c r="V831" i="34"/>
  <c r="V834" i="34"/>
  <c r="V835" i="34"/>
  <c r="W837" i="34"/>
  <c r="W74" i="34"/>
  <c r="W90" i="34"/>
  <c r="W94" i="34"/>
  <c r="W98" i="34"/>
  <c r="W108" i="34"/>
  <c r="W112" i="34"/>
  <c r="W113" i="34"/>
  <c r="W115" i="34"/>
  <c r="W121" i="34"/>
  <c r="W123" i="34"/>
  <c r="W129" i="34"/>
  <c r="W136" i="34"/>
  <c r="W137" i="34"/>
  <c r="W181" i="34"/>
  <c r="W184" i="34"/>
  <c r="W221" i="34"/>
  <c r="W234" i="34"/>
  <c r="W245" i="34"/>
  <c r="W259" i="34"/>
  <c r="W260" i="34"/>
  <c r="W266" i="34"/>
  <c r="W311" i="34"/>
  <c r="W322" i="34"/>
  <c r="W324" i="34"/>
  <c r="W330" i="34"/>
  <c r="W336" i="34"/>
  <c r="W346" i="34"/>
  <c r="W367" i="34"/>
  <c r="W368" i="34"/>
  <c r="W370" i="34"/>
  <c r="W383" i="34"/>
  <c r="W385" i="34"/>
  <c r="W417" i="34"/>
  <c r="W430" i="34"/>
  <c r="W443" i="34"/>
  <c r="W454" i="34"/>
  <c r="W464" i="34"/>
  <c r="W471" i="34"/>
  <c r="W478" i="34"/>
  <c r="W491" i="34"/>
  <c r="W497" i="34"/>
  <c r="W510" i="34"/>
  <c r="W513" i="34"/>
  <c r="W529" i="34"/>
  <c r="W557" i="34"/>
  <c r="W578" i="34"/>
  <c r="W584" i="34"/>
  <c r="W585" i="34"/>
  <c r="W591" i="34"/>
  <c r="W600" i="34"/>
  <c r="W632" i="34"/>
  <c r="W639" i="34"/>
  <c r="W645" i="34"/>
  <c r="W650" i="34"/>
  <c r="W658" i="34"/>
  <c r="W666" i="34"/>
  <c r="W670" i="34"/>
  <c r="W671" i="34"/>
  <c r="W693" i="34"/>
  <c r="W707" i="34"/>
  <c r="W715" i="34"/>
  <c r="W739" i="34"/>
  <c r="W767" i="34"/>
  <c r="W803" i="34"/>
  <c r="W823" i="34"/>
  <c r="W831" i="34"/>
  <c r="W834" i="34"/>
  <c r="W835" i="34"/>
  <c r="X837" i="34"/>
  <c r="X74" i="34"/>
  <c r="X90" i="34"/>
  <c r="X94" i="34"/>
  <c r="X98" i="34"/>
  <c r="X108" i="34"/>
  <c r="X112" i="34"/>
  <c r="X113" i="34"/>
  <c r="X115" i="34"/>
  <c r="X121" i="34"/>
  <c r="X123" i="34"/>
  <c r="X129" i="34"/>
  <c r="X136" i="34"/>
  <c r="X137" i="34"/>
  <c r="X181" i="34"/>
  <c r="X184" i="34"/>
  <c r="X221" i="34"/>
  <c r="X234" i="34"/>
  <c r="X245" i="34"/>
  <c r="X259" i="34"/>
  <c r="X260" i="34"/>
  <c r="X266" i="34"/>
  <c r="X311" i="34"/>
  <c r="X322" i="34"/>
  <c r="X324" i="34"/>
  <c r="X330" i="34"/>
  <c r="X336" i="34"/>
  <c r="X346" i="34"/>
  <c r="X367" i="34"/>
  <c r="X368" i="34"/>
  <c r="X370" i="34"/>
  <c r="X383" i="34"/>
  <c r="X385" i="34"/>
  <c r="X417" i="34"/>
  <c r="X430" i="34"/>
  <c r="X443" i="34"/>
  <c r="X454" i="34"/>
  <c r="X464" i="34"/>
  <c r="X471" i="34"/>
  <c r="X478" i="34"/>
  <c r="X491" i="34"/>
  <c r="X497" i="34"/>
  <c r="X510" i="34"/>
  <c r="X513" i="34"/>
  <c r="X529" i="34"/>
  <c r="X557" i="34"/>
  <c r="X578" i="34"/>
  <c r="X584" i="34"/>
  <c r="X585" i="34"/>
  <c r="X591" i="34"/>
  <c r="X600" i="34"/>
  <c r="X632" i="34"/>
  <c r="X639" i="34"/>
  <c r="X645" i="34"/>
  <c r="X650" i="34"/>
  <c r="X658" i="34"/>
  <c r="X666" i="34"/>
  <c r="X670" i="34"/>
  <c r="X671" i="34"/>
  <c r="X693" i="34"/>
  <c r="X707" i="34"/>
  <c r="X715" i="34"/>
  <c r="X739" i="34"/>
  <c r="X767" i="34"/>
  <c r="X803" i="34"/>
  <c r="X823" i="34"/>
  <c r="X831" i="34"/>
  <c r="X834" i="34"/>
  <c r="X835" i="34"/>
  <c r="Y837" i="34"/>
  <c r="Y74" i="34"/>
  <c r="Y90" i="34"/>
  <c r="Y94" i="34"/>
  <c r="Y98" i="34"/>
  <c r="Y108" i="34"/>
  <c r="Y112" i="34"/>
  <c r="Y113" i="34"/>
  <c r="Y115" i="34"/>
  <c r="Y121" i="34"/>
  <c r="Y123" i="34"/>
  <c r="Y129" i="34"/>
  <c r="Y136" i="34"/>
  <c r="Y137" i="34"/>
  <c r="Y181" i="34"/>
  <c r="Y184" i="34"/>
  <c r="Y221" i="34"/>
  <c r="Y234" i="34"/>
  <c r="Y245" i="34"/>
  <c r="Y259" i="34"/>
  <c r="Y260" i="34"/>
  <c r="Y266" i="34"/>
  <c r="Y311" i="34"/>
  <c r="Y322" i="34"/>
  <c r="Y324" i="34"/>
  <c r="Y330" i="34"/>
  <c r="Y336" i="34"/>
  <c r="Y346" i="34"/>
  <c r="Y367" i="34"/>
  <c r="Y368" i="34"/>
  <c r="Y370" i="34"/>
  <c r="Y383" i="34"/>
  <c r="Y385" i="34"/>
  <c r="Y417" i="34"/>
  <c r="Y430" i="34"/>
  <c r="Y443" i="34"/>
  <c r="Y454" i="34"/>
  <c r="Y464" i="34"/>
  <c r="Y471" i="34"/>
  <c r="Y478" i="34"/>
  <c r="Y491" i="34"/>
  <c r="Y497" i="34"/>
  <c r="Y510" i="34"/>
  <c r="Y513" i="34"/>
  <c r="Y529" i="34"/>
  <c r="Y557" i="34"/>
  <c r="Y578" i="34"/>
  <c r="Y584" i="34"/>
  <c r="Y585" i="34"/>
  <c r="Y591" i="34"/>
  <c r="Y600" i="34"/>
  <c r="Y632" i="34"/>
  <c r="Y639" i="34"/>
  <c r="Y645" i="34"/>
  <c r="Y650" i="34"/>
  <c r="Y658" i="34"/>
  <c r="Y666" i="34"/>
  <c r="Y670" i="34"/>
  <c r="Y671" i="34"/>
  <c r="Y693" i="34"/>
  <c r="Y707" i="34"/>
  <c r="Y715" i="34"/>
  <c r="Y739" i="34"/>
  <c r="Y767" i="34"/>
  <c r="Y803" i="34"/>
  <c r="Y823" i="34"/>
  <c r="Y831" i="34"/>
  <c r="Y834" i="34"/>
  <c r="Y835" i="34"/>
  <c r="Z837" i="34"/>
  <c r="Z74" i="34"/>
  <c r="Z90" i="34"/>
  <c r="Z94" i="34"/>
  <c r="Z98" i="34"/>
  <c r="Z108" i="34"/>
  <c r="Z112" i="34"/>
  <c r="Z113" i="34"/>
  <c r="Z115" i="34"/>
  <c r="Z121" i="34"/>
  <c r="Z123" i="34"/>
  <c r="Z129" i="34"/>
  <c r="Z136" i="34"/>
  <c r="Z137" i="34"/>
  <c r="Z181" i="34"/>
  <c r="Z184" i="34"/>
  <c r="Z221" i="34"/>
  <c r="Z234" i="34"/>
  <c r="Z245" i="34"/>
  <c r="Z259" i="34"/>
  <c r="Z260" i="34"/>
  <c r="Z266" i="34"/>
  <c r="Z311" i="34"/>
  <c r="Z322" i="34"/>
  <c r="Z324" i="34"/>
  <c r="Z330" i="34"/>
  <c r="Z336" i="34"/>
  <c r="Z346" i="34"/>
  <c r="Z367" i="34"/>
  <c r="Z368" i="34"/>
  <c r="Z370" i="34"/>
  <c r="Z383" i="34"/>
  <c r="Z385" i="34"/>
  <c r="Z417" i="34"/>
  <c r="Z430" i="34"/>
  <c r="Z443" i="34"/>
  <c r="Z454" i="34"/>
  <c r="Z464" i="34"/>
  <c r="Z471" i="34"/>
  <c r="Z478" i="34"/>
  <c r="Z491" i="34"/>
  <c r="Z497" i="34"/>
  <c r="Z510" i="34"/>
  <c r="Z513" i="34"/>
  <c r="Z529" i="34"/>
  <c r="Z557" i="34"/>
  <c r="Z578" i="34"/>
  <c r="Z584" i="34"/>
  <c r="Z585" i="34"/>
  <c r="Z591" i="34"/>
  <c r="Z600" i="34"/>
  <c r="Z632" i="34"/>
  <c r="Z639" i="34"/>
  <c r="Z645" i="34"/>
  <c r="Z650" i="34"/>
  <c r="Z658" i="34"/>
  <c r="Z666" i="34"/>
  <c r="Z670" i="34"/>
  <c r="Z671" i="34"/>
  <c r="Z693" i="34"/>
  <c r="Z707" i="34"/>
  <c r="Z715" i="34"/>
  <c r="Z739" i="34"/>
  <c r="Z767" i="34"/>
  <c r="Z803" i="34"/>
  <c r="Z823" i="34"/>
  <c r="Z831" i="34"/>
  <c r="Z834" i="34"/>
  <c r="Z835" i="34"/>
  <c r="AA837" i="34"/>
  <c r="AA74" i="34"/>
  <c r="AA90" i="34"/>
  <c r="AA94" i="34"/>
  <c r="AA98" i="34"/>
  <c r="AA108" i="34"/>
  <c r="AA112" i="34"/>
  <c r="AA113" i="34"/>
  <c r="AA115" i="34"/>
  <c r="AA121" i="34"/>
  <c r="AA123" i="34"/>
  <c r="AA129" i="34"/>
  <c r="AA136" i="34"/>
  <c r="AA137" i="34"/>
  <c r="AA181" i="34"/>
  <c r="AA184" i="34"/>
  <c r="AA221" i="34"/>
  <c r="AA234" i="34"/>
  <c r="AA245" i="34"/>
  <c r="AA259" i="34"/>
  <c r="AA260" i="34"/>
  <c r="AA266" i="34"/>
  <c r="AA311" i="34"/>
  <c r="AA322" i="34"/>
  <c r="AA324" i="34"/>
  <c r="AA330" i="34"/>
  <c r="AA336" i="34"/>
  <c r="AA346" i="34"/>
  <c r="AA367" i="34"/>
  <c r="AA368" i="34"/>
  <c r="AA370" i="34"/>
  <c r="AA383" i="34"/>
  <c r="AA385" i="34"/>
  <c r="AA417" i="34"/>
  <c r="AA430" i="34"/>
  <c r="AA443" i="34"/>
  <c r="AA454" i="34"/>
  <c r="AA464" i="34"/>
  <c r="AA471" i="34"/>
  <c r="AA478" i="34"/>
  <c r="AA491" i="34"/>
  <c r="AA497" i="34"/>
  <c r="AA510" i="34"/>
  <c r="AA513" i="34"/>
  <c r="AA529" i="34"/>
  <c r="AA557" i="34"/>
  <c r="AA578" i="34"/>
  <c r="AA584" i="34"/>
  <c r="AA585" i="34"/>
  <c r="AA591" i="34"/>
  <c r="AA600" i="34"/>
  <c r="AA632" i="34"/>
  <c r="AA639" i="34"/>
  <c r="AA645" i="34"/>
  <c r="AA650" i="34"/>
  <c r="AA658" i="34"/>
  <c r="AA666" i="34"/>
  <c r="AA670" i="34"/>
  <c r="AA671" i="34"/>
  <c r="AA693" i="34"/>
  <c r="AA707" i="34"/>
  <c r="AA715" i="34"/>
  <c r="AA739" i="34"/>
  <c r="AA767" i="34"/>
  <c r="AA803" i="34"/>
  <c r="AA823" i="34"/>
  <c r="AA831" i="34"/>
  <c r="AA834" i="34"/>
  <c r="AA835" i="34"/>
  <c r="AB837" i="34"/>
  <c r="AB74" i="34"/>
  <c r="AB90" i="34"/>
  <c r="AB94" i="34"/>
  <c r="AB98" i="34"/>
  <c r="AB108" i="34"/>
  <c r="AB112" i="34"/>
  <c r="AB113" i="34"/>
  <c r="AB115" i="34"/>
  <c r="AB121" i="34"/>
  <c r="AB123" i="34"/>
  <c r="AB129" i="34"/>
  <c r="AB136" i="34"/>
  <c r="AB137" i="34"/>
  <c r="AB181" i="34"/>
  <c r="AB184" i="34"/>
  <c r="AB221" i="34"/>
  <c r="AB234" i="34"/>
  <c r="AB245" i="34"/>
  <c r="AB259" i="34"/>
  <c r="AB260" i="34"/>
  <c r="AB266" i="34"/>
  <c r="AB311" i="34"/>
  <c r="AB322" i="34"/>
  <c r="AB324" i="34"/>
  <c r="AB330" i="34"/>
  <c r="AB336" i="34"/>
  <c r="AB346" i="34"/>
  <c r="AB367" i="34"/>
  <c r="AB368" i="34"/>
  <c r="AB370" i="34"/>
  <c r="AB383" i="34"/>
  <c r="AB385" i="34"/>
  <c r="AB417" i="34"/>
  <c r="AB430" i="34"/>
  <c r="AB443" i="34"/>
  <c r="AB454" i="34"/>
  <c r="AB464" i="34"/>
  <c r="AB471" i="34"/>
  <c r="AB478" i="34"/>
  <c r="AB491" i="34"/>
  <c r="AB497" i="34"/>
  <c r="AB510" i="34"/>
  <c r="AB513" i="34"/>
  <c r="AB529" i="34"/>
  <c r="AB557" i="34"/>
  <c r="AB578" i="34"/>
  <c r="AB584" i="34"/>
  <c r="AB585" i="34"/>
  <c r="AB591" i="34"/>
  <c r="AB600" i="34"/>
  <c r="AB632" i="34"/>
  <c r="AB639" i="34"/>
  <c r="AB645" i="34"/>
  <c r="AB650" i="34"/>
  <c r="AB658" i="34"/>
  <c r="AB666" i="34"/>
  <c r="AB670" i="34"/>
  <c r="AB671" i="34"/>
  <c r="AB693" i="34"/>
  <c r="AB707" i="34"/>
  <c r="AB715" i="34"/>
  <c r="AB739" i="34"/>
  <c r="AB767" i="34"/>
  <c r="AB803" i="34"/>
  <c r="AB823" i="34"/>
  <c r="AB831" i="34"/>
  <c r="AB834" i="34"/>
  <c r="AB835" i="34"/>
  <c r="AC837" i="34"/>
  <c r="AC74" i="34"/>
  <c r="AC90" i="34"/>
  <c r="AC94" i="34"/>
  <c r="AC98" i="34"/>
  <c r="AC108" i="34"/>
  <c r="AC112" i="34"/>
  <c r="AC113" i="34"/>
  <c r="AC115" i="34"/>
  <c r="AC121" i="34"/>
  <c r="AC123" i="34"/>
  <c r="AC129" i="34"/>
  <c r="AC136" i="34"/>
  <c r="AC137" i="34"/>
  <c r="AC181" i="34"/>
  <c r="AC184" i="34"/>
  <c r="AC221" i="34"/>
  <c r="AC234" i="34"/>
  <c r="AC245" i="34"/>
  <c r="AC259" i="34"/>
  <c r="AC260" i="34"/>
  <c r="AC266" i="34"/>
  <c r="AC311" i="34"/>
  <c r="AC322" i="34"/>
  <c r="AC324" i="34"/>
  <c r="AC330" i="34"/>
  <c r="AC336" i="34"/>
  <c r="AC346" i="34"/>
  <c r="AC367" i="34"/>
  <c r="AC368" i="34"/>
  <c r="AC370" i="34"/>
  <c r="AC383" i="34"/>
  <c r="AC385" i="34"/>
  <c r="AC417" i="34"/>
  <c r="AC430" i="34"/>
  <c r="AC443" i="34"/>
  <c r="AC454" i="34"/>
  <c r="AC464" i="34"/>
  <c r="AC471" i="34"/>
  <c r="AC478" i="34"/>
  <c r="AC491" i="34"/>
  <c r="AC497" i="34"/>
  <c r="AC510" i="34"/>
  <c r="AC513" i="34"/>
  <c r="AC529" i="34"/>
  <c r="AC557" i="34"/>
  <c r="AC578" i="34"/>
  <c r="AC584" i="34"/>
  <c r="AC585" i="34"/>
  <c r="AC591" i="34"/>
  <c r="AC600" i="34"/>
  <c r="AC632" i="34"/>
  <c r="AC639" i="34"/>
  <c r="AC645" i="34"/>
  <c r="AC650" i="34"/>
  <c r="AC658" i="34"/>
  <c r="AC666" i="34"/>
  <c r="AC670" i="34"/>
  <c r="AC671" i="34"/>
  <c r="AC693" i="34"/>
  <c r="AC707" i="34"/>
  <c r="AC715" i="34"/>
  <c r="AC739" i="34"/>
  <c r="AC767" i="34"/>
  <c r="AC803" i="34"/>
  <c r="AC823" i="34"/>
  <c r="AC831" i="34"/>
  <c r="AC834" i="34"/>
  <c r="AC835" i="34"/>
  <c r="AD837" i="34"/>
  <c r="AD74" i="34"/>
  <c r="AD90" i="34"/>
  <c r="AD94" i="34"/>
  <c r="AD98" i="34"/>
  <c r="AD108" i="34"/>
  <c r="AD112" i="34"/>
  <c r="AD113" i="34"/>
  <c r="AD115" i="34"/>
  <c r="AD121" i="34"/>
  <c r="AD123" i="34"/>
  <c r="AD129" i="34"/>
  <c r="AD136" i="34"/>
  <c r="AD137" i="34"/>
  <c r="AD181" i="34"/>
  <c r="AD184" i="34"/>
  <c r="AD221" i="34"/>
  <c r="AD234" i="34"/>
  <c r="AD245" i="34"/>
  <c r="AD259" i="34"/>
  <c r="AD260" i="34"/>
  <c r="AD266" i="34"/>
  <c r="AD311" i="34"/>
  <c r="AD322" i="34"/>
  <c r="AD324" i="34"/>
  <c r="AD330" i="34"/>
  <c r="AD336" i="34"/>
  <c r="AD346" i="34"/>
  <c r="AD367" i="34"/>
  <c r="AD368" i="34"/>
  <c r="AD370" i="34"/>
  <c r="AD383" i="34"/>
  <c r="AD385" i="34"/>
  <c r="AD417" i="34"/>
  <c r="AD430" i="34"/>
  <c r="AD443" i="34"/>
  <c r="AD454" i="34"/>
  <c r="AD464" i="34"/>
  <c r="AD471" i="34"/>
  <c r="AD478" i="34"/>
  <c r="AD491" i="34"/>
  <c r="AD497" i="34"/>
  <c r="AD510" i="34"/>
  <c r="AD513" i="34"/>
  <c r="AD529" i="34"/>
  <c r="AD557" i="34"/>
  <c r="AD578" i="34"/>
  <c r="AD584" i="34"/>
  <c r="AD585" i="34"/>
  <c r="AD591" i="34"/>
  <c r="AD600" i="34"/>
  <c r="AD632" i="34"/>
  <c r="AD639" i="34"/>
  <c r="AD645" i="34"/>
  <c r="AD650" i="34"/>
  <c r="AD658" i="34"/>
  <c r="AD666" i="34"/>
  <c r="AD670" i="34"/>
  <c r="AD671" i="34"/>
  <c r="AD693" i="34"/>
  <c r="AD707" i="34"/>
  <c r="AD715" i="34"/>
  <c r="AD739" i="34"/>
  <c r="AD767" i="34"/>
  <c r="AD803" i="34"/>
  <c r="AD823" i="34"/>
  <c r="AD831" i="34"/>
  <c r="AD834" i="34"/>
  <c r="AD835" i="34"/>
  <c r="AE837" i="34"/>
  <c r="AE74" i="34"/>
  <c r="AE90" i="34"/>
  <c r="AE94" i="34"/>
  <c r="AE98" i="34"/>
  <c r="AE108" i="34"/>
  <c r="AE112" i="34"/>
  <c r="AE113" i="34"/>
  <c r="AE115" i="34"/>
  <c r="AE121" i="34"/>
  <c r="AE123" i="34"/>
  <c r="AE129" i="34"/>
  <c r="AE136" i="34"/>
  <c r="AE137" i="34"/>
  <c r="AE181" i="34"/>
  <c r="AE184" i="34"/>
  <c r="AE221" i="34"/>
  <c r="AE234" i="34"/>
  <c r="AE245" i="34"/>
  <c r="AE259" i="34"/>
  <c r="AE260" i="34"/>
  <c r="AE266" i="34"/>
  <c r="AE311" i="34"/>
  <c r="AE322" i="34"/>
  <c r="AE324" i="34"/>
  <c r="AE330" i="34"/>
  <c r="AE336" i="34"/>
  <c r="AE346" i="34"/>
  <c r="AE367" i="34"/>
  <c r="AE368" i="34"/>
  <c r="AE370" i="34"/>
  <c r="AE383" i="34"/>
  <c r="AE385" i="34"/>
  <c r="AE417" i="34"/>
  <c r="AE430" i="34"/>
  <c r="AE443" i="34"/>
  <c r="AE454" i="34"/>
  <c r="AE464" i="34"/>
  <c r="AE471" i="34"/>
  <c r="AE478" i="34"/>
  <c r="AE491" i="34"/>
  <c r="AE497" i="34"/>
  <c r="AE510" i="34"/>
  <c r="AE513" i="34"/>
  <c r="AE529" i="34"/>
  <c r="AE557" i="34"/>
  <c r="AE578" i="34"/>
  <c r="AE584" i="34"/>
  <c r="AE585" i="34"/>
  <c r="AE591" i="34"/>
  <c r="AE600" i="34"/>
  <c r="AE632" i="34"/>
  <c r="AE639" i="34"/>
  <c r="AE645" i="34"/>
  <c r="AE650" i="34"/>
  <c r="AE658" i="34"/>
  <c r="AE666" i="34"/>
  <c r="AE670" i="34"/>
  <c r="AE671" i="34"/>
  <c r="AE693" i="34"/>
  <c r="AE707" i="34"/>
  <c r="AE715" i="34"/>
  <c r="AE739" i="34"/>
  <c r="AE767" i="34"/>
  <c r="AE803" i="34"/>
  <c r="AE823" i="34"/>
  <c r="AE831" i="34"/>
  <c r="AE834" i="34"/>
  <c r="AE835" i="34"/>
  <c r="AF837" i="34"/>
  <c r="AF74" i="34"/>
  <c r="AF90" i="34"/>
  <c r="AF94" i="34"/>
  <c r="AF98" i="34"/>
  <c r="AF108" i="34"/>
  <c r="AF112" i="34"/>
  <c r="AF113" i="34"/>
  <c r="AF115" i="34"/>
  <c r="AF121" i="34"/>
  <c r="AF123" i="34"/>
  <c r="AF129" i="34"/>
  <c r="AF136" i="34"/>
  <c r="AF137" i="34"/>
  <c r="AF181" i="34"/>
  <c r="AF184" i="34"/>
  <c r="AF221" i="34"/>
  <c r="AF234" i="34"/>
  <c r="AF245" i="34"/>
  <c r="AF259" i="34"/>
  <c r="AF260" i="34"/>
  <c r="AF266" i="34"/>
  <c r="AF311" i="34"/>
  <c r="AF322" i="34"/>
  <c r="AF324" i="34"/>
  <c r="AF330" i="34"/>
  <c r="AF336" i="34"/>
  <c r="AF346" i="34"/>
  <c r="AF367" i="34"/>
  <c r="AF368" i="34"/>
  <c r="AF370" i="34"/>
  <c r="AF383" i="34"/>
  <c r="AF385" i="34"/>
  <c r="AF417" i="34"/>
  <c r="AF430" i="34"/>
  <c r="AF443" i="34"/>
  <c r="AF454" i="34"/>
  <c r="AF464" i="34"/>
  <c r="AF471" i="34"/>
  <c r="AF478" i="34"/>
  <c r="AF491" i="34"/>
  <c r="AF497" i="34"/>
  <c r="AF510" i="34"/>
  <c r="AF513" i="34"/>
  <c r="AF529" i="34"/>
  <c r="AF557" i="34"/>
  <c r="AF578" i="34"/>
  <c r="AF584" i="34"/>
  <c r="AF585" i="34"/>
  <c r="AF591" i="34"/>
  <c r="AF600" i="34"/>
  <c r="AF632" i="34"/>
  <c r="AF639" i="34"/>
  <c r="AF645" i="34"/>
  <c r="AF650" i="34"/>
  <c r="AF658" i="34"/>
  <c r="AF666" i="34"/>
  <c r="AF670" i="34"/>
  <c r="AF671" i="34"/>
  <c r="AF693" i="34"/>
  <c r="AF707" i="34"/>
  <c r="AF715" i="34"/>
  <c r="AF739" i="34"/>
  <c r="AF767" i="34"/>
  <c r="AF803" i="34"/>
  <c r="AF823" i="34"/>
  <c r="AF831" i="34"/>
  <c r="AF834" i="34"/>
  <c r="AF835" i="34"/>
  <c r="AG837" i="34"/>
  <c r="AG74" i="34"/>
  <c r="AG90" i="34"/>
  <c r="AG94" i="34"/>
  <c r="AG98" i="34"/>
  <c r="AG108" i="34"/>
  <c r="AG112" i="34"/>
  <c r="AG113" i="34"/>
  <c r="AG115" i="34"/>
  <c r="AG121" i="34"/>
  <c r="AG123" i="34"/>
  <c r="AG129" i="34"/>
  <c r="AG136" i="34"/>
  <c r="AG137" i="34"/>
  <c r="AG181" i="34"/>
  <c r="AG184" i="34"/>
  <c r="AG221" i="34"/>
  <c r="AG234" i="34"/>
  <c r="AG245" i="34"/>
  <c r="AG259" i="34"/>
  <c r="AG260" i="34"/>
  <c r="AG266" i="34"/>
  <c r="AG311" i="34"/>
  <c r="AG322" i="34"/>
  <c r="AG324" i="34"/>
  <c r="AG330" i="34"/>
  <c r="AG336" i="34"/>
  <c r="AG346" i="34"/>
  <c r="AG367" i="34"/>
  <c r="AG368" i="34"/>
  <c r="AG370" i="34"/>
  <c r="AG383" i="34"/>
  <c r="AG385" i="34"/>
  <c r="AG417" i="34"/>
  <c r="AG430" i="34"/>
  <c r="AG443" i="34"/>
  <c r="AG454" i="34"/>
  <c r="AG464" i="34"/>
  <c r="AG471" i="34"/>
  <c r="AG478" i="34"/>
  <c r="AG491" i="34"/>
  <c r="AG497" i="34"/>
  <c r="AG510" i="34"/>
  <c r="AG513" i="34"/>
  <c r="AG529" i="34"/>
  <c r="AG557" i="34"/>
  <c r="AG578" i="34"/>
  <c r="AG584" i="34"/>
  <c r="AG585" i="34"/>
  <c r="AG591" i="34"/>
  <c r="AG600" i="34"/>
  <c r="AG632" i="34"/>
  <c r="AG639" i="34"/>
  <c r="AG645" i="34"/>
  <c r="AG650" i="34"/>
  <c r="AG658" i="34"/>
  <c r="AG666" i="34"/>
  <c r="AG670" i="34"/>
  <c r="AG671" i="34"/>
  <c r="AG693" i="34"/>
  <c r="AG707" i="34"/>
  <c r="AG715" i="34"/>
  <c r="AG739" i="34"/>
  <c r="AG767" i="34"/>
  <c r="AG803" i="34"/>
  <c r="AG823" i="34"/>
  <c r="AG831" i="34"/>
  <c r="AG834" i="34"/>
  <c r="AG835" i="34"/>
  <c r="D23" i="34"/>
  <c r="D25" i="34"/>
  <c r="D29" i="34"/>
  <c r="D34" i="34"/>
  <c r="D42" i="34"/>
  <c r="D52" i="34"/>
  <c r="D60" i="34"/>
  <c r="D65" i="34"/>
  <c r="D73" i="34"/>
  <c r="D77" i="34"/>
  <c r="D87" i="34"/>
  <c r="D95" i="34"/>
  <c r="D96" i="34"/>
  <c r="D107" i="34"/>
  <c r="D122" i="34"/>
  <c r="D124" i="34"/>
  <c r="D125" i="34"/>
  <c r="D130" i="34"/>
  <c r="D138" i="34"/>
  <c r="D142" i="34"/>
  <c r="D143" i="34"/>
  <c r="D152" i="34"/>
  <c r="D155" i="34"/>
  <c r="D156" i="34"/>
  <c r="D158" i="34"/>
  <c r="D173" i="34"/>
  <c r="D176" i="34"/>
  <c r="D179" i="34"/>
  <c r="D180" i="34"/>
  <c r="D183" i="34"/>
  <c r="D188" i="34"/>
  <c r="D193" i="34"/>
  <c r="D195" i="34"/>
  <c r="D200" i="34"/>
  <c r="D208" i="34"/>
  <c r="D213" i="34"/>
  <c r="D218" i="34"/>
  <c r="D224" i="34"/>
  <c r="D225" i="34"/>
  <c r="D229" i="34"/>
  <c r="D236" i="34"/>
  <c r="D248" i="34"/>
  <c r="D256" i="34"/>
  <c r="D263" i="34"/>
  <c r="D270" i="34"/>
  <c r="D272" i="34"/>
  <c r="D282" i="34"/>
  <c r="D289" i="34"/>
  <c r="D293" i="34"/>
  <c r="D298" i="34"/>
  <c r="D305" i="34"/>
  <c r="D308" i="34"/>
  <c r="D309" i="34"/>
  <c r="D333" i="34"/>
  <c r="D337" i="34"/>
  <c r="D345" i="34"/>
  <c r="D353" i="34"/>
  <c r="D356" i="34"/>
  <c r="D366" i="34"/>
  <c r="D369" i="34"/>
  <c r="D376" i="34"/>
  <c r="D384" i="34"/>
  <c r="D391" i="34"/>
  <c r="D394" i="34"/>
  <c r="D398" i="34"/>
  <c r="D402" i="34"/>
  <c r="D404" i="34"/>
  <c r="D408" i="34"/>
  <c r="D412" i="34"/>
  <c r="D415" i="34"/>
  <c r="D420" i="34"/>
  <c r="D423" i="34"/>
  <c r="D426" i="34"/>
  <c r="D429" i="34"/>
  <c r="D431" i="34"/>
  <c r="D432" i="34"/>
  <c r="D435" i="34"/>
  <c r="D437" i="34"/>
  <c r="D438" i="34"/>
  <c r="D439" i="34"/>
  <c r="D444" i="34"/>
  <c r="D453" i="34"/>
  <c r="D461" i="34"/>
  <c r="D467" i="34"/>
  <c r="D469" i="34"/>
  <c r="D470" i="34"/>
  <c r="D472" i="34"/>
  <c r="D480" i="34"/>
  <c r="D482" i="34"/>
  <c r="D488" i="34"/>
  <c r="D490" i="34"/>
  <c r="D492" i="34"/>
  <c r="D495" i="34"/>
  <c r="D500" i="34"/>
  <c r="D504" i="34"/>
  <c r="D507" i="34"/>
  <c r="D514" i="34"/>
  <c r="D524" i="34"/>
  <c r="D527" i="34"/>
  <c r="D535" i="34"/>
  <c r="D537" i="34"/>
  <c r="D546" i="34"/>
  <c r="D547" i="34"/>
  <c r="D548" i="34"/>
  <c r="D551" i="34"/>
  <c r="D558" i="34"/>
  <c r="D563" i="34"/>
  <c r="D570" i="34"/>
  <c r="D574" i="34"/>
  <c r="D579" i="34"/>
  <c r="D583" i="34"/>
  <c r="D587" i="34"/>
  <c r="D590" i="34"/>
  <c r="D602" i="34"/>
  <c r="D605" i="34"/>
  <c r="D609" i="34"/>
  <c r="D619" i="34"/>
  <c r="D620" i="34"/>
  <c r="D622" i="34"/>
  <c r="D633" i="34"/>
  <c r="D638" i="34"/>
  <c r="D646" i="34"/>
  <c r="D648" i="34"/>
  <c r="D657" i="34"/>
  <c r="D663" i="34"/>
  <c r="D667" i="34"/>
  <c r="D668" i="34"/>
  <c r="D669" i="34"/>
  <c r="D673" i="34"/>
  <c r="D683" i="34"/>
  <c r="D684" i="34"/>
  <c r="D690" i="34"/>
  <c r="D696" i="34"/>
  <c r="D701" i="34"/>
  <c r="D708" i="34"/>
  <c r="D710" i="34"/>
  <c r="D712" i="34"/>
  <c r="D720" i="34"/>
  <c r="D722" i="34"/>
  <c r="D726" i="34"/>
  <c r="D727" i="34"/>
  <c r="D733" i="34"/>
  <c r="D735" i="34"/>
  <c r="D738" i="34"/>
  <c r="D742" i="34"/>
  <c r="D745" i="34"/>
  <c r="D755" i="34"/>
  <c r="D762" i="34"/>
  <c r="D765" i="34"/>
  <c r="D771" i="34"/>
  <c r="D774" i="34"/>
  <c r="D780" i="34"/>
  <c r="D786" i="34"/>
  <c r="D796" i="34"/>
  <c r="D797" i="34"/>
  <c r="D799" i="34"/>
  <c r="D802" i="34"/>
  <c r="D804" i="34"/>
  <c r="D808" i="34"/>
  <c r="D812" i="34"/>
  <c r="D816" i="34"/>
  <c r="D817" i="34"/>
  <c r="D824" i="34"/>
  <c r="D830" i="34"/>
  <c r="O23" i="34"/>
  <c r="O25" i="34"/>
  <c r="O29" i="34"/>
  <c r="O34" i="34"/>
  <c r="O42" i="34"/>
  <c r="O52" i="34"/>
  <c r="O60" i="34"/>
  <c r="O65" i="34"/>
  <c r="O73" i="34"/>
  <c r="O77" i="34"/>
  <c r="O87" i="34"/>
  <c r="O95" i="34"/>
  <c r="O96" i="34"/>
  <c r="O107" i="34"/>
  <c r="O122" i="34"/>
  <c r="O124" i="34"/>
  <c r="O125" i="34"/>
  <c r="O130" i="34"/>
  <c r="O138" i="34"/>
  <c r="O142" i="34"/>
  <c r="O143" i="34"/>
  <c r="O152" i="34"/>
  <c r="O155" i="34"/>
  <c r="O156" i="34"/>
  <c r="O158" i="34"/>
  <c r="O173" i="34"/>
  <c r="O176" i="34"/>
  <c r="O179" i="34"/>
  <c r="O180" i="34"/>
  <c r="O183" i="34"/>
  <c r="O188" i="34"/>
  <c r="O193" i="34"/>
  <c r="O195" i="34"/>
  <c r="O200" i="34"/>
  <c r="O208" i="34"/>
  <c r="O213" i="34"/>
  <c r="O218" i="34"/>
  <c r="O224" i="34"/>
  <c r="O225" i="34"/>
  <c r="O229" i="34"/>
  <c r="O236" i="34"/>
  <c r="O248" i="34"/>
  <c r="O256" i="34"/>
  <c r="O263" i="34"/>
  <c r="O270" i="34"/>
  <c r="O272" i="34"/>
  <c r="O282" i="34"/>
  <c r="O289" i="34"/>
  <c r="O293" i="34"/>
  <c r="O298" i="34"/>
  <c r="O305" i="34"/>
  <c r="O308" i="34"/>
  <c r="O309" i="34"/>
  <c r="O333" i="34"/>
  <c r="O337" i="34"/>
  <c r="O345" i="34"/>
  <c r="O353" i="34"/>
  <c r="O356" i="34"/>
  <c r="O366" i="34"/>
  <c r="O369" i="34"/>
  <c r="O376" i="34"/>
  <c r="O384" i="34"/>
  <c r="O391" i="34"/>
  <c r="O394" i="34"/>
  <c r="O398" i="34"/>
  <c r="O402" i="34"/>
  <c r="O404" i="34"/>
  <c r="O408" i="34"/>
  <c r="O412" i="34"/>
  <c r="O415" i="34"/>
  <c r="O420" i="34"/>
  <c r="O423" i="34"/>
  <c r="O426" i="34"/>
  <c r="O429" i="34"/>
  <c r="O431" i="34"/>
  <c r="O432" i="34"/>
  <c r="O435" i="34"/>
  <c r="O437" i="34"/>
  <c r="O438" i="34"/>
  <c r="O439" i="34"/>
  <c r="O444" i="34"/>
  <c r="O453" i="34"/>
  <c r="O461" i="34"/>
  <c r="O467" i="34"/>
  <c r="O469" i="34"/>
  <c r="O470" i="34"/>
  <c r="O472" i="34"/>
  <c r="O480" i="34"/>
  <c r="O482" i="34"/>
  <c r="O488" i="34"/>
  <c r="O490" i="34"/>
  <c r="O492" i="34"/>
  <c r="O495" i="34"/>
  <c r="O500" i="34"/>
  <c r="O504" i="34"/>
  <c r="O507" i="34"/>
  <c r="O514" i="34"/>
  <c r="O524" i="34"/>
  <c r="O527" i="34"/>
  <c r="O535" i="34"/>
  <c r="O537" i="34"/>
  <c r="O546" i="34"/>
  <c r="O547" i="34"/>
  <c r="O548" i="34"/>
  <c r="O551" i="34"/>
  <c r="O558" i="34"/>
  <c r="O563" i="34"/>
  <c r="O570" i="34"/>
  <c r="O574" i="34"/>
  <c r="O579" i="34"/>
  <c r="O583" i="34"/>
  <c r="O587" i="34"/>
  <c r="O590" i="34"/>
  <c r="O602" i="34"/>
  <c r="O605" i="34"/>
  <c r="O609" i="34"/>
  <c r="O619" i="34"/>
  <c r="O620" i="34"/>
  <c r="O622" i="34"/>
  <c r="O633" i="34"/>
  <c r="O638" i="34"/>
  <c r="O646" i="34"/>
  <c r="O648" i="34"/>
  <c r="O657" i="34"/>
  <c r="O663" i="34"/>
  <c r="O667" i="34"/>
  <c r="O668" i="34"/>
  <c r="O669" i="34"/>
  <c r="O673" i="34"/>
  <c r="O683" i="34"/>
  <c r="O684" i="34"/>
  <c r="O690" i="34"/>
  <c r="O696" i="34"/>
  <c r="O701" i="34"/>
  <c r="O708" i="34"/>
  <c r="O710" i="34"/>
  <c r="O712" i="34"/>
  <c r="O720" i="34"/>
  <c r="O722" i="34"/>
  <c r="O726" i="34"/>
  <c r="O727" i="34"/>
  <c r="O733" i="34"/>
  <c r="O735" i="34"/>
  <c r="O738" i="34"/>
  <c r="O742" i="34"/>
  <c r="O745" i="34"/>
  <c r="O755" i="34"/>
  <c r="O762" i="34"/>
  <c r="O765" i="34"/>
  <c r="O771" i="34"/>
  <c r="O774" i="34"/>
  <c r="O780" i="34"/>
  <c r="O786" i="34"/>
  <c r="O796" i="34"/>
  <c r="O797" i="34"/>
  <c r="O799" i="34"/>
  <c r="O802" i="34"/>
  <c r="O804" i="34"/>
  <c r="O808" i="34"/>
  <c r="O812" i="34"/>
  <c r="O816" i="34"/>
  <c r="O817" i="34"/>
  <c r="O824" i="34"/>
  <c r="O830" i="34"/>
  <c r="P23" i="34"/>
  <c r="P25" i="34"/>
  <c r="P29" i="34"/>
  <c r="P34" i="34"/>
  <c r="P42" i="34"/>
  <c r="P52" i="34"/>
  <c r="P60" i="34"/>
  <c r="P65" i="34"/>
  <c r="P73" i="34"/>
  <c r="P77" i="34"/>
  <c r="P87" i="34"/>
  <c r="P95" i="34"/>
  <c r="P96" i="34"/>
  <c r="P107" i="34"/>
  <c r="P122" i="34"/>
  <c r="P124" i="34"/>
  <c r="P125" i="34"/>
  <c r="P130" i="34"/>
  <c r="P138" i="34"/>
  <c r="P142" i="34"/>
  <c r="P143" i="34"/>
  <c r="P152" i="34"/>
  <c r="P155" i="34"/>
  <c r="P156" i="34"/>
  <c r="P158" i="34"/>
  <c r="P173" i="34"/>
  <c r="P176" i="34"/>
  <c r="P179" i="34"/>
  <c r="P180" i="34"/>
  <c r="P183" i="34"/>
  <c r="P188" i="34"/>
  <c r="P193" i="34"/>
  <c r="P195" i="34"/>
  <c r="P200" i="34"/>
  <c r="P208" i="34"/>
  <c r="P213" i="34"/>
  <c r="P218" i="34"/>
  <c r="P224" i="34"/>
  <c r="P225" i="34"/>
  <c r="P229" i="34"/>
  <c r="P236" i="34"/>
  <c r="P248" i="34"/>
  <c r="P256" i="34"/>
  <c r="P263" i="34"/>
  <c r="P270" i="34"/>
  <c r="P272" i="34"/>
  <c r="P282" i="34"/>
  <c r="P289" i="34"/>
  <c r="P293" i="34"/>
  <c r="P298" i="34"/>
  <c r="P305" i="34"/>
  <c r="P308" i="34"/>
  <c r="P309" i="34"/>
  <c r="P333" i="34"/>
  <c r="P337" i="34"/>
  <c r="P345" i="34"/>
  <c r="P353" i="34"/>
  <c r="P356" i="34"/>
  <c r="P366" i="34"/>
  <c r="P369" i="34"/>
  <c r="P376" i="34"/>
  <c r="P384" i="34"/>
  <c r="P391" i="34"/>
  <c r="P394" i="34"/>
  <c r="P398" i="34"/>
  <c r="P402" i="34"/>
  <c r="P404" i="34"/>
  <c r="P408" i="34"/>
  <c r="P412" i="34"/>
  <c r="P415" i="34"/>
  <c r="P420" i="34"/>
  <c r="P423" i="34"/>
  <c r="P426" i="34"/>
  <c r="P429" i="34"/>
  <c r="P431" i="34"/>
  <c r="P432" i="34"/>
  <c r="P435" i="34"/>
  <c r="P437" i="34"/>
  <c r="P438" i="34"/>
  <c r="P439" i="34"/>
  <c r="P444" i="34"/>
  <c r="P453" i="34"/>
  <c r="P461" i="34"/>
  <c r="P467" i="34"/>
  <c r="P469" i="34"/>
  <c r="P470" i="34"/>
  <c r="P472" i="34"/>
  <c r="P480" i="34"/>
  <c r="P482" i="34"/>
  <c r="P488" i="34"/>
  <c r="P490" i="34"/>
  <c r="P492" i="34"/>
  <c r="P495" i="34"/>
  <c r="P500" i="34"/>
  <c r="P504" i="34"/>
  <c r="P507" i="34"/>
  <c r="P514" i="34"/>
  <c r="P524" i="34"/>
  <c r="P527" i="34"/>
  <c r="P535" i="34"/>
  <c r="P537" i="34"/>
  <c r="P546" i="34"/>
  <c r="P547" i="34"/>
  <c r="P548" i="34"/>
  <c r="P551" i="34"/>
  <c r="P558" i="34"/>
  <c r="P563" i="34"/>
  <c r="P570" i="34"/>
  <c r="P574" i="34"/>
  <c r="P579" i="34"/>
  <c r="P583" i="34"/>
  <c r="P587" i="34"/>
  <c r="P590" i="34"/>
  <c r="P602" i="34"/>
  <c r="P605" i="34"/>
  <c r="P609" i="34"/>
  <c r="P619" i="34"/>
  <c r="P620" i="34"/>
  <c r="P622" i="34"/>
  <c r="P633" i="34"/>
  <c r="P638" i="34"/>
  <c r="P646" i="34"/>
  <c r="P648" i="34"/>
  <c r="P657" i="34"/>
  <c r="P663" i="34"/>
  <c r="P667" i="34"/>
  <c r="P668" i="34"/>
  <c r="P669" i="34"/>
  <c r="P673" i="34"/>
  <c r="P683" i="34"/>
  <c r="P684" i="34"/>
  <c r="P690" i="34"/>
  <c r="P696" i="34"/>
  <c r="P701" i="34"/>
  <c r="P708" i="34"/>
  <c r="P710" i="34"/>
  <c r="P712" i="34"/>
  <c r="P720" i="34"/>
  <c r="P722" i="34"/>
  <c r="P726" i="34"/>
  <c r="P727" i="34"/>
  <c r="P733" i="34"/>
  <c r="P735" i="34"/>
  <c r="P738" i="34"/>
  <c r="P742" i="34"/>
  <c r="P745" i="34"/>
  <c r="P755" i="34"/>
  <c r="P762" i="34"/>
  <c r="P765" i="34"/>
  <c r="P771" i="34"/>
  <c r="P774" i="34"/>
  <c r="P780" i="34"/>
  <c r="P786" i="34"/>
  <c r="P796" i="34"/>
  <c r="P797" i="34"/>
  <c r="P799" i="34"/>
  <c r="P802" i="34"/>
  <c r="P804" i="34"/>
  <c r="P808" i="34"/>
  <c r="P812" i="34"/>
  <c r="P816" i="34"/>
  <c r="P817" i="34"/>
  <c r="P824" i="34"/>
  <c r="P830" i="34"/>
  <c r="Q23" i="34"/>
  <c r="Q25" i="34"/>
  <c r="Q29" i="34"/>
  <c r="Q34" i="34"/>
  <c r="Q42" i="34"/>
  <c r="Q52" i="34"/>
  <c r="Q60" i="34"/>
  <c r="Q65" i="34"/>
  <c r="Q73" i="34"/>
  <c r="Q77" i="34"/>
  <c r="Q87" i="34"/>
  <c r="Q95" i="34"/>
  <c r="Q96" i="34"/>
  <c r="Q107" i="34"/>
  <c r="Q122" i="34"/>
  <c r="Q124" i="34"/>
  <c r="Q125" i="34"/>
  <c r="Q130" i="34"/>
  <c r="Q138" i="34"/>
  <c r="Q142" i="34"/>
  <c r="Q143" i="34"/>
  <c r="Q152" i="34"/>
  <c r="Q155" i="34"/>
  <c r="Q156" i="34"/>
  <c r="Q158" i="34"/>
  <c r="Q173" i="34"/>
  <c r="Q176" i="34"/>
  <c r="Q179" i="34"/>
  <c r="Q180" i="34"/>
  <c r="Q183" i="34"/>
  <c r="Q188" i="34"/>
  <c r="Q193" i="34"/>
  <c r="Q195" i="34"/>
  <c r="Q200" i="34"/>
  <c r="Q208" i="34"/>
  <c r="Q213" i="34"/>
  <c r="Q218" i="34"/>
  <c r="Q224" i="34"/>
  <c r="Q225" i="34"/>
  <c r="Q229" i="34"/>
  <c r="Q236" i="34"/>
  <c r="Q248" i="34"/>
  <c r="Q256" i="34"/>
  <c r="Q263" i="34"/>
  <c r="Q270" i="34"/>
  <c r="Q272" i="34"/>
  <c r="Q282" i="34"/>
  <c r="Q289" i="34"/>
  <c r="Q293" i="34"/>
  <c r="Q298" i="34"/>
  <c r="Q305" i="34"/>
  <c r="Q308" i="34"/>
  <c r="Q309" i="34"/>
  <c r="Q333" i="34"/>
  <c r="Q337" i="34"/>
  <c r="Q345" i="34"/>
  <c r="Q353" i="34"/>
  <c r="Q356" i="34"/>
  <c r="Q366" i="34"/>
  <c r="Q369" i="34"/>
  <c r="Q376" i="34"/>
  <c r="Q384" i="34"/>
  <c r="Q391" i="34"/>
  <c r="Q394" i="34"/>
  <c r="Q398" i="34"/>
  <c r="Q402" i="34"/>
  <c r="Q404" i="34"/>
  <c r="Q408" i="34"/>
  <c r="Q412" i="34"/>
  <c r="Q415" i="34"/>
  <c r="Q420" i="34"/>
  <c r="Q423" i="34"/>
  <c r="Q426" i="34"/>
  <c r="Q429" i="34"/>
  <c r="Q431" i="34"/>
  <c r="Q432" i="34"/>
  <c r="Q435" i="34"/>
  <c r="Q437" i="34"/>
  <c r="Q438" i="34"/>
  <c r="Q439" i="34"/>
  <c r="Q444" i="34"/>
  <c r="Q453" i="34"/>
  <c r="Q461" i="34"/>
  <c r="Q467" i="34"/>
  <c r="Q469" i="34"/>
  <c r="Q470" i="34"/>
  <c r="Q472" i="34"/>
  <c r="Q480" i="34"/>
  <c r="Q482" i="34"/>
  <c r="Q488" i="34"/>
  <c r="Q490" i="34"/>
  <c r="Q492" i="34"/>
  <c r="Q495" i="34"/>
  <c r="Q500" i="34"/>
  <c r="Q504" i="34"/>
  <c r="Q507" i="34"/>
  <c r="Q514" i="34"/>
  <c r="Q524" i="34"/>
  <c r="Q527" i="34"/>
  <c r="Q535" i="34"/>
  <c r="Q537" i="34"/>
  <c r="Q546" i="34"/>
  <c r="Q547" i="34"/>
  <c r="Q548" i="34"/>
  <c r="Q551" i="34"/>
  <c r="Q558" i="34"/>
  <c r="Q563" i="34"/>
  <c r="Q570" i="34"/>
  <c r="Q574" i="34"/>
  <c r="Q579" i="34"/>
  <c r="Q583" i="34"/>
  <c r="Q587" i="34"/>
  <c r="Q590" i="34"/>
  <c r="Q602" i="34"/>
  <c r="Q605" i="34"/>
  <c r="Q609" i="34"/>
  <c r="Q619" i="34"/>
  <c r="Q620" i="34"/>
  <c r="Q622" i="34"/>
  <c r="Q633" i="34"/>
  <c r="Q638" i="34"/>
  <c r="Q646" i="34"/>
  <c r="Q648" i="34"/>
  <c r="Q657" i="34"/>
  <c r="Q663" i="34"/>
  <c r="Q667" i="34"/>
  <c r="Q668" i="34"/>
  <c r="Q669" i="34"/>
  <c r="Q673" i="34"/>
  <c r="Q683" i="34"/>
  <c r="Q684" i="34"/>
  <c r="Q690" i="34"/>
  <c r="Q696" i="34"/>
  <c r="Q701" i="34"/>
  <c r="Q708" i="34"/>
  <c r="Q710" i="34"/>
  <c r="Q712" i="34"/>
  <c r="Q720" i="34"/>
  <c r="Q722" i="34"/>
  <c r="Q726" i="34"/>
  <c r="Q727" i="34"/>
  <c r="Q733" i="34"/>
  <c r="Q735" i="34"/>
  <c r="Q738" i="34"/>
  <c r="Q742" i="34"/>
  <c r="Q745" i="34"/>
  <c r="Q755" i="34"/>
  <c r="Q762" i="34"/>
  <c r="Q765" i="34"/>
  <c r="Q771" i="34"/>
  <c r="Q774" i="34"/>
  <c r="Q780" i="34"/>
  <c r="Q786" i="34"/>
  <c r="Q796" i="34"/>
  <c r="Q797" i="34"/>
  <c r="Q799" i="34"/>
  <c r="Q802" i="34"/>
  <c r="Q804" i="34"/>
  <c r="Q808" i="34"/>
  <c r="Q812" i="34"/>
  <c r="Q816" i="34"/>
  <c r="Q817" i="34"/>
  <c r="Q824" i="34"/>
  <c r="Q830" i="34"/>
  <c r="U23" i="34"/>
  <c r="U25" i="34"/>
  <c r="U29" i="34"/>
  <c r="U34" i="34"/>
  <c r="U42" i="34"/>
  <c r="U52" i="34"/>
  <c r="U60" i="34"/>
  <c r="U65" i="34"/>
  <c r="U73" i="34"/>
  <c r="U77" i="34"/>
  <c r="U87" i="34"/>
  <c r="U95" i="34"/>
  <c r="U96" i="34"/>
  <c r="U107" i="34"/>
  <c r="U122" i="34"/>
  <c r="U124" i="34"/>
  <c r="U125" i="34"/>
  <c r="U130" i="34"/>
  <c r="U138" i="34"/>
  <c r="U142" i="34"/>
  <c r="U143" i="34"/>
  <c r="U152" i="34"/>
  <c r="U155" i="34"/>
  <c r="U156" i="34"/>
  <c r="U158" i="34"/>
  <c r="U173" i="34"/>
  <c r="U176" i="34"/>
  <c r="U179" i="34"/>
  <c r="U180" i="34"/>
  <c r="U183" i="34"/>
  <c r="U188" i="34"/>
  <c r="U193" i="34"/>
  <c r="U195" i="34"/>
  <c r="U200" i="34"/>
  <c r="U208" i="34"/>
  <c r="U213" i="34"/>
  <c r="U218" i="34"/>
  <c r="U224" i="34"/>
  <c r="U225" i="34"/>
  <c r="U229" i="34"/>
  <c r="U236" i="34"/>
  <c r="U248" i="34"/>
  <c r="U256" i="34"/>
  <c r="U263" i="34"/>
  <c r="U270" i="34"/>
  <c r="U272" i="34"/>
  <c r="U282" i="34"/>
  <c r="U289" i="34"/>
  <c r="U293" i="34"/>
  <c r="U298" i="34"/>
  <c r="U305" i="34"/>
  <c r="U308" i="34"/>
  <c r="U309" i="34"/>
  <c r="U333" i="34"/>
  <c r="U337" i="34"/>
  <c r="U345" i="34"/>
  <c r="U353" i="34"/>
  <c r="U356" i="34"/>
  <c r="U366" i="34"/>
  <c r="U369" i="34"/>
  <c r="U376" i="34"/>
  <c r="U384" i="34"/>
  <c r="U391" i="34"/>
  <c r="U394" i="34"/>
  <c r="U398" i="34"/>
  <c r="U402" i="34"/>
  <c r="U404" i="34"/>
  <c r="U408" i="34"/>
  <c r="U412" i="34"/>
  <c r="U415" i="34"/>
  <c r="U420" i="34"/>
  <c r="U423" i="34"/>
  <c r="U426" i="34"/>
  <c r="U429" i="34"/>
  <c r="U431" i="34"/>
  <c r="U432" i="34"/>
  <c r="U435" i="34"/>
  <c r="U437" i="34"/>
  <c r="U438" i="34"/>
  <c r="U439" i="34"/>
  <c r="U444" i="34"/>
  <c r="U453" i="34"/>
  <c r="U461" i="34"/>
  <c r="U467" i="34"/>
  <c r="U469" i="34"/>
  <c r="U470" i="34"/>
  <c r="U472" i="34"/>
  <c r="U480" i="34"/>
  <c r="U482" i="34"/>
  <c r="U488" i="34"/>
  <c r="U490" i="34"/>
  <c r="U492" i="34"/>
  <c r="U495" i="34"/>
  <c r="U500" i="34"/>
  <c r="U504" i="34"/>
  <c r="U507" i="34"/>
  <c r="U514" i="34"/>
  <c r="U524" i="34"/>
  <c r="U527" i="34"/>
  <c r="U535" i="34"/>
  <c r="U537" i="34"/>
  <c r="U546" i="34"/>
  <c r="U547" i="34"/>
  <c r="U548" i="34"/>
  <c r="U551" i="34"/>
  <c r="U558" i="34"/>
  <c r="U563" i="34"/>
  <c r="U570" i="34"/>
  <c r="U574" i="34"/>
  <c r="U579" i="34"/>
  <c r="U583" i="34"/>
  <c r="U587" i="34"/>
  <c r="U590" i="34"/>
  <c r="U602" i="34"/>
  <c r="U605" i="34"/>
  <c r="U609" i="34"/>
  <c r="U619" i="34"/>
  <c r="U620" i="34"/>
  <c r="U622" i="34"/>
  <c r="U633" i="34"/>
  <c r="U638" i="34"/>
  <c r="U646" i="34"/>
  <c r="U648" i="34"/>
  <c r="U657" i="34"/>
  <c r="U663" i="34"/>
  <c r="U667" i="34"/>
  <c r="U668" i="34"/>
  <c r="U669" i="34"/>
  <c r="U673" i="34"/>
  <c r="U683" i="34"/>
  <c r="U684" i="34"/>
  <c r="U690" i="34"/>
  <c r="U696" i="34"/>
  <c r="U701" i="34"/>
  <c r="U708" i="34"/>
  <c r="U710" i="34"/>
  <c r="U712" i="34"/>
  <c r="U720" i="34"/>
  <c r="U722" i="34"/>
  <c r="U726" i="34"/>
  <c r="U727" i="34"/>
  <c r="U733" i="34"/>
  <c r="U735" i="34"/>
  <c r="U738" i="34"/>
  <c r="U742" i="34"/>
  <c r="U745" i="34"/>
  <c r="U755" i="34"/>
  <c r="U762" i="34"/>
  <c r="U765" i="34"/>
  <c r="U771" i="34"/>
  <c r="U774" i="34"/>
  <c r="U780" i="34"/>
  <c r="U786" i="34"/>
  <c r="U796" i="34"/>
  <c r="U797" i="34"/>
  <c r="U799" i="34"/>
  <c r="U802" i="34"/>
  <c r="U804" i="34"/>
  <c r="U808" i="34"/>
  <c r="U812" i="34"/>
  <c r="U816" i="34"/>
  <c r="U817" i="34"/>
  <c r="U824" i="34"/>
  <c r="U830" i="34"/>
  <c r="V23" i="34"/>
  <c r="V25" i="34"/>
  <c r="V29" i="34"/>
  <c r="V34" i="34"/>
  <c r="V42" i="34"/>
  <c r="V52" i="34"/>
  <c r="V60" i="34"/>
  <c r="V65" i="34"/>
  <c r="V73" i="34"/>
  <c r="V77" i="34"/>
  <c r="V87" i="34"/>
  <c r="V95" i="34"/>
  <c r="V96" i="34"/>
  <c r="V107" i="34"/>
  <c r="V122" i="34"/>
  <c r="V124" i="34"/>
  <c r="V125" i="34"/>
  <c r="V130" i="34"/>
  <c r="V138" i="34"/>
  <c r="V142" i="34"/>
  <c r="V143" i="34"/>
  <c r="V152" i="34"/>
  <c r="V155" i="34"/>
  <c r="V156" i="34"/>
  <c r="V158" i="34"/>
  <c r="V173" i="34"/>
  <c r="V176" i="34"/>
  <c r="V179" i="34"/>
  <c r="V180" i="34"/>
  <c r="V183" i="34"/>
  <c r="V188" i="34"/>
  <c r="V193" i="34"/>
  <c r="V195" i="34"/>
  <c r="V200" i="34"/>
  <c r="V208" i="34"/>
  <c r="V213" i="34"/>
  <c r="V218" i="34"/>
  <c r="V224" i="34"/>
  <c r="V225" i="34"/>
  <c r="V229" i="34"/>
  <c r="V236" i="34"/>
  <c r="V248" i="34"/>
  <c r="V256" i="34"/>
  <c r="V263" i="34"/>
  <c r="V270" i="34"/>
  <c r="V272" i="34"/>
  <c r="V282" i="34"/>
  <c r="V289" i="34"/>
  <c r="V293" i="34"/>
  <c r="V298" i="34"/>
  <c r="V305" i="34"/>
  <c r="V308" i="34"/>
  <c r="V309" i="34"/>
  <c r="V333" i="34"/>
  <c r="V337" i="34"/>
  <c r="V345" i="34"/>
  <c r="V353" i="34"/>
  <c r="V356" i="34"/>
  <c r="V366" i="34"/>
  <c r="V369" i="34"/>
  <c r="V376" i="34"/>
  <c r="V384" i="34"/>
  <c r="V391" i="34"/>
  <c r="V394" i="34"/>
  <c r="V398" i="34"/>
  <c r="V402" i="34"/>
  <c r="V404" i="34"/>
  <c r="V408" i="34"/>
  <c r="V412" i="34"/>
  <c r="V415" i="34"/>
  <c r="V420" i="34"/>
  <c r="V423" i="34"/>
  <c r="V426" i="34"/>
  <c r="V429" i="34"/>
  <c r="V431" i="34"/>
  <c r="V432" i="34"/>
  <c r="V435" i="34"/>
  <c r="V437" i="34"/>
  <c r="V438" i="34"/>
  <c r="V439" i="34"/>
  <c r="V444" i="34"/>
  <c r="V453" i="34"/>
  <c r="V461" i="34"/>
  <c r="V467" i="34"/>
  <c r="V469" i="34"/>
  <c r="V470" i="34"/>
  <c r="V472" i="34"/>
  <c r="V480" i="34"/>
  <c r="V482" i="34"/>
  <c r="V488" i="34"/>
  <c r="V490" i="34"/>
  <c r="V492" i="34"/>
  <c r="V495" i="34"/>
  <c r="V500" i="34"/>
  <c r="V504" i="34"/>
  <c r="V507" i="34"/>
  <c r="V514" i="34"/>
  <c r="V524" i="34"/>
  <c r="V527" i="34"/>
  <c r="V535" i="34"/>
  <c r="V537" i="34"/>
  <c r="V546" i="34"/>
  <c r="V547" i="34"/>
  <c r="V548" i="34"/>
  <c r="V551" i="34"/>
  <c r="V558" i="34"/>
  <c r="V563" i="34"/>
  <c r="V570" i="34"/>
  <c r="V574" i="34"/>
  <c r="V579" i="34"/>
  <c r="V583" i="34"/>
  <c r="V587" i="34"/>
  <c r="V590" i="34"/>
  <c r="V602" i="34"/>
  <c r="V605" i="34"/>
  <c r="V609" i="34"/>
  <c r="V619" i="34"/>
  <c r="V620" i="34"/>
  <c r="V622" i="34"/>
  <c r="V633" i="34"/>
  <c r="V638" i="34"/>
  <c r="V646" i="34"/>
  <c r="V648" i="34"/>
  <c r="V657" i="34"/>
  <c r="V663" i="34"/>
  <c r="V667" i="34"/>
  <c r="V668" i="34"/>
  <c r="V669" i="34"/>
  <c r="V673" i="34"/>
  <c r="V683" i="34"/>
  <c r="V684" i="34"/>
  <c r="V690" i="34"/>
  <c r="V696" i="34"/>
  <c r="V701" i="34"/>
  <c r="V708" i="34"/>
  <c r="V710" i="34"/>
  <c r="V712" i="34"/>
  <c r="V720" i="34"/>
  <c r="V722" i="34"/>
  <c r="V726" i="34"/>
  <c r="V727" i="34"/>
  <c r="V733" i="34"/>
  <c r="V735" i="34"/>
  <c r="V738" i="34"/>
  <c r="V742" i="34"/>
  <c r="V745" i="34"/>
  <c r="V755" i="34"/>
  <c r="V762" i="34"/>
  <c r="V765" i="34"/>
  <c r="V771" i="34"/>
  <c r="V774" i="34"/>
  <c r="V780" i="34"/>
  <c r="V786" i="34"/>
  <c r="V796" i="34"/>
  <c r="V797" i="34"/>
  <c r="V799" i="34"/>
  <c r="V802" i="34"/>
  <c r="V804" i="34"/>
  <c r="V808" i="34"/>
  <c r="V812" i="34"/>
  <c r="V816" i="34"/>
  <c r="V817" i="34"/>
  <c r="V824" i="34"/>
  <c r="V830" i="34"/>
  <c r="W23" i="34"/>
  <c r="W25" i="34"/>
  <c r="W29" i="34"/>
  <c r="W34" i="34"/>
  <c r="W42" i="34"/>
  <c r="W52" i="34"/>
  <c r="W60" i="34"/>
  <c r="W65" i="34"/>
  <c r="W73" i="34"/>
  <c r="W77" i="34"/>
  <c r="W87" i="34"/>
  <c r="W95" i="34"/>
  <c r="W96" i="34"/>
  <c r="W107" i="34"/>
  <c r="W122" i="34"/>
  <c r="W124" i="34"/>
  <c r="W125" i="34"/>
  <c r="W130" i="34"/>
  <c r="W138" i="34"/>
  <c r="W142" i="34"/>
  <c r="W143" i="34"/>
  <c r="W152" i="34"/>
  <c r="W155" i="34"/>
  <c r="W156" i="34"/>
  <c r="W158" i="34"/>
  <c r="W173" i="34"/>
  <c r="W176" i="34"/>
  <c r="W179" i="34"/>
  <c r="W180" i="34"/>
  <c r="W183" i="34"/>
  <c r="W188" i="34"/>
  <c r="W193" i="34"/>
  <c r="W195" i="34"/>
  <c r="W200" i="34"/>
  <c r="W208" i="34"/>
  <c r="W213" i="34"/>
  <c r="W218" i="34"/>
  <c r="W224" i="34"/>
  <c r="W225" i="34"/>
  <c r="W229" i="34"/>
  <c r="W236" i="34"/>
  <c r="W248" i="34"/>
  <c r="W256" i="34"/>
  <c r="W263" i="34"/>
  <c r="W270" i="34"/>
  <c r="W272" i="34"/>
  <c r="W282" i="34"/>
  <c r="W289" i="34"/>
  <c r="W293" i="34"/>
  <c r="W298" i="34"/>
  <c r="W305" i="34"/>
  <c r="W308" i="34"/>
  <c r="W309" i="34"/>
  <c r="W333" i="34"/>
  <c r="W337" i="34"/>
  <c r="W345" i="34"/>
  <c r="W353" i="34"/>
  <c r="W356" i="34"/>
  <c r="W366" i="34"/>
  <c r="W369" i="34"/>
  <c r="W376" i="34"/>
  <c r="W384" i="34"/>
  <c r="W391" i="34"/>
  <c r="W394" i="34"/>
  <c r="W398" i="34"/>
  <c r="W402" i="34"/>
  <c r="W404" i="34"/>
  <c r="W408" i="34"/>
  <c r="W412" i="34"/>
  <c r="W415" i="34"/>
  <c r="W420" i="34"/>
  <c r="W423" i="34"/>
  <c r="W426" i="34"/>
  <c r="W429" i="34"/>
  <c r="W431" i="34"/>
  <c r="W432" i="34"/>
  <c r="W435" i="34"/>
  <c r="W437" i="34"/>
  <c r="W438" i="34"/>
  <c r="W439" i="34"/>
  <c r="W444" i="34"/>
  <c r="W453" i="34"/>
  <c r="W461" i="34"/>
  <c r="W467" i="34"/>
  <c r="W469" i="34"/>
  <c r="W470" i="34"/>
  <c r="W472" i="34"/>
  <c r="W480" i="34"/>
  <c r="W482" i="34"/>
  <c r="W488" i="34"/>
  <c r="W490" i="34"/>
  <c r="W492" i="34"/>
  <c r="W495" i="34"/>
  <c r="W500" i="34"/>
  <c r="W504" i="34"/>
  <c r="W507" i="34"/>
  <c r="W514" i="34"/>
  <c r="W524" i="34"/>
  <c r="W527" i="34"/>
  <c r="W535" i="34"/>
  <c r="W537" i="34"/>
  <c r="W546" i="34"/>
  <c r="W547" i="34"/>
  <c r="W548" i="34"/>
  <c r="W551" i="34"/>
  <c r="W558" i="34"/>
  <c r="W563" i="34"/>
  <c r="W570" i="34"/>
  <c r="W574" i="34"/>
  <c r="W579" i="34"/>
  <c r="W583" i="34"/>
  <c r="W587" i="34"/>
  <c r="W590" i="34"/>
  <c r="W602" i="34"/>
  <c r="W605" i="34"/>
  <c r="W609" i="34"/>
  <c r="W619" i="34"/>
  <c r="W620" i="34"/>
  <c r="W622" i="34"/>
  <c r="W633" i="34"/>
  <c r="W638" i="34"/>
  <c r="W646" i="34"/>
  <c r="W648" i="34"/>
  <c r="W657" i="34"/>
  <c r="W663" i="34"/>
  <c r="W667" i="34"/>
  <c r="W668" i="34"/>
  <c r="W669" i="34"/>
  <c r="W673" i="34"/>
  <c r="W683" i="34"/>
  <c r="W684" i="34"/>
  <c r="W690" i="34"/>
  <c r="W696" i="34"/>
  <c r="W701" i="34"/>
  <c r="W708" i="34"/>
  <c r="W710" i="34"/>
  <c r="W712" i="34"/>
  <c r="W720" i="34"/>
  <c r="W722" i="34"/>
  <c r="W726" i="34"/>
  <c r="W727" i="34"/>
  <c r="W733" i="34"/>
  <c r="W735" i="34"/>
  <c r="W738" i="34"/>
  <c r="W742" i="34"/>
  <c r="W745" i="34"/>
  <c r="W755" i="34"/>
  <c r="W762" i="34"/>
  <c r="W765" i="34"/>
  <c r="W771" i="34"/>
  <c r="W774" i="34"/>
  <c r="W780" i="34"/>
  <c r="W786" i="34"/>
  <c r="W796" i="34"/>
  <c r="W797" i="34"/>
  <c r="W799" i="34"/>
  <c r="W802" i="34"/>
  <c r="W804" i="34"/>
  <c r="W808" i="34"/>
  <c r="W812" i="34"/>
  <c r="W816" i="34"/>
  <c r="W817" i="34"/>
  <c r="W824" i="34"/>
  <c r="W830" i="34"/>
  <c r="X23" i="34"/>
  <c r="X25" i="34"/>
  <c r="X29" i="34"/>
  <c r="X34" i="34"/>
  <c r="X42" i="34"/>
  <c r="X52" i="34"/>
  <c r="X60" i="34"/>
  <c r="X65" i="34"/>
  <c r="X73" i="34"/>
  <c r="X77" i="34"/>
  <c r="X87" i="34"/>
  <c r="X95" i="34"/>
  <c r="X96" i="34"/>
  <c r="X107" i="34"/>
  <c r="X122" i="34"/>
  <c r="X124" i="34"/>
  <c r="X125" i="34"/>
  <c r="X130" i="34"/>
  <c r="X138" i="34"/>
  <c r="X142" i="34"/>
  <c r="X143" i="34"/>
  <c r="X152" i="34"/>
  <c r="X155" i="34"/>
  <c r="X156" i="34"/>
  <c r="X158" i="34"/>
  <c r="X173" i="34"/>
  <c r="X176" i="34"/>
  <c r="X179" i="34"/>
  <c r="X180" i="34"/>
  <c r="X183" i="34"/>
  <c r="X188" i="34"/>
  <c r="X193" i="34"/>
  <c r="X195" i="34"/>
  <c r="X200" i="34"/>
  <c r="X208" i="34"/>
  <c r="X213" i="34"/>
  <c r="X218" i="34"/>
  <c r="X224" i="34"/>
  <c r="X225" i="34"/>
  <c r="X229" i="34"/>
  <c r="X236" i="34"/>
  <c r="X248" i="34"/>
  <c r="X256" i="34"/>
  <c r="X263" i="34"/>
  <c r="X270" i="34"/>
  <c r="X272" i="34"/>
  <c r="X282" i="34"/>
  <c r="X289" i="34"/>
  <c r="X293" i="34"/>
  <c r="X298" i="34"/>
  <c r="X305" i="34"/>
  <c r="X308" i="34"/>
  <c r="X309" i="34"/>
  <c r="X333" i="34"/>
  <c r="X337" i="34"/>
  <c r="X345" i="34"/>
  <c r="X353" i="34"/>
  <c r="X356" i="34"/>
  <c r="X366" i="34"/>
  <c r="X369" i="34"/>
  <c r="X376" i="34"/>
  <c r="X384" i="34"/>
  <c r="X391" i="34"/>
  <c r="X394" i="34"/>
  <c r="X398" i="34"/>
  <c r="X402" i="34"/>
  <c r="X404" i="34"/>
  <c r="X408" i="34"/>
  <c r="X412" i="34"/>
  <c r="X415" i="34"/>
  <c r="X420" i="34"/>
  <c r="X423" i="34"/>
  <c r="X426" i="34"/>
  <c r="X429" i="34"/>
  <c r="X431" i="34"/>
  <c r="X432" i="34"/>
  <c r="X435" i="34"/>
  <c r="X437" i="34"/>
  <c r="X438" i="34"/>
  <c r="X439" i="34"/>
  <c r="X444" i="34"/>
  <c r="X453" i="34"/>
  <c r="X461" i="34"/>
  <c r="X467" i="34"/>
  <c r="X469" i="34"/>
  <c r="X470" i="34"/>
  <c r="X472" i="34"/>
  <c r="X480" i="34"/>
  <c r="X482" i="34"/>
  <c r="X488" i="34"/>
  <c r="X490" i="34"/>
  <c r="X492" i="34"/>
  <c r="X495" i="34"/>
  <c r="X500" i="34"/>
  <c r="X504" i="34"/>
  <c r="X507" i="34"/>
  <c r="X514" i="34"/>
  <c r="X524" i="34"/>
  <c r="X527" i="34"/>
  <c r="X535" i="34"/>
  <c r="X537" i="34"/>
  <c r="X546" i="34"/>
  <c r="X547" i="34"/>
  <c r="X548" i="34"/>
  <c r="X551" i="34"/>
  <c r="X558" i="34"/>
  <c r="X563" i="34"/>
  <c r="X570" i="34"/>
  <c r="X574" i="34"/>
  <c r="X579" i="34"/>
  <c r="X583" i="34"/>
  <c r="X587" i="34"/>
  <c r="X590" i="34"/>
  <c r="X602" i="34"/>
  <c r="X605" i="34"/>
  <c r="X609" i="34"/>
  <c r="X619" i="34"/>
  <c r="X620" i="34"/>
  <c r="X622" i="34"/>
  <c r="X633" i="34"/>
  <c r="X638" i="34"/>
  <c r="X646" i="34"/>
  <c r="X648" i="34"/>
  <c r="X657" i="34"/>
  <c r="X663" i="34"/>
  <c r="X667" i="34"/>
  <c r="X668" i="34"/>
  <c r="X669" i="34"/>
  <c r="X673" i="34"/>
  <c r="X683" i="34"/>
  <c r="X684" i="34"/>
  <c r="X690" i="34"/>
  <c r="X696" i="34"/>
  <c r="X701" i="34"/>
  <c r="X708" i="34"/>
  <c r="X710" i="34"/>
  <c r="X712" i="34"/>
  <c r="X720" i="34"/>
  <c r="X722" i="34"/>
  <c r="X726" i="34"/>
  <c r="X727" i="34"/>
  <c r="X733" i="34"/>
  <c r="X735" i="34"/>
  <c r="X738" i="34"/>
  <c r="X742" i="34"/>
  <c r="X745" i="34"/>
  <c r="X755" i="34"/>
  <c r="X762" i="34"/>
  <c r="X765" i="34"/>
  <c r="X771" i="34"/>
  <c r="X774" i="34"/>
  <c r="X780" i="34"/>
  <c r="X786" i="34"/>
  <c r="X796" i="34"/>
  <c r="X797" i="34"/>
  <c r="X799" i="34"/>
  <c r="X802" i="34"/>
  <c r="X804" i="34"/>
  <c r="X808" i="34"/>
  <c r="X812" i="34"/>
  <c r="X816" i="34"/>
  <c r="X817" i="34"/>
  <c r="X824" i="34"/>
  <c r="X830" i="34"/>
  <c r="Y23" i="34"/>
  <c r="Y25" i="34"/>
  <c r="Y29" i="34"/>
  <c r="Y34" i="34"/>
  <c r="Y42" i="34"/>
  <c r="Y52" i="34"/>
  <c r="Y60" i="34"/>
  <c r="Y65" i="34"/>
  <c r="Y73" i="34"/>
  <c r="Y77" i="34"/>
  <c r="Y87" i="34"/>
  <c r="Y95" i="34"/>
  <c r="Y96" i="34"/>
  <c r="Y107" i="34"/>
  <c r="Y122" i="34"/>
  <c r="Y124" i="34"/>
  <c r="Y125" i="34"/>
  <c r="Y130" i="34"/>
  <c r="Y138" i="34"/>
  <c r="Y142" i="34"/>
  <c r="Y143" i="34"/>
  <c r="Y152" i="34"/>
  <c r="Y155" i="34"/>
  <c r="Y156" i="34"/>
  <c r="Y158" i="34"/>
  <c r="Y173" i="34"/>
  <c r="Y176" i="34"/>
  <c r="Y179" i="34"/>
  <c r="Y180" i="34"/>
  <c r="Y183" i="34"/>
  <c r="Y188" i="34"/>
  <c r="Y193" i="34"/>
  <c r="Y195" i="34"/>
  <c r="Y200" i="34"/>
  <c r="Y208" i="34"/>
  <c r="Y213" i="34"/>
  <c r="Y218" i="34"/>
  <c r="Y224" i="34"/>
  <c r="Y225" i="34"/>
  <c r="Y229" i="34"/>
  <c r="Y236" i="34"/>
  <c r="Y248" i="34"/>
  <c r="Y256" i="34"/>
  <c r="Y263" i="34"/>
  <c r="Y270" i="34"/>
  <c r="Y272" i="34"/>
  <c r="Y282" i="34"/>
  <c r="Y289" i="34"/>
  <c r="Y293" i="34"/>
  <c r="Y298" i="34"/>
  <c r="Y305" i="34"/>
  <c r="Y308" i="34"/>
  <c r="Y309" i="34"/>
  <c r="Y333" i="34"/>
  <c r="Y337" i="34"/>
  <c r="Y345" i="34"/>
  <c r="Y353" i="34"/>
  <c r="Y356" i="34"/>
  <c r="Y366" i="34"/>
  <c r="Y369" i="34"/>
  <c r="Y376" i="34"/>
  <c r="Y384" i="34"/>
  <c r="Y391" i="34"/>
  <c r="Y394" i="34"/>
  <c r="Y398" i="34"/>
  <c r="Y402" i="34"/>
  <c r="Y404" i="34"/>
  <c r="Y408" i="34"/>
  <c r="Y412" i="34"/>
  <c r="Y415" i="34"/>
  <c r="Y420" i="34"/>
  <c r="Y423" i="34"/>
  <c r="Y426" i="34"/>
  <c r="Y429" i="34"/>
  <c r="Y431" i="34"/>
  <c r="Y432" i="34"/>
  <c r="Y435" i="34"/>
  <c r="Y437" i="34"/>
  <c r="Y438" i="34"/>
  <c r="Y439" i="34"/>
  <c r="Y444" i="34"/>
  <c r="Y453" i="34"/>
  <c r="Y461" i="34"/>
  <c r="Y467" i="34"/>
  <c r="Y469" i="34"/>
  <c r="Y470" i="34"/>
  <c r="Y472" i="34"/>
  <c r="Y480" i="34"/>
  <c r="Y482" i="34"/>
  <c r="Y488" i="34"/>
  <c r="Y490" i="34"/>
  <c r="Y492" i="34"/>
  <c r="Y495" i="34"/>
  <c r="Y500" i="34"/>
  <c r="Y504" i="34"/>
  <c r="Y507" i="34"/>
  <c r="Y514" i="34"/>
  <c r="Y524" i="34"/>
  <c r="Y527" i="34"/>
  <c r="Y535" i="34"/>
  <c r="Y537" i="34"/>
  <c r="Y546" i="34"/>
  <c r="Y547" i="34"/>
  <c r="Y548" i="34"/>
  <c r="Y551" i="34"/>
  <c r="Y558" i="34"/>
  <c r="Y563" i="34"/>
  <c r="Y570" i="34"/>
  <c r="Y574" i="34"/>
  <c r="Y579" i="34"/>
  <c r="Y583" i="34"/>
  <c r="Y587" i="34"/>
  <c r="Y590" i="34"/>
  <c r="Y602" i="34"/>
  <c r="Y605" i="34"/>
  <c r="Y609" i="34"/>
  <c r="Y619" i="34"/>
  <c r="Y620" i="34"/>
  <c r="Y622" i="34"/>
  <c r="Y633" i="34"/>
  <c r="Y638" i="34"/>
  <c r="Y646" i="34"/>
  <c r="Y648" i="34"/>
  <c r="Y657" i="34"/>
  <c r="Y663" i="34"/>
  <c r="Y667" i="34"/>
  <c r="Y668" i="34"/>
  <c r="Y669" i="34"/>
  <c r="Y673" i="34"/>
  <c r="Y683" i="34"/>
  <c r="Y684" i="34"/>
  <c r="Y690" i="34"/>
  <c r="Y696" i="34"/>
  <c r="Y701" i="34"/>
  <c r="Y708" i="34"/>
  <c r="Y710" i="34"/>
  <c r="Y712" i="34"/>
  <c r="Y720" i="34"/>
  <c r="Y722" i="34"/>
  <c r="Y726" i="34"/>
  <c r="Y727" i="34"/>
  <c r="Y733" i="34"/>
  <c r="Y735" i="34"/>
  <c r="Y738" i="34"/>
  <c r="Y742" i="34"/>
  <c r="Y745" i="34"/>
  <c r="Y755" i="34"/>
  <c r="Y762" i="34"/>
  <c r="Y765" i="34"/>
  <c r="Y771" i="34"/>
  <c r="Y774" i="34"/>
  <c r="Y780" i="34"/>
  <c r="Y786" i="34"/>
  <c r="Y796" i="34"/>
  <c r="Y797" i="34"/>
  <c r="Y799" i="34"/>
  <c r="Y802" i="34"/>
  <c r="Y804" i="34"/>
  <c r="Y808" i="34"/>
  <c r="Y812" i="34"/>
  <c r="Y816" i="34"/>
  <c r="Y817" i="34"/>
  <c r="Y824" i="34"/>
  <c r="Y830" i="34"/>
  <c r="Z23" i="34"/>
  <c r="Z25" i="34"/>
  <c r="Z29" i="34"/>
  <c r="Z34" i="34"/>
  <c r="Z42" i="34"/>
  <c r="Z52" i="34"/>
  <c r="Z60" i="34"/>
  <c r="Z65" i="34"/>
  <c r="Z73" i="34"/>
  <c r="Z77" i="34"/>
  <c r="Z87" i="34"/>
  <c r="Z95" i="34"/>
  <c r="Z96" i="34"/>
  <c r="Z107" i="34"/>
  <c r="Z122" i="34"/>
  <c r="Z124" i="34"/>
  <c r="Z125" i="34"/>
  <c r="Z130" i="34"/>
  <c r="Z138" i="34"/>
  <c r="Z142" i="34"/>
  <c r="Z143" i="34"/>
  <c r="Z152" i="34"/>
  <c r="Z155" i="34"/>
  <c r="Z156" i="34"/>
  <c r="Z158" i="34"/>
  <c r="Z173" i="34"/>
  <c r="Z176" i="34"/>
  <c r="Z179" i="34"/>
  <c r="Z180" i="34"/>
  <c r="Z183" i="34"/>
  <c r="Z188" i="34"/>
  <c r="Z193" i="34"/>
  <c r="Z195" i="34"/>
  <c r="Z200" i="34"/>
  <c r="Z208" i="34"/>
  <c r="Z213" i="34"/>
  <c r="Z218" i="34"/>
  <c r="Z224" i="34"/>
  <c r="Z225" i="34"/>
  <c r="Z229" i="34"/>
  <c r="Z236" i="34"/>
  <c r="Z248" i="34"/>
  <c r="Z256" i="34"/>
  <c r="Z263" i="34"/>
  <c r="Z270" i="34"/>
  <c r="Z272" i="34"/>
  <c r="Z282" i="34"/>
  <c r="Z289" i="34"/>
  <c r="Z293" i="34"/>
  <c r="Z298" i="34"/>
  <c r="Z305" i="34"/>
  <c r="Z308" i="34"/>
  <c r="Z309" i="34"/>
  <c r="Z333" i="34"/>
  <c r="Z337" i="34"/>
  <c r="Z345" i="34"/>
  <c r="Z353" i="34"/>
  <c r="Z356" i="34"/>
  <c r="Z366" i="34"/>
  <c r="Z369" i="34"/>
  <c r="Z376" i="34"/>
  <c r="Z384" i="34"/>
  <c r="Z391" i="34"/>
  <c r="Z394" i="34"/>
  <c r="Z398" i="34"/>
  <c r="Z402" i="34"/>
  <c r="Z404" i="34"/>
  <c r="Z408" i="34"/>
  <c r="Z412" i="34"/>
  <c r="Z415" i="34"/>
  <c r="Z420" i="34"/>
  <c r="Z423" i="34"/>
  <c r="Z426" i="34"/>
  <c r="Z429" i="34"/>
  <c r="Z431" i="34"/>
  <c r="Z432" i="34"/>
  <c r="Z435" i="34"/>
  <c r="Z437" i="34"/>
  <c r="Z438" i="34"/>
  <c r="Z439" i="34"/>
  <c r="Z444" i="34"/>
  <c r="Z453" i="34"/>
  <c r="Z461" i="34"/>
  <c r="Z467" i="34"/>
  <c r="Z469" i="34"/>
  <c r="Z470" i="34"/>
  <c r="Z472" i="34"/>
  <c r="Z480" i="34"/>
  <c r="Z482" i="34"/>
  <c r="Z488" i="34"/>
  <c r="Z490" i="34"/>
  <c r="Z492" i="34"/>
  <c r="Z495" i="34"/>
  <c r="Z500" i="34"/>
  <c r="Z504" i="34"/>
  <c r="Z507" i="34"/>
  <c r="Z514" i="34"/>
  <c r="Z524" i="34"/>
  <c r="Z527" i="34"/>
  <c r="Z535" i="34"/>
  <c r="Z537" i="34"/>
  <c r="Z546" i="34"/>
  <c r="Z547" i="34"/>
  <c r="Z548" i="34"/>
  <c r="Z551" i="34"/>
  <c r="Z558" i="34"/>
  <c r="Z563" i="34"/>
  <c r="Z570" i="34"/>
  <c r="Z574" i="34"/>
  <c r="Z579" i="34"/>
  <c r="Z583" i="34"/>
  <c r="Z587" i="34"/>
  <c r="Z590" i="34"/>
  <c r="Z602" i="34"/>
  <c r="Z605" i="34"/>
  <c r="Z609" i="34"/>
  <c r="Z619" i="34"/>
  <c r="Z620" i="34"/>
  <c r="Z622" i="34"/>
  <c r="Z633" i="34"/>
  <c r="Z638" i="34"/>
  <c r="Z646" i="34"/>
  <c r="Z648" i="34"/>
  <c r="Z657" i="34"/>
  <c r="Z663" i="34"/>
  <c r="Z667" i="34"/>
  <c r="Z668" i="34"/>
  <c r="Z669" i="34"/>
  <c r="Z673" i="34"/>
  <c r="Z683" i="34"/>
  <c r="Z684" i="34"/>
  <c r="Z690" i="34"/>
  <c r="Z696" i="34"/>
  <c r="Z701" i="34"/>
  <c r="Z708" i="34"/>
  <c r="Z710" i="34"/>
  <c r="Z712" i="34"/>
  <c r="Z720" i="34"/>
  <c r="Z722" i="34"/>
  <c r="Z726" i="34"/>
  <c r="Z727" i="34"/>
  <c r="Z733" i="34"/>
  <c r="Z735" i="34"/>
  <c r="Z738" i="34"/>
  <c r="Z742" i="34"/>
  <c r="Z745" i="34"/>
  <c r="Z755" i="34"/>
  <c r="Z762" i="34"/>
  <c r="Z765" i="34"/>
  <c r="Z771" i="34"/>
  <c r="Z774" i="34"/>
  <c r="Z780" i="34"/>
  <c r="Z786" i="34"/>
  <c r="Z796" i="34"/>
  <c r="Z797" i="34"/>
  <c r="Z799" i="34"/>
  <c r="Z802" i="34"/>
  <c r="Z804" i="34"/>
  <c r="Z808" i="34"/>
  <c r="Z812" i="34"/>
  <c r="Z816" i="34"/>
  <c r="Z817" i="34"/>
  <c r="Z824" i="34"/>
  <c r="Z830" i="34"/>
  <c r="AA23" i="34"/>
  <c r="AA25" i="34"/>
  <c r="AA29" i="34"/>
  <c r="AA34" i="34"/>
  <c r="AA42" i="34"/>
  <c r="AA52" i="34"/>
  <c r="AA60" i="34"/>
  <c r="AA65" i="34"/>
  <c r="AA73" i="34"/>
  <c r="AA77" i="34"/>
  <c r="AA87" i="34"/>
  <c r="AA95" i="34"/>
  <c r="AA96" i="34"/>
  <c r="AA107" i="34"/>
  <c r="AA122" i="34"/>
  <c r="AA124" i="34"/>
  <c r="AA125" i="34"/>
  <c r="AA130" i="34"/>
  <c r="AA138" i="34"/>
  <c r="AA142" i="34"/>
  <c r="AA143" i="34"/>
  <c r="AA152" i="34"/>
  <c r="AA155" i="34"/>
  <c r="AA156" i="34"/>
  <c r="AA158" i="34"/>
  <c r="AA173" i="34"/>
  <c r="AA176" i="34"/>
  <c r="AA179" i="34"/>
  <c r="AA180" i="34"/>
  <c r="AA183" i="34"/>
  <c r="AA188" i="34"/>
  <c r="AA193" i="34"/>
  <c r="AA195" i="34"/>
  <c r="AA200" i="34"/>
  <c r="AA208" i="34"/>
  <c r="AA213" i="34"/>
  <c r="AA218" i="34"/>
  <c r="AA224" i="34"/>
  <c r="AA225" i="34"/>
  <c r="AA229" i="34"/>
  <c r="AA236" i="34"/>
  <c r="AA248" i="34"/>
  <c r="AA256" i="34"/>
  <c r="AA263" i="34"/>
  <c r="AA270" i="34"/>
  <c r="AA272" i="34"/>
  <c r="AA282" i="34"/>
  <c r="AA289" i="34"/>
  <c r="AA293" i="34"/>
  <c r="AA298" i="34"/>
  <c r="AA305" i="34"/>
  <c r="AA308" i="34"/>
  <c r="AA309" i="34"/>
  <c r="AA333" i="34"/>
  <c r="AA337" i="34"/>
  <c r="AA345" i="34"/>
  <c r="AA353" i="34"/>
  <c r="AA356" i="34"/>
  <c r="AA366" i="34"/>
  <c r="AA369" i="34"/>
  <c r="AA376" i="34"/>
  <c r="AA384" i="34"/>
  <c r="AA391" i="34"/>
  <c r="AA394" i="34"/>
  <c r="AA398" i="34"/>
  <c r="AA402" i="34"/>
  <c r="AA404" i="34"/>
  <c r="AA408" i="34"/>
  <c r="AA412" i="34"/>
  <c r="AA415" i="34"/>
  <c r="AA420" i="34"/>
  <c r="AA423" i="34"/>
  <c r="AA426" i="34"/>
  <c r="AA429" i="34"/>
  <c r="AA431" i="34"/>
  <c r="AA432" i="34"/>
  <c r="AA435" i="34"/>
  <c r="AA437" i="34"/>
  <c r="AA438" i="34"/>
  <c r="AA439" i="34"/>
  <c r="AA444" i="34"/>
  <c r="AA453" i="34"/>
  <c r="AA461" i="34"/>
  <c r="AA467" i="34"/>
  <c r="AA469" i="34"/>
  <c r="AA470" i="34"/>
  <c r="AA472" i="34"/>
  <c r="AA480" i="34"/>
  <c r="AA482" i="34"/>
  <c r="AA488" i="34"/>
  <c r="AA490" i="34"/>
  <c r="AA492" i="34"/>
  <c r="AA495" i="34"/>
  <c r="AA500" i="34"/>
  <c r="AA504" i="34"/>
  <c r="AA507" i="34"/>
  <c r="AA514" i="34"/>
  <c r="AA524" i="34"/>
  <c r="AA527" i="34"/>
  <c r="AA535" i="34"/>
  <c r="AA537" i="34"/>
  <c r="AA546" i="34"/>
  <c r="AA547" i="34"/>
  <c r="AA548" i="34"/>
  <c r="AA551" i="34"/>
  <c r="AA558" i="34"/>
  <c r="AA563" i="34"/>
  <c r="AA570" i="34"/>
  <c r="AA574" i="34"/>
  <c r="AA579" i="34"/>
  <c r="AA583" i="34"/>
  <c r="AA587" i="34"/>
  <c r="AA590" i="34"/>
  <c r="AA602" i="34"/>
  <c r="AA605" i="34"/>
  <c r="AA609" i="34"/>
  <c r="AA619" i="34"/>
  <c r="AA620" i="34"/>
  <c r="AA622" i="34"/>
  <c r="AA633" i="34"/>
  <c r="AA638" i="34"/>
  <c r="AA646" i="34"/>
  <c r="AA648" i="34"/>
  <c r="AA657" i="34"/>
  <c r="AA663" i="34"/>
  <c r="AA667" i="34"/>
  <c r="AA668" i="34"/>
  <c r="AA669" i="34"/>
  <c r="AA673" i="34"/>
  <c r="AA683" i="34"/>
  <c r="AA684" i="34"/>
  <c r="AA690" i="34"/>
  <c r="AA696" i="34"/>
  <c r="AA701" i="34"/>
  <c r="AA708" i="34"/>
  <c r="AA710" i="34"/>
  <c r="AA712" i="34"/>
  <c r="AA720" i="34"/>
  <c r="AA722" i="34"/>
  <c r="AA726" i="34"/>
  <c r="AA727" i="34"/>
  <c r="AA733" i="34"/>
  <c r="AA735" i="34"/>
  <c r="AA738" i="34"/>
  <c r="AA742" i="34"/>
  <c r="AA745" i="34"/>
  <c r="AA755" i="34"/>
  <c r="AA762" i="34"/>
  <c r="AA765" i="34"/>
  <c r="AA771" i="34"/>
  <c r="AA774" i="34"/>
  <c r="AA780" i="34"/>
  <c r="AA786" i="34"/>
  <c r="AA796" i="34"/>
  <c r="AA797" i="34"/>
  <c r="AA799" i="34"/>
  <c r="AA802" i="34"/>
  <c r="AA804" i="34"/>
  <c r="AA808" i="34"/>
  <c r="AA812" i="34"/>
  <c r="AA816" i="34"/>
  <c r="AA817" i="34"/>
  <c r="AA824" i="34"/>
  <c r="AA830" i="34"/>
  <c r="AB23" i="34"/>
  <c r="AB25" i="34"/>
  <c r="AB29" i="34"/>
  <c r="AB34" i="34"/>
  <c r="AB42" i="34"/>
  <c r="AB52" i="34"/>
  <c r="AB60" i="34"/>
  <c r="AB65" i="34"/>
  <c r="AB73" i="34"/>
  <c r="AB77" i="34"/>
  <c r="AB87" i="34"/>
  <c r="AB95" i="34"/>
  <c r="AB96" i="34"/>
  <c r="AB107" i="34"/>
  <c r="AB122" i="34"/>
  <c r="AB124" i="34"/>
  <c r="AB125" i="34"/>
  <c r="AB130" i="34"/>
  <c r="AB138" i="34"/>
  <c r="AB142" i="34"/>
  <c r="AB143" i="34"/>
  <c r="AB152" i="34"/>
  <c r="AB155" i="34"/>
  <c r="AB156" i="34"/>
  <c r="AB158" i="34"/>
  <c r="AB173" i="34"/>
  <c r="AB176" i="34"/>
  <c r="AB179" i="34"/>
  <c r="AB180" i="34"/>
  <c r="AB183" i="34"/>
  <c r="AB188" i="34"/>
  <c r="AB193" i="34"/>
  <c r="AB195" i="34"/>
  <c r="AB200" i="34"/>
  <c r="AB208" i="34"/>
  <c r="AB213" i="34"/>
  <c r="AB218" i="34"/>
  <c r="AB224" i="34"/>
  <c r="AB225" i="34"/>
  <c r="AB229" i="34"/>
  <c r="AB236" i="34"/>
  <c r="AB248" i="34"/>
  <c r="AB256" i="34"/>
  <c r="AB263" i="34"/>
  <c r="AB270" i="34"/>
  <c r="AB272" i="34"/>
  <c r="AB282" i="34"/>
  <c r="AB289" i="34"/>
  <c r="AB293" i="34"/>
  <c r="AB298" i="34"/>
  <c r="AB305" i="34"/>
  <c r="AB308" i="34"/>
  <c r="AB309" i="34"/>
  <c r="AB333" i="34"/>
  <c r="AB337" i="34"/>
  <c r="AB345" i="34"/>
  <c r="AB353" i="34"/>
  <c r="AB356" i="34"/>
  <c r="AB366" i="34"/>
  <c r="AB369" i="34"/>
  <c r="AB376" i="34"/>
  <c r="AB384" i="34"/>
  <c r="AB391" i="34"/>
  <c r="AB394" i="34"/>
  <c r="AB398" i="34"/>
  <c r="AB402" i="34"/>
  <c r="AB404" i="34"/>
  <c r="AB408" i="34"/>
  <c r="AB412" i="34"/>
  <c r="AB415" i="34"/>
  <c r="AB420" i="34"/>
  <c r="AB423" i="34"/>
  <c r="AB426" i="34"/>
  <c r="AB429" i="34"/>
  <c r="AB431" i="34"/>
  <c r="AB432" i="34"/>
  <c r="AB435" i="34"/>
  <c r="AB437" i="34"/>
  <c r="AB438" i="34"/>
  <c r="AB439" i="34"/>
  <c r="AB444" i="34"/>
  <c r="AB453" i="34"/>
  <c r="AB461" i="34"/>
  <c r="AB467" i="34"/>
  <c r="AB469" i="34"/>
  <c r="AB470" i="34"/>
  <c r="AB472" i="34"/>
  <c r="AB480" i="34"/>
  <c r="AB482" i="34"/>
  <c r="AB488" i="34"/>
  <c r="AB490" i="34"/>
  <c r="AB492" i="34"/>
  <c r="AB495" i="34"/>
  <c r="AB500" i="34"/>
  <c r="AB504" i="34"/>
  <c r="AB507" i="34"/>
  <c r="AB514" i="34"/>
  <c r="AB524" i="34"/>
  <c r="AB527" i="34"/>
  <c r="AB535" i="34"/>
  <c r="AB537" i="34"/>
  <c r="AB546" i="34"/>
  <c r="AB547" i="34"/>
  <c r="AB548" i="34"/>
  <c r="AB551" i="34"/>
  <c r="AB558" i="34"/>
  <c r="AB563" i="34"/>
  <c r="AB570" i="34"/>
  <c r="AB574" i="34"/>
  <c r="AB579" i="34"/>
  <c r="AB583" i="34"/>
  <c r="AB587" i="34"/>
  <c r="AB590" i="34"/>
  <c r="AB602" i="34"/>
  <c r="AB605" i="34"/>
  <c r="AB609" i="34"/>
  <c r="AB619" i="34"/>
  <c r="AB620" i="34"/>
  <c r="AB622" i="34"/>
  <c r="AB633" i="34"/>
  <c r="AB638" i="34"/>
  <c r="AB646" i="34"/>
  <c r="AB648" i="34"/>
  <c r="AB657" i="34"/>
  <c r="AB663" i="34"/>
  <c r="AB667" i="34"/>
  <c r="AB668" i="34"/>
  <c r="AB669" i="34"/>
  <c r="AB673" i="34"/>
  <c r="AB683" i="34"/>
  <c r="AB684" i="34"/>
  <c r="AB690" i="34"/>
  <c r="AB696" i="34"/>
  <c r="AB701" i="34"/>
  <c r="AB708" i="34"/>
  <c r="AB710" i="34"/>
  <c r="AB712" i="34"/>
  <c r="AB720" i="34"/>
  <c r="AB722" i="34"/>
  <c r="AB726" i="34"/>
  <c r="AB727" i="34"/>
  <c r="AB733" i="34"/>
  <c r="AB735" i="34"/>
  <c r="AB738" i="34"/>
  <c r="AB742" i="34"/>
  <c r="AB745" i="34"/>
  <c r="AB755" i="34"/>
  <c r="AB762" i="34"/>
  <c r="AB765" i="34"/>
  <c r="AB771" i="34"/>
  <c r="AB774" i="34"/>
  <c r="AB780" i="34"/>
  <c r="AB786" i="34"/>
  <c r="AB796" i="34"/>
  <c r="AB797" i="34"/>
  <c r="AB799" i="34"/>
  <c r="AB802" i="34"/>
  <c r="AB804" i="34"/>
  <c r="AB808" i="34"/>
  <c r="AB812" i="34"/>
  <c r="AB816" i="34"/>
  <c r="AB817" i="34"/>
  <c r="AB824" i="34"/>
  <c r="AB830" i="34"/>
  <c r="AC23" i="34"/>
  <c r="AC25" i="34"/>
  <c r="AC29" i="34"/>
  <c r="AC34" i="34"/>
  <c r="AC42" i="34"/>
  <c r="AC52" i="34"/>
  <c r="AC60" i="34"/>
  <c r="AC65" i="34"/>
  <c r="AC73" i="34"/>
  <c r="AC77" i="34"/>
  <c r="AC87" i="34"/>
  <c r="AC95" i="34"/>
  <c r="AC96" i="34"/>
  <c r="AC107" i="34"/>
  <c r="AC122" i="34"/>
  <c r="AC124" i="34"/>
  <c r="AC125" i="34"/>
  <c r="AC130" i="34"/>
  <c r="AC138" i="34"/>
  <c r="AC142" i="34"/>
  <c r="AC143" i="34"/>
  <c r="AC152" i="34"/>
  <c r="AC155" i="34"/>
  <c r="AC156" i="34"/>
  <c r="AC158" i="34"/>
  <c r="AC173" i="34"/>
  <c r="AC176" i="34"/>
  <c r="AC179" i="34"/>
  <c r="AC180" i="34"/>
  <c r="AC183" i="34"/>
  <c r="AC188" i="34"/>
  <c r="AC193" i="34"/>
  <c r="AC195" i="34"/>
  <c r="AC200" i="34"/>
  <c r="AC208" i="34"/>
  <c r="AC213" i="34"/>
  <c r="AC218" i="34"/>
  <c r="AC224" i="34"/>
  <c r="AC225" i="34"/>
  <c r="AC229" i="34"/>
  <c r="AC236" i="34"/>
  <c r="AC248" i="34"/>
  <c r="AC256" i="34"/>
  <c r="AC263" i="34"/>
  <c r="AC270" i="34"/>
  <c r="AC272" i="34"/>
  <c r="AC282" i="34"/>
  <c r="AC289" i="34"/>
  <c r="AC293" i="34"/>
  <c r="AC298" i="34"/>
  <c r="AC305" i="34"/>
  <c r="AC308" i="34"/>
  <c r="AC309" i="34"/>
  <c r="AC333" i="34"/>
  <c r="AC337" i="34"/>
  <c r="AC345" i="34"/>
  <c r="AC353" i="34"/>
  <c r="AC356" i="34"/>
  <c r="AC366" i="34"/>
  <c r="AC369" i="34"/>
  <c r="AC376" i="34"/>
  <c r="AC384" i="34"/>
  <c r="AC391" i="34"/>
  <c r="AC394" i="34"/>
  <c r="AC398" i="34"/>
  <c r="AC402" i="34"/>
  <c r="AC404" i="34"/>
  <c r="AC408" i="34"/>
  <c r="AC412" i="34"/>
  <c r="AC415" i="34"/>
  <c r="AC420" i="34"/>
  <c r="AC423" i="34"/>
  <c r="AC426" i="34"/>
  <c r="AC429" i="34"/>
  <c r="AC431" i="34"/>
  <c r="AC432" i="34"/>
  <c r="AC435" i="34"/>
  <c r="AC437" i="34"/>
  <c r="AC438" i="34"/>
  <c r="AC439" i="34"/>
  <c r="AC444" i="34"/>
  <c r="AC453" i="34"/>
  <c r="AC461" i="34"/>
  <c r="AC467" i="34"/>
  <c r="AC469" i="34"/>
  <c r="AC470" i="34"/>
  <c r="AC472" i="34"/>
  <c r="AC480" i="34"/>
  <c r="AC482" i="34"/>
  <c r="AC488" i="34"/>
  <c r="AC490" i="34"/>
  <c r="AC492" i="34"/>
  <c r="AC495" i="34"/>
  <c r="AC500" i="34"/>
  <c r="AC504" i="34"/>
  <c r="AC507" i="34"/>
  <c r="AC514" i="34"/>
  <c r="AC524" i="34"/>
  <c r="AC527" i="34"/>
  <c r="AC535" i="34"/>
  <c r="AC537" i="34"/>
  <c r="AC546" i="34"/>
  <c r="AC547" i="34"/>
  <c r="AC548" i="34"/>
  <c r="AC551" i="34"/>
  <c r="AC558" i="34"/>
  <c r="AC563" i="34"/>
  <c r="AC570" i="34"/>
  <c r="AC574" i="34"/>
  <c r="AC579" i="34"/>
  <c r="AC583" i="34"/>
  <c r="AC587" i="34"/>
  <c r="AC590" i="34"/>
  <c r="AC602" i="34"/>
  <c r="AC605" i="34"/>
  <c r="AC609" i="34"/>
  <c r="AC619" i="34"/>
  <c r="AC620" i="34"/>
  <c r="AC622" i="34"/>
  <c r="AC633" i="34"/>
  <c r="AC638" i="34"/>
  <c r="AC646" i="34"/>
  <c r="AC648" i="34"/>
  <c r="AC657" i="34"/>
  <c r="AC663" i="34"/>
  <c r="AC667" i="34"/>
  <c r="AC668" i="34"/>
  <c r="AC669" i="34"/>
  <c r="AC673" i="34"/>
  <c r="AC683" i="34"/>
  <c r="AC684" i="34"/>
  <c r="AC690" i="34"/>
  <c r="AC696" i="34"/>
  <c r="AC701" i="34"/>
  <c r="AC708" i="34"/>
  <c r="AC710" i="34"/>
  <c r="AC712" i="34"/>
  <c r="AC720" i="34"/>
  <c r="AC722" i="34"/>
  <c r="AC726" i="34"/>
  <c r="AC727" i="34"/>
  <c r="AC733" i="34"/>
  <c r="AC735" i="34"/>
  <c r="AC738" i="34"/>
  <c r="AC742" i="34"/>
  <c r="AC745" i="34"/>
  <c r="AC755" i="34"/>
  <c r="AC762" i="34"/>
  <c r="AC765" i="34"/>
  <c r="AC771" i="34"/>
  <c r="AC774" i="34"/>
  <c r="AC780" i="34"/>
  <c r="AC786" i="34"/>
  <c r="AC796" i="34"/>
  <c r="AC797" i="34"/>
  <c r="AC799" i="34"/>
  <c r="AC802" i="34"/>
  <c r="AC804" i="34"/>
  <c r="AC808" i="34"/>
  <c r="AC812" i="34"/>
  <c r="AC816" i="34"/>
  <c r="AC817" i="34"/>
  <c r="AC824" i="34"/>
  <c r="AC830" i="34"/>
  <c r="AD23" i="34"/>
  <c r="AD25" i="34"/>
  <c r="AD29" i="34"/>
  <c r="AD34" i="34"/>
  <c r="AD42" i="34"/>
  <c r="AD52" i="34"/>
  <c r="AD60" i="34"/>
  <c r="AD65" i="34"/>
  <c r="AD73" i="34"/>
  <c r="AD77" i="34"/>
  <c r="AD87" i="34"/>
  <c r="AD95" i="34"/>
  <c r="AD96" i="34"/>
  <c r="AD107" i="34"/>
  <c r="AD122" i="34"/>
  <c r="AD124" i="34"/>
  <c r="AD125" i="34"/>
  <c r="AD130" i="34"/>
  <c r="AD138" i="34"/>
  <c r="AD142" i="34"/>
  <c r="AD143" i="34"/>
  <c r="AD152" i="34"/>
  <c r="AD155" i="34"/>
  <c r="AD156" i="34"/>
  <c r="AD158" i="34"/>
  <c r="AD173" i="34"/>
  <c r="AD176" i="34"/>
  <c r="AD179" i="34"/>
  <c r="AD180" i="34"/>
  <c r="AD183" i="34"/>
  <c r="AD188" i="34"/>
  <c r="AD193" i="34"/>
  <c r="AD195" i="34"/>
  <c r="AD200" i="34"/>
  <c r="AD208" i="34"/>
  <c r="AD213" i="34"/>
  <c r="AD218" i="34"/>
  <c r="AD224" i="34"/>
  <c r="AD225" i="34"/>
  <c r="AD229" i="34"/>
  <c r="AD236" i="34"/>
  <c r="AD248" i="34"/>
  <c r="AD256" i="34"/>
  <c r="AD263" i="34"/>
  <c r="AD270" i="34"/>
  <c r="AD272" i="34"/>
  <c r="AD282" i="34"/>
  <c r="AD289" i="34"/>
  <c r="AD293" i="34"/>
  <c r="AD298" i="34"/>
  <c r="AD305" i="34"/>
  <c r="AD308" i="34"/>
  <c r="AD309" i="34"/>
  <c r="AD333" i="34"/>
  <c r="AD337" i="34"/>
  <c r="AD345" i="34"/>
  <c r="AD353" i="34"/>
  <c r="AD356" i="34"/>
  <c r="AD366" i="34"/>
  <c r="AD369" i="34"/>
  <c r="AD376" i="34"/>
  <c r="AD384" i="34"/>
  <c r="AD391" i="34"/>
  <c r="AD394" i="34"/>
  <c r="AD398" i="34"/>
  <c r="AD402" i="34"/>
  <c r="AD404" i="34"/>
  <c r="AD408" i="34"/>
  <c r="AD412" i="34"/>
  <c r="AD415" i="34"/>
  <c r="AD420" i="34"/>
  <c r="AD423" i="34"/>
  <c r="AD426" i="34"/>
  <c r="AD429" i="34"/>
  <c r="AD431" i="34"/>
  <c r="AD432" i="34"/>
  <c r="AD435" i="34"/>
  <c r="AD437" i="34"/>
  <c r="AD438" i="34"/>
  <c r="AD439" i="34"/>
  <c r="AD444" i="34"/>
  <c r="AD453" i="34"/>
  <c r="AD461" i="34"/>
  <c r="AD467" i="34"/>
  <c r="AD469" i="34"/>
  <c r="AD470" i="34"/>
  <c r="AD472" i="34"/>
  <c r="AD480" i="34"/>
  <c r="AD482" i="34"/>
  <c r="AD488" i="34"/>
  <c r="AD490" i="34"/>
  <c r="AD492" i="34"/>
  <c r="AD495" i="34"/>
  <c r="AD500" i="34"/>
  <c r="AD504" i="34"/>
  <c r="AD507" i="34"/>
  <c r="AD514" i="34"/>
  <c r="AD524" i="34"/>
  <c r="AD527" i="34"/>
  <c r="AD535" i="34"/>
  <c r="AD537" i="34"/>
  <c r="AD546" i="34"/>
  <c r="AD547" i="34"/>
  <c r="AD548" i="34"/>
  <c r="AD551" i="34"/>
  <c r="AD558" i="34"/>
  <c r="AD563" i="34"/>
  <c r="AD570" i="34"/>
  <c r="AD574" i="34"/>
  <c r="AD579" i="34"/>
  <c r="AD583" i="34"/>
  <c r="AD587" i="34"/>
  <c r="AD590" i="34"/>
  <c r="AD602" i="34"/>
  <c r="AD605" i="34"/>
  <c r="AD609" i="34"/>
  <c r="AD619" i="34"/>
  <c r="AD620" i="34"/>
  <c r="AD622" i="34"/>
  <c r="AD633" i="34"/>
  <c r="AD638" i="34"/>
  <c r="AD646" i="34"/>
  <c r="AD648" i="34"/>
  <c r="AD657" i="34"/>
  <c r="AD663" i="34"/>
  <c r="AD667" i="34"/>
  <c r="AD668" i="34"/>
  <c r="AD669" i="34"/>
  <c r="AD673" i="34"/>
  <c r="AD683" i="34"/>
  <c r="AD684" i="34"/>
  <c r="AD690" i="34"/>
  <c r="AD696" i="34"/>
  <c r="AD701" i="34"/>
  <c r="AD708" i="34"/>
  <c r="AD710" i="34"/>
  <c r="AD712" i="34"/>
  <c r="AD720" i="34"/>
  <c r="AD722" i="34"/>
  <c r="AD726" i="34"/>
  <c r="AD727" i="34"/>
  <c r="AD733" i="34"/>
  <c r="AD735" i="34"/>
  <c r="AD738" i="34"/>
  <c r="AD742" i="34"/>
  <c r="AD745" i="34"/>
  <c r="AD755" i="34"/>
  <c r="AD762" i="34"/>
  <c r="AD765" i="34"/>
  <c r="AD771" i="34"/>
  <c r="AD774" i="34"/>
  <c r="AD780" i="34"/>
  <c r="AD786" i="34"/>
  <c r="AD796" i="34"/>
  <c r="AD797" i="34"/>
  <c r="AD799" i="34"/>
  <c r="AD802" i="34"/>
  <c r="AD804" i="34"/>
  <c r="AD808" i="34"/>
  <c r="AD812" i="34"/>
  <c r="AD816" i="34"/>
  <c r="AD817" i="34"/>
  <c r="AD824" i="34"/>
  <c r="AD830" i="34"/>
  <c r="AE23" i="34"/>
  <c r="AE25" i="34"/>
  <c r="AE29" i="34"/>
  <c r="AE34" i="34"/>
  <c r="AE42" i="34"/>
  <c r="AE52" i="34"/>
  <c r="AE60" i="34"/>
  <c r="AE65" i="34"/>
  <c r="AE73" i="34"/>
  <c r="AE77" i="34"/>
  <c r="AE87" i="34"/>
  <c r="AE95" i="34"/>
  <c r="AE96" i="34"/>
  <c r="AE107" i="34"/>
  <c r="AE122" i="34"/>
  <c r="AE124" i="34"/>
  <c r="AE125" i="34"/>
  <c r="AE130" i="34"/>
  <c r="AE138" i="34"/>
  <c r="AE142" i="34"/>
  <c r="AE143" i="34"/>
  <c r="AE152" i="34"/>
  <c r="AE155" i="34"/>
  <c r="AE156" i="34"/>
  <c r="AE158" i="34"/>
  <c r="AE173" i="34"/>
  <c r="AE176" i="34"/>
  <c r="AE179" i="34"/>
  <c r="AE180" i="34"/>
  <c r="AE183" i="34"/>
  <c r="AE188" i="34"/>
  <c r="AE193" i="34"/>
  <c r="AE195" i="34"/>
  <c r="AE200" i="34"/>
  <c r="AE208" i="34"/>
  <c r="AE213" i="34"/>
  <c r="AE218" i="34"/>
  <c r="AE224" i="34"/>
  <c r="AE225" i="34"/>
  <c r="AE229" i="34"/>
  <c r="AE236" i="34"/>
  <c r="AE248" i="34"/>
  <c r="AE256" i="34"/>
  <c r="AE263" i="34"/>
  <c r="AE270" i="34"/>
  <c r="AE272" i="34"/>
  <c r="AE282" i="34"/>
  <c r="AE289" i="34"/>
  <c r="AE293" i="34"/>
  <c r="AE298" i="34"/>
  <c r="AE305" i="34"/>
  <c r="AE308" i="34"/>
  <c r="AE309" i="34"/>
  <c r="AE333" i="34"/>
  <c r="AE337" i="34"/>
  <c r="AE345" i="34"/>
  <c r="AE353" i="34"/>
  <c r="AE356" i="34"/>
  <c r="AE366" i="34"/>
  <c r="AE369" i="34"/>
  <c r="AE376" i="34"/>
  <c r="AE384" i="34"/>
  <c r="AE391" i="34"/>
  <c r="AE394" i="34"/>
  <c r="AE398" i="34"/>
  <c r="AE402" i="34"/>
  <c r="AE404" i="34"/>
  <c r="AE408" i="34"/>
  <c r="AE412" i="34"/>
  <c r="AE415" i="34"/>
  <c r="AE420" i="34"/>
  <c r="AE423" i="34"/>
  <c r="AE426" i="34"/>
  <c r="AE429" i="34"/>
  <c r="AE431" i="34"/>
  <c r="AE432" i="34"/>
  <c r="AE435" i="34"/>
  <c r="AE437" i="34"/>
  <c r="AE438" i="34"/>
  <c r="AE439" i="34"/>
  <c r="AE444" i="34"/>
  <c r="AE453" i="34"/>
  <c r="AE461" i="34"/>
  <c r="AE467" i="34"/>
  <c r="AE469" i="34"/>
  <c r="AE470" i="34"/>
  <c r="AE472" i="34"/>
  <c r="AE480" i="34"/>
  <c r="AE482" i="34"/>
  <c r="AE488" i="34"/>
  <c r="AE490" i="34"/>
  <c r="AE492" i="34"/>
  <c r="AE495" i="34"/>
  <c r="AE500" i="34"/>
  <c r="AE504" i="34"/>
  <c r="AE507" i="34"/>
  <c r="AE514" i="34"/>
  <c r="AE524" i="34"/>
  <c r="AE527" i="34"/>
  <c r="AE535" i="34"/>
  <c r="AE537" i="34"/>
  <c r="AE546" i="34"/>
  <c r="AE547" i="34"/>
  <c r="AE548" i="34"/>
  <c r="AE551" i="34"/>
  <c r="AE558" i="34"/>
  <c r="AE563" i="34"/>
  <c r="AE570" i="34"/>
  <c r="AE574" i="34"/>
  <c r="AE579" i="34"/>
  <c r="AE583" i="34"/>
  <c r="AE587" i="34"/>
  <c r="AE590" i="34"/>
  <c r="AE602" i="34"/>
  <c r="AE605" i="34"/>
  <c r="AE609" i="34"/>
  <c r="AE619" i="34"/>
  <c r="AE620" i="34"/>
  <c r="AE622" i="34"/>
  <c r="AE633" i="34"/>
  <c r="AE638" i="34"/>
  <c r="AE646" i="34"/>
  <c r="AE648" i="34"/>
  <c r="AE657" i="34"/>
  <c r="AE663" i="34"/>
  <c r="AE667" i="34"/>
  <c r="AE668" i="34"/>
  <c r="AE669" i="34"/>
  <c r="AE673" i="34"/>
  <c r="AE683" i="34"/>
  <c r="AE684" i="34"/>
  <c r="AE690" i="34"/>
  <c r="AE696" i="34"/>
  <c r="AE701" i="34"/>
  <c r="AE708" i="34"/>
  <c r="AE710" i="34"/>
  <c r="AE712" i="34"/>
  <c r="AE720" i="34"/>
  <c r="AE722" i="34"/>
  <c r="AE726" i="34"/>
  <c r="AE727" i="34"/>
  <c r="AE733" i="34"/>
  <c r="AE735" i="34"/>
  <c r="AE738" i="34"/>
  <c r="AE742" i="34"/>
  <c r="AE745" i="34"/>
  <c r="AE755" i="34"/>
  <c r="AE762" i="34"/>
  <c r="AE765" i="34"/>
  <c r="AE771" i="34"/>
  <c r="AE774" i="34"/>
  <c r="AE780" i="34"/>
  <c r="AE786" i="34"/>
  <c r="AE796" i="34"/>
  <c r="AE797" i="34"/>
  <c r="AE799" i="34"/>
  <c r="AE802" i="34"/>
  <c r="AE804" i="34"/>
  <c r="AE808" i="34"/>
  <c r="AE812" i="34"/>
  <c r="AE816" i="34"/>
  <c r="AE817" i="34"/>
  <c r="AE824" i="34"/>
  <c r="AE830" i="34"/>
  <c r="AF23" i="34"/>
  <c r="AF25" i="34"/>
  <c r="AF29" i="34"/>
  <c r="AF34" i="34"/>
  <c r="AF42" i="34"/>
  <c r="AF52" i="34"/>
  <c r="AF60" i="34"/>
  <c r="AF65" i="34"/>
  <c r="AF73" i="34"/>
  <c r="AF77" i="34"/>
  <c r="AF87" i="34"/>
  <c r="AF95" i="34"/>
  <c r="AF96" i="34"/>
  <c r="AF107" i="34"/>
  <c r="AF122" i="34"/>
  <c r="AF124" i="34"/>
  <c r="AF125" i="34"/>
  <c r="AF130" i="34"/>
  <c r="AF138" i="34"/>
  <c r="AF142" i="34"/>
  <c r="AF143" i="34"/>
  <c r="AF152" i="34"/>
  <c r="AF155" i="34"/>
  <c r="AF156" i="34"/>
  <c r="AF158" i="34"/>
  <c r="AF173" i="34"/>
  <c r="AF176" i="34"/>
  <c r="AF179" i="34"/>
  <c r="AF180" i="34"/>
  <c r="AF183" i="34"/>
  <c r="AF188" i="34"/>
  <c r="AF193" i="34"/>
  <c r="AF195" i="34"/>
  <c r="AF200" i="34"/>
  <c r="AF208" i="34"/>
  <c r="AF213" i="34"/>
  <c r="AF218" i="34"/>
  <c r="AF224" i="34"/>
  <c r="AF225" i="34"/>
  <c r="AF229" i="34"/>
  <c r="AF236" i="34"/>
  <c r="AF248" i="34"/>
  <c r="AF256" i="34"/>
  <c r="AF263" i="34"/>
  <c r="AF270" i="34"/>
  <c r="AF272" i="34"/>
  <c r="AF282" i="34"/>
  <c r="AF289" i="34"/>
  <c r="AF293" i="34"/>
  <c r="AF298" i="34"/>
  <c r="AF305" i="34"/>
  <c r="AF308" i="34"/>
  <c r="AF309" i="34"/>
  <c r="AF333" i="34"/>
  <c r="AF337" i="34"/>
  <c r="AF345" i="34"/>
  <c r="AF353" i="34"/>
  <c r="AF356" i="34"/>
  <c r="AF366" i="34"/>
  <c r="AF369" i="34"/>
  <c r="AF376" i="34"/>
  <c r="AF384" i="34"/>
  <c r="AF391" i="34"/>
  <c r="AF394" i="34"/>
  <c r="AF398" i="34"/>
  <c r="AF402" i="34"/>
  <c r="AF404" i="34"/>
  <c r="AF408" i="34"/>
  <c r="AF412" i="34"/>
  <c r="AF415" i="34"/>
  <c r="AF420" i="34"/>
  <c r="AF423" i="34"/>
  <c r="AF426" i="34"/>
  <c r="AF429" i="34"/>
  <c r="AF431" i="34"/>
  <c r="AF432" i="34"/>
  <c r="AF435" i="34"/>
  <c r="AF437" i="34"/>
  <c r="AF438" i="34"/>
  <c r="AF439" i="34"/>
  <c r="AF444" i="34"/>
  <c r="AF453" i="34"/>
  <c r="AF461" i="34"/>
  <c r="AF467" i="34"/>
  <c r="AF469" i="34"/>
  <c r="AF470" i="34"/>
  <c r="AF472" i="34"/>
  <c r="AF480" i="34"/>
  <c r="AF482" i="34"/>
  <c r="AF488" i="34"/>
  <c r="AF490" i="34"/>
  <c r="AF492" i="34"/>
  <c r="AF495" i="34"/>
  <c r="AF500" i="34"/>
  <c r="AF504" i="34"/>
  <c r="AF507" i="34"/>
  <c r="AF514" i="34"/>
  <c r="AF524" i="34"/>
  <c r="AF527" i="34"/>
  <c r="AF535" i="34"/>
  <c r="AF537" i="34"/>
  <c r="AF546" i="34"/>
  <c r="AF547" i="34"/>
  <c r="AF548" i="34"/>
  <c r="AF551" i="34"/>
  <c r="AF558" i="34"/>
  <c r="AF563" i="34"/>
  <c r="AF570" i="34"/>
  <c r="AF574" i="34"/>
  <c r="AF579" i="34"/>
  <c r="AF583" i="34"/>
  <c r="AF587" i="34"/>
  <c r="AF590" i="34"/>
  <c r="AF602" i="34"/>
  <c r="AF605" i="34"/>
  <c r="AF609" i="34"/>
  <c r="AF619" i="34"/>
  <c r="AF620" i="34"/>
  <c r="AF622" i="34"/>
  <c r="AF633" i="34"/>
  <c r="AF638" i="34"/>
  <c r="AF646" i="34"/>
  <c r="AF648" i="34"/>
  <c r="AF657" i="34"/>
  <c r="AF663" i="34"/>
  <c r="AF667" i="34"/>
  <c r="AF668" i="34"/>
  <c r="AF669" i="34"/>
  <c r="AF673" i="34"/>
  <c r="AF683" i="34"/>
  <c r="AF684" i="34"/>
  <c r="AF690" i="34"/>
  <c r="AF696" i="34"/>
  <c r="AF701" i="34"/>
  <c r="AF708" i="34"/>
  <c r="AF710" i="34"/>
  <c r="AF712" i="34"/>
  <c r="AF720" i="34"/>
  <c r="AF722" i="34"/>
  <c r="AF726" i="34"/>
  <c r="AF727" i="34"/>
  <c r="AF733" i="34"/>
  <c r="AF735" i="34"/>
  <c r="AF738" i="34"/>
  <c r="AF742" i="34"/>
  <c r="AF745" i="34"/>
  <c r="AF755" i="34"/>
  <c r="AF762" i="34"/>
  <c r="AF765" i="34"/>
  <c r="AF771" i="34"/>
  <c r="AF774" i="34"/>
  <c r="AF780" i="34"/>
  <c r="AF786" i="34"/>
  <c r="AF796" i="34"/>
  <c r="AF797" i="34"/>
  <c r="AF799" i="34"/>
  <c r="AF802" i="34"/>
  <c r="AF804" i="34"/>
  <c r="AF808" i="34"/>
  <c r="AF812" i="34"/>
  <c r="AF816" i="34"/>
  <c r="AF817" i="34"/>
  <c r="AF824" i="34"/>
  <c r="AF830" i="34"/>
  <c r="AG23" i="34"/>
  <c r="AG25" i="34"/>
  <c r="AG29" i="34"/>
  <c r="AG34" i="34"/>
  <c r="AG42" i="34"/>
  <c r="AG52" i="34"/>
  <c r="AG60" i="34"/>
  <c r="AG65" i="34"/>
  <c r="AG73" i="34"/>
  <c r="AG77" i="34"/>
  <c r="AG87" i="34"/>
  <c r="AG95" i="34"/>
  <c r="AG96" i="34"/>
  <c r="AG107" i="34"/>
  <c r="AG122" i="34"/>
  <c r="AG124" i="34"/>
  <c r="AG125" i="34"/>
  <c r="AG130" i="34"/>
  <c r="AG138" i="34"/>
  <c r="AG142" i="34"/>
  <c r="AG143" i="34"/>
  <c r="AG152" i="34"/>
  <c r="AG155" i="34"/>
  <c r="AG156" i="34"/>
  <c r="AG158" i="34"/>
  <c r="AG173" i="34"/>
  <c r="AG176" i="34"/>
  <c r="AG179" i="34"/>
  <c r="AG180" i="34"/>
  <c r="AG183" i="34"/>
  <c r="AG188" i="34"/>
  <c r="AG193" i="34"/>
  <c r="AG195" i="34"/>
  <c r="AG200" i="34"/>
  <c r="AG208" i="34"/>
  <c r="AG213" i="34"/>
  <c r="AG218" i="34"/>
  <c r="AG224" i="34"/>
  <c r="AG225" i="34"/>
  <c r="AG229" i="34"/>
  <c r="AG236" i="34"/>
  <c r="AG248" i="34"/>
  <c r="AG256" i="34"/>
  <c r="AG263" i="34"/>
  <c r="AG270" i="34"/>
  <c r="AG272" i="34"/>
  <c r="AG282" i="34"/>
  <c r="AG289" i="34"/>
  <c r="AG293" i="34"/>
  <c r="AG298" i="34"/>
  <c r="AG305" i="34"/>
  <c r="AG308" i="34"/>
  <c r="AG309" i="34"/>
  <c r="AG333" i="34"/>
  <c r="AG337" i="34"/>
  <c r="AG345" i="34"/>
  <c r="AG353" i="34"/>
  <c r="AG356" i="34"/>
  <c r="AG366" i="34"/>
  <c r="AG369" i="34"/>
  <c r="AG376" i="34"/>
  <c r="AG384" i="34"/>
  <c r="AG391" i="34"/>
  <c r="AG394" i="34"/>
  <c r="AG398" i="34"/>
  <c r="AG402" i="34"/>
  <c r="AG404" i="34"/>
  <c r="AG408" i="34"/>
  <c r="AG412" i="34"/>
  <c r="AG415" i="34"/>
  <c r="AG420" i="34"/>
  <c r="AG423" i="34"/>
  <c r="AG426" i="34"/>
  <c r="AG429" i="34"/>
  <c r="AG431" i="34"/>
  <c r="AG432" i="34"/>
  <c r="AG435" i="34"/>
  <c r="AG437" i="34"/>
  <c r="AG438" i="34"/>
  <c r="AG439" i="34"/>
  <c r="AG444" i="34"/>
  <c r="AG453" i="34"/>
  <c r="AG461" i="34"/>
  <c r="AG467" i="34"/>
  <c r="AG469" i="34"/>
  <c r="AG470" i="34"/>
  <c r="AG472" i="34"/>
  <c r="AG480" i="34"/>
  <c r="AG482" i="34"/>
  <c r="AG488" i="34"/>
  <c r="AG490" i="34"/>
  <c r="AG492" i="34"/>
  <c r="AG495" i="34"/>
  <c r="AG500" i="34"/>
  <c r="AG504" i="34"/>
  <c r="AG507" i="34"/>
  <c r="AG514" i="34"/>
  <c r="AG524" i="34"/>
  <c r="AG527" i="34"/>
  <c r="AG535" i="34"/>
  <c r="AG537" i="34"/>
  <c r="AG546" i="34"/>
  <c r="AG547" i="34"/>
  <c r="AG548" i="34"/>
  <c r="AG551" i="34"/>
  <c r="AG558" i="34"/>
  <c r="AG563" i="34"/>
  <c r="AG570" i="34"/>
  <c r="AG574" i="34"/>
  <c r="AG579" i="34"/>
  <c r="AG583" i="34"/>
  <c r="AG587" i="34"/>
  <c r="AG590" i="34"/>
  <c r="AG602" i="34"/>
  <c r="AG605" i="34"/>
  <c r="AG609" i="34"/>
  <c r="AG619" i="34"/>
  <c r="AG620" i="34"/>
  <c r="AG622" i="34"/>
  <c r="AG633" i="34"/>
  <c r="AG638" i="34"/>
  <c r="AG646" i="34"/>
  <c r="AG648" i="34"/>
  <c r="AG657" i="34"/>
  <c r="AG663" i="34"/>
  <c r="AG667" i="34"/>
  <c r="AG668" i="34"/>
  <c r="AG669" i="34"/>
  <c r="AG673" i="34"/>
  <c r="AG683" i="34"/>
  <c r="AG684" i="34"/>
  <c r="AG690" i="34"/>
  <c r="AG696" i="34"/>
  <c r="AG701" i="34"/>
  <c r="AG708" i="34"/>
  <c r="AG710" i="34"/>
  <c r="AG712" i="34"/>
  <c r="AG720" i="34"/>
  <c r="AG722" i="34"/>
  <c r="AG726" i="34"/>
  <c r="AG727" i="34"/>
  <c r="AG733" i="34"/>
  <c r="AG735" i="34"/>
  <c r="AG738" i="34"/>
  <c r="AG742" i="34"/>
  <c r="AG745" i="34"/>
  <c r="AG755" i="34"/>
  <c r="AG762" i="34"/>
  <c r="AG765" i="34"/>
  <c r="AG771" i="34"/>
  <c r="AG774" i="34"/>
  <c r="AG780" i="34"/>
  <c r="AG786" i="34"/>
  <c r="AG796" i="34"/>
  <c r="AG797" i="34"/>
  <c r="AG799" i="34"/>
  <c r="AG802" i="34"/>
  <c r="AG804" i="34"/>
  <c r="AG808" i="34"/>
  <c r="AG812" i="34"/>
  <c r="AG816" i="34"/>
  <c r="AG817" i="34"/>
  <c r="AG824" i="34"/>
  <c r="AG830" i="34"/>
  <c r="D17" i="34"/>
  <c r="D20" i="34"/>
  <c r="D41" i="34"/>
  <c r="D44" i="34"/>
  <c r="D49" i="34"/>
  <c r="D53" i="34"/>
  <c r="D76" i="34"/>
  <c r="D86" i="34"/>
  <c r="D105" i="34"/>
  <c r="D119" i="34"/>
  <c r="D128" i="34"/>
  <c r="D134" i="34"/>
  <c r="D146" i="34"/>
  <c r="D164" i="34"/>
  <c r="D169" i="34"/>
  <c r="D187" i="34"/>
  <c r="D189" i="34"/>
  <c r="D192" i="34"/>
  <c r="D216" i="34"/>
  <c r="D219" i="34"/>
  <c r="D226" i="34"/>
  <c r="D228" i="34"/>
  <c r="D258" i="34"/>
  <c r="D277" i="34"/>
  <c r="D279" i="34"/>
  <c r="D281" i="34"/>
  <c r="D292" i="34"/>
  <c r="D313" i="34"/>
  <c r="D314" i="34"/>
  <c r="D321" i="34"/>
  <c r="D341" i="34"/>
  <c r="D342" i="34"/>
  <c r="D349" i="34"/>
  <c r="D354" i="34"/>
  <c r="D359" i="34"/>
  <c r="D365" i="34"/>
  <c r="D379" i="34"/>
  <c r="D382" i="34"/>
  <c r="D389" i="34"/>
  <c r="D390" i="34"/>
  <c r="D393" i="34"/>
  <c r="D399" i="34"/>
  <c r="D406" i="34"/>
  <c r="D416" i="34"/>
  <c r="D424" i="34"/>
  <c r="D440" i="34"/>
  <c r="D441" i="34"/>
  <c r="D452" i="34"/>
  <c r="D460" i="34"/>
  <c r="D479" i="34"/>
  <c r="D483" i="34"/>
  <c r="D485" i="34"/>
  <c r="D487" i="34"/>
  <c r="D489" i="34"/>
  <c r="D496" i="34"/>
  <c r="D509" i="34"/>
  <c r="D559" i="34"/>
  <c r="D567" i="34"/>
  <c r="D586" i="34"/>
  <c r="D592" i="34"/>
  <c r="D603" i="34"/>
  <c r="D604" i="34"/>
  <c r="D608" i="34"/>
  <c r="D613" i="34"/>
  <c r="D615" i="34"/>
  <c r="D621" i="34"/>
  <c r="D634" i="34"/>
  <c r="D653" i="34"/>
  <c r="D682" i="34"/>
  <c r="D685" i="34"/>
  <c r="D688" i="34"/>
  <c r="D694" i="34"/>
  <c r="D695" i="34"/>
  <c r="D697" i="34"/>
  <c r="D702" i="34"/>
  <c r="D709" i="34"/>
  <c r="D730" i="34"/>
  <c r="D750" i="34"/>
  <c r="D756" i="34"/>
  <c r="D763" i="34"/>
  <c r="D772" i="34"/>
  <c r="D778" i="34"/>
  <c r="D782" i="34"/>
  <c r="D801" i="34"/>
  <c r="D807" i="34"/>
  <c r="O17" i="34"/>
  <c r="O20" i="34"/>
  <c r="O41" i="34"/>
  <c r="O44" i="34"/>
  <c r="O49" i="34"/>
  <c r="O53" i="34"/>
  <c r="O76" i="34"/>
  <c r="O86" i="34"/>
  <c r="O105" i="34"/>
  <c r="O119" i="34"/>
  <c r="O128" i="34"/>
  <c r="O134" i="34"/>
  <c r="O146" i="34"/>
  <c r="O164" i="34"/>
  <c r="O169" i="34"/>
  <c r="O187" i="34"/>
  <c r="O189" i="34"/>
  <c r="O192" i="34"/>
  <c r="O216" i="34"/>
  <c r="O219" i="34"/>
  <c r="O226" i="34"/>
  <c r="O228" i="34"/>
  <c r="O258" i="34"/>
  <c r="O277" i="34"/>
  <c r="O279" i="34"/>
  <c r="O281" i="34"/>
  <c r="O292" i="34"/>
  <c r="O313" i="34"/>
  <c r="O314" i="34"/>
  <c r="O321" i="34"/>
  <c r="O341" i="34"/>
  <c r="O342" i="34"/>
  <c r="O349" i="34"/>
  <c r="O354" i="34"/>
  <c r="O359" i="34"/>
  <c r="O365" i="34"/>
  <c r="O379" i="34"/>
  <c r="O382" i="34"/>
  <c r="O389" i="34"/>
  <c r="O390" i="34"/>
  <c r="O393" i="34"/>
  <c r="O399" i="34"/>
  <c r="O406" i="34"/>
  <c r="O416" i="34"/>
  <c r="O424" i="34"/>
  <c r="O440" i="34"/>
  <c r="O441" i="34"/>
  <c r="O452" i="34"/>
  <c r="O460" i="34"/>
  <c r="O479" i="34"/>
  <c r="O483" i="34"/>
  <c r="O485" i="34"/>
  <c r="O487" i="34"/>
  <c r="O489" i="34"/>
  <c r="O496" i="34"/>
  <c r="O509" i="34"/>
  <c r="O559" i="34"/>
  <c r="O567" i="34"/>
  <c r="O586" i="34"/>
  <c r="O592" i="34"/>
  <c r="O603" i="34"/>
  <c r="O604" i="34"/>
  <c r="O608" i="34"/>
  <c r="O613" i="34"/>
  <c r="O615" i="34"/>
  <c r="O621" i="34"/>
  <c r="O634" i="34"/>
  <c r="O653" i="34"/>
  <c r="O682" i="34"/>
  <c r="O685" i="34"/>
  <c r="O688" i="34"/>
  <c r="O694" i="34"/>
  <c r="O695" i="34"/>
  <c r="O697" i="34"/>
  <c r="O702" i="34"/>
  <c r="O709" i="34"/>
  <c r="O730" i="34"/>
  <c r="O750" i="34"/>
  <c r="O756" i="34"/>
  <c r="O763" i="34"/>
  <c r="O772" i="34"/>
  <c r="O778" i="34"/>
  <c r="O782" i="34"/>
  <c r="O801" i="34"/>
  <c r="O807" i="34"/>
  <c r="P17" i="34"/>
  <c r="P20" i="34"/>
  <c r="P41" i="34"/>
  <c r="P44" i="34"/>
  <c r="P49" i="34"/>
  <c r="P53" i="34"/>
  <c r="P76" i="34"/>
  <c r="P86" i="34"/>
  <c r="P105" i="34"/>
  <c r="P119" i="34"/>
  <c r="P128" i="34"/>
  <c r="P134" i="34"/>
  <c r="P146" i="34"/>
  <c r="P164" i="34"/>
  <c r="P169" i="34"/>
  <c r="P187" i="34"/>
  <c r="P189" i="34"/>
  <c r="P192" i="34"/>
  <c r="P216" i="34"/>
  <c r="P219" i="34"/>
  <c r="P226" i="34"/>
  <c r="P228" i="34"/>
  <c r="P258" i="34"/>
  <c r="P277" i="34"/>
  <c r="P279" i="34"/>
  <c r="P281" i="34"/>
  <c r="P292" i="34"/>
  <c r="P313" i="34"/>
  <c r="P314" i="34"/>
  <c r="P321" i="34"/>
  <c r="P341" i="34"/>
  <c r="P342" i="34"/>
  <c r="P349" i="34"/>
  <c r="P354" i="34"/>
  <c r="P359" i="34"/>
  <c r="P365" i="34"/>
  <c r="P379" i="34"/>
  <c r="P382" i="34"/>
  <c r="P389" i="34"/>
  <c r="P390" i="34"/>
  <c r="P393" i="34"/>
  <c r="P399" i="34"/>
  <c r="P406" i="34"/>
  <c r="P416" i="34"/>
  <c r="P424" i="34"/>
  <c r="P440" i="34"/>
  <c r="P441" i="34"/>
  <c r="P452" i="34"/>
  <c r="P460" i="34"/>
  <c r="P479" i="34"/>
  <c r="P483" i="34"/>
  <c r="P485" i="34"/>
  <c r="P487" i="34"/>
  <c r="P489" i="34"/>
  <c r="P496" i="34"/>
  <c r="P509" i="34"/>
  <c r="P559" i="34"/>
  <c r="P567" i="34"/>
  <c r="P586" i="34"/>
  <c r="P592" i="34"/>
  <c r="P603" i="34"/>
  <c r="P604" i="34"/>
  <c r="P608" i="34"/>
  <c r="P613" i="34"/>
  <c r="P615" i="34"/>
  <c r="P621" i="34"/>
  <c r="P634" i="34"/>
  <c r="P653" i="34"/>
  <c r="P682" i="34"/>
  <c r="P685" i="34"/>
  <c r="P688" i="34"/>
  <c r="P694" i="34"/>
  <c r="P695" i="34"/>
  <c r="P697" i="34"/>
  <c r="P702" i="34"/>
  <c r="P709" i="34"/>
  <c r="P730" i="34"/>
  <c r="P750" i="34"/>
  <c r="P756" i="34"/>
  <c r="P763" i="34"/>
  <c r="P772" i="34"/>
  <c r="P778" i="34"/>
  <c r="P782" i="34"/>
  <c r="P801" i="34"/>
  <c r="P807" i="34"/>
  <c r="Q17" i="34"/>
  <c r="Q20" i="34"/>
  <c r="Q41" i="34"/>
  <c r="Q44" i="34"/>
  <c r="Q49" i="34"/>
  <c r="Q53" i="34"/>
  <c r="Q76" i="34"/>
  <c r="Q86" i="34"/>
  <c r="Q105" i="34"/>
  <c r="Q119" i="34"/>
  <c r="Q128" i="34"/>
  <c r="Q134" i="34"/>
  <c r="Q146" i="34"/>
  <c r="Q164" i="34"/>
  <c r="Q169" i="34"/>
  <c r="Q187" i="34"/>
  <c r="Q189" i="34"/>
  <c r="Q192" i="34"/>
  <c r="Q216" i="34"/>
  <c r="Q219" i="34"/>
  <c r="Q226" i="34"/>
  <c r="Q228" i="34"/>
  <c r="Q258" i="34"/>
  <c r="Q277" i="34"/>
  <c r="Q279" i="34"/>
  <c r="Q281" i="34"/>
  <c r="Q292" i="34"/>
  <c r="Q313" i="34"/>
  <c r="Q314" i="34"/>
  <c r="Q321" i="34"/>
  <c r="Q341" i="34"/>
  <c r="Q342" i="34"/>
  <c r="Q349" i="34"/>
  <c r="Q354" i="34"/>
  <c r="Q359" i="34"/>
  <c r="Q365" i="34"/>
  <c r="Q379" i="34"/>
  <c r="Q382" i="34"/>
  <c r="Q389" i="34"/>
  <c r="Q390" i="34"/>
  <c r="Q393" i="34"/>
  <c r="Q399" i="34"/>
  <c r="Q406" i="34"/>
  <c r="Q416" i="34"/>
  <c r="Q424" i="34"/>
  <c r="Q440" i="34"/>
  <c r="Q441" i="34"/>
  <c r="Q452" i="34"/>
  <c r="Q460" i="34"/>
  <c r="Q479" i="34"/>
  <c r="Q483" i="34"/>
  <c r="Q485" i="34"/>
  <c r="Q487" i="34"/>
  <c r="Q489" i="34"/>
  <c r="Q496" i="34"/>
  <c r="Q509" i="34"/>
  <c r="Q559" i="34"/>
  <c r="Q567" i="34"/>
  <c r="Q586" i="34"/>
  <c r="Q592" i="34"/>
  <c r="Q603" i="34"/>
  <c r="Q604" i="34"/>
  <c r="Q608" i="34"/>
  <c r="Q613" i="34"/>
  <c r="Q615" i="34"/>
  <c r="Q621" i="34"/>
  <c r="Q634" i="34"/>
  <c r="Q653" i="34"/>
  <c r="Q682" i="34"/>
  <c r="Q685" i="34"/>
  <c r="Q688" i="34"/>
  <c r="Q694" i="34"/>
  <c r="Q695" i="34"/>
  <c r="Q697" i="34"/>
  <c r="Q702" i="34"/>
  <c r="Q709" i="34"/>
  <c r="Q730" i="34"/>
  <c r="Q750" i="34"/>
  <c r="Q756" i="34"/>
  <c r="Q763" i="34"/>
  <c r="Q772" i="34"/>
  <c r="Q778" i="34"/>
  <c r="Q782" i="34"/>
  <c r="Q801" i="34"/>
  <c r="Q807" i="34"/>
  <c r="U17" i="34"/>
  <c r="U20" i="34"/>
  <c r="U41" i="34"/>
  <c r="U44" i="34"/>
  <c r="U49" i="34"/>
  <c r="U53" i="34"/>
  <c r="U76" i="34"/>
  <c r="U86" i="34"/>
  <c r="U105" i="34"/>
  <c r="U119" i="34"/>
  <c r="U128" i="34"/>
  <c r="U134" i="34"/>
  <c r="U146" i="34"/>
  <c r="U164" i="34"/>
  <c r="U169" i="34"/>
  <c r="U187" i="34"/>
  <c r="U189" i="34"/>
  <c r="U192" i="34"/>
  <c r="U216" i="34"/>
  <c r="U219" i="34"/>
  <c r="U226" i="34"/>
  <c r="U228" i="34"/>
  <c r="U258" i="34"/>
  <c r="U277" i="34"/>
  <c r="U279" i="34"/>
  <c r="U281" i="34"/>
  <c r="U292" i="34"/>
  <c r="U313" i="34"/>
  <c r="U314" i="34"/>
  <c r="U321" i="34"/>
  <c r="U341" i="34"/>
  <c r="U342" i="34"/>
  <c r="U349" i="34"/>
  <c r="U354" i="34"/>
  <c r="U359" i="34"/>
  <c r="U365" i="34"/>
  <c r="U379" i="34"/>
  <c r="U382" i="34"/>
  <c r="U389" i="34"/>
  <c r="U390" i="34"/>
  <c r="U393" i="34"/>
  <c r="U399" i="34"/>
  <c r="U406" i="34"/>
  <c r="U416" i="34"/>
  <c r="U424" i="34"/>
  <c r="U440" i="34"/>
  <c r="U441" i="34"/>
  <c r="U452" i="34"/>
  <c r="U460" i="34"/>
  <c r="U479" i="34"/>
  <c r="U483" i="34"/>
  <c r="U485" i="34"/>
  <c r="U487" i="34"/>
  <c r="U489" i="34"/>
  <c r="U496" i="34"/>
  <c r="U509" i="34"/>
  <c r="U559" i="34"/>
  <c r="U567" i="34"/>
  <c r="U586" i="34"/>
  <c r="U592" i="34"/>
  <c r="U603" i="34"/>
  <c r="U604" i="34"/>
  <c r="U608" i="34"/>
  <c r="U613" i="34"/>
  <c r="U615" i="34"/>
  <c r="U621" i="34"/>
  <c r="U634" i="34"/>
  <c r="U653" i="34"/>
  <c r="U682" i="34"/>
  <c r="U685" i="34"/>
  <c r="U688" i="34"/>
  <c r="U694" i="34"/>
  <c r="U695" i="34"/>
  <c r="U697" i="34"/>
  <c r="U702" i="34"/>
  <c r="U709" i="34"/>
  <c r="U730" i="34"/>
  <c r="U750" i="34"/>
  <c r="U756" i="34"/>
  <c r="U763" i="34"/>
  <c r="U772" i="34"/>
  <c r="U778" i="34"/>
  <c r="U782" i="34"/>
  <c r="U801" i="34"/>
  <c r="U807" i="34"/>
  <c r="V17" i="34"/>
  <c r="V20" i="34"/>
  <c r="V41" i="34"/>
  <c r="V44" i="34"/>
  <c r="V49" i="34"/>
  <c r="V53" i="34"/>
  <c r="V76" i="34"/>
  <c r="V86" i="34"/>
  <c r="V105" i="34"/>
  <c r="V119" i="34"/>
  <c r="V128" i="34"/>
  <c r="V134" i="34"/>
  <c r="V146" i="34"/>
  <c r="V164" i="34"/>
  <c r="V169" i="34"/>
  <c r="V187" i="34"/>
  <c r="V189" i="34"/>
  <c r="V192" i="34"/>
  <c r="V216" i="34"/>
  <c r="V219" i="34"/>
  <c r="V226" i="34"/>
  <c r="V228" i="34"/>
  <c r="V258" i="34"/>
  <c r="V277" i="34"/>
  <c r="V279" i="34"/>
  <c r="V281" i="34"/>
  <c r="V292" i="34"/>
  <c r="V313" i="34"/>
  <c r="V314" i="34"/>
  <c r="V321" i="34"/>
  <c r="V341" i="34"/>
  <c r="V342" i="34"/>
  <c r="V349" i="34"/>
  <c r="V354" i="34"/>
  <c r="V359" i="34"/>
  <c r="V365" i="34"/>
  <c r="V379" i="34"/>
  <c r="V382" i="34"/>
  <c r="V389" i="34"/>
  <c r="V390" i="34"/>
  <c r="V393" i="34"/>
  <c r="V399" i="34"/>
  <c r="V406" i="34"/>
  <c r="V416" i="34"/>
  <c r="V424" i="34"/>
  <c r="V440" i="34"/>
  <c r="V441" i="34"/>
  <c r="V452" i="34"/>
  <c r="V460" i="34"/>
  <c r="V479" i="34"/>
  <c r="V483" i="34"/>
  <c r="V485" i="34"/>
  <c r="V487" i="34"/>
  <c r="V489" i="34"/>
  <c r="V496" i="34"/>
  <c r="V509" i="34"/>
  <c r="V559" i="34"/>
  <c r="V567" i="34"/>
  <c r="V586" i="34"/>
  <c r="V592" i="34"/>
  <c r="V603" i="34"/>
  <c r="V604" i="34"/>
  <c r="V608" i="34"/>
  <c r="V613" i="34"/>
  <c r="V615" i="34"/>
  <c r="V621" i="34"/>
  <c r="V634" i="34"/>
  <c r="V653" i="34"/>
  <c r="V682" i="34"/>
  <c r="V685" i="34"/>
  <c r="V688" i="34"/>
  <c r="V694" i="34"/>
  <c r="V695" i="34"/>
  <c r="V697" i="34"/>
  <c r="V702" i="34"/>
  <c r="V709" i="34"/>
  <c r="V730" i="34"/>
  <c r="V750" i="34"/>
  <c r="V756" i="34"/>
  <c r="V763" i="34"/>
  <c r="V772" i="34"/>
  <c r="V778" i="34"/>
  <c r="V782" i="34"/>
  <c r="V801" i="34"/>
  <c r="V807" i="34"/>
  <c r="W17" i="34"/>
  <c r="W20" i="34"/>
  <c r="W41" i="34"/>
  <c r="W44" i="34"/>
  <c r="W49" i="34"/>
  <c r="W53" i="34"/>
  <c r="W76" i="34"/>
  <c r="W86" i="34"/>
  <c r="W105" i="34"/>
  <c r="W119" i="34"/>
  <c r="W128" i="34"/>
  <c r="W134" i="34"/>
  <c r="W146" i="34"/>
  <c r="W164" i="34"/>
  <c r="W169" i="34"/>
  <c r="W187" i="34"/>
  <c r="W189" i="34"/>
  <c r="W192" i="34"/>
  <c r="W216" i="34"/>
  <c r="W219" i="34"/>
  <c r="W226" i="34"/>
  <c r="W228" i="34"/>
  <c r="W258" i="34"/>
  <c r="W277" i="34"/>
  <c r="W279" i="34"/>
  <c r="W281" i="34"/>
  <c r="W292" i="34"/>
  <c r="W313" i="34"/>
  <c r="W314" i="34"/>
  <c r="W321" i="34"/>
  <c r="W341" i="34"/>
  <c r="W342" i="34"/>
  <c r="W349" i="34"/>
  <c r="W354" i="34"/>
  <c r="W359" i="34"/>
  <c r="W365" i="34"/>
  <c r="W379" i="34"/>
  <c r="W382" i="34"/>
  <c r="W389" i="34"/>
  <c r="W390" i="34"/>
  <c r="W393" i="34"/>
  <c r="W399" i="34"/>
  <c r="W406" i="34"/>
  <c r="W416" i="34"/>
  <c r="W424" i="34"/>
  <c r="W440" i="34"/>
  <c r="W441" i="34"/>
  <c r="W452" i="34"/>
  <c r="W460" i="34"/>
  <c r="W479" i="34"/>
  <c r="W483" i="34"/>
  <c r="W485" i="34"/>
  <c r="W487" i="34"/>
  <c r="W489" i="34"/>
  <c r="W496" i="34"/>
  <c r="W509" i="34"/>
  <c r="W559" i="34"/>
  <c r="W567" i="34"/>
  <c r="W586" i="34"/>
  <c r="W592" i="34"/>
  <c r="W603" i="34"/>
  <c r="W604" i="34"/>
  <c r="W608" i="34"/>
  <c r="W613" i="34"/>
  <c r="W615" i="34"/>
  <c r="W621" i="34"/>
  <c r="W634" i="34"/>
  <c r="W653" i="34"/>
  <c r="W682" i="34"/>
  <c r="W685" i="34"/>
  <c r="W688" i="34"/>
  <c r="W694" i="34"/>
  <c r="W695" i="34"/>
  <c r="W697" i="34"/>
  <c r="W702" i="34"/>
  <c r="W709" i="34"/>
  <c r="W730" i="34"/>
  <c r="W750" i="34"/>
  <c r="W756" i="34"/>
  <c r="W763" i="34"/>
  <c r="W772" i="34"/>
  <c r="W778" i="34"/>
  <c r="W782" i="34"/>
  <c r="W801" i="34"/>
  <c r="W807" i="34"/>
  <c r="X17" i="34"/>
  <c r="X20" i="34"/>
  <c r="X41" i="34"/>
  <c r="X44" i="34"/>
  <c r="X49" i="34"/>
  <c r="X53" i="34"/>
  <c r="X76" i="34"/>
  <c r="X86" i="34"/>
  <c r="X105" i="34"/>
  <c r="X119" i="34"/>
  <c r="X128" i="34"/>
  <c r="X134" i="34"/>
  <c r="X146" i="34"/>
  <c r="X164" i="34"/>
  <c r="X169" i="34"/>
  <c r="X187" i="34"/>
  <c r="X189" i="34"/>
  <c r="X192" i="34"/>
  <c r="X216" i="34"/>
  <c r="X219" i="34"/>
  <c r="X226" i="34"/>
  <c r="X228" i="34"/>
  <c r="X258" i="34"/>
  <c r="X277" i="34"/>
  <c r="X279" i="34"/>
  <c r="X281" i="34"/>
  <c r="X292" i="34"/>
  <c r="X313" i="34"/>
  <c r="X314" i="34"/>
  <c r="X321" i="34"/>
  <c r="X341" i="34"/>
  <c r="X342" i="34"/>
  <c r="X349" i="34"/>
  <c r="X354" i="34"/>
  <c r="X359" i="34"/>
  <c r="X365" i="34"/>
  <c r="X379" i="34"/>
  <c r="X382" i="34"/>
  <c r="X389" i="34"/>
  <c r="X390" i="34"/>
  <c r="X393" i="34"/>
  <c r="X399" i="34"/>
  <c r="X406" i="34"/>
  <c r="X416" i="34"/>
  <c r="X424" i="34"/>
  <c r="X440" i="34"/>
  <c r="X441" i="34"/>
  <c r="X452" i="34"/>
  <c r="X460" i="34"/>
  <c r="X479" i="34"/>
  <c r="X483" i="34"/>
  <c r="X485" i="34"/>
  <c r="X487" i="34"/>
  <c r="X489" i="34"/>
  <c r="X496" i="34"/>
  <c r="X509" i="34"/>
  <c r="X559" i="34"/>
  <c r="X567" i="34"/>
  <c r="X586" i="34"/>
  <c r="X592" i="34"/>
  <c r="X603" i="34"/>
  <c r="X604" i="34"/>
  <c r="X608" i="34"/>
  <c r="X613" i="34"/>
  <c r="X615" i="34"/>
  <c r="X621" i="34"/>
  <c r="X634" i="34"/>
  <c r="X653" i="34"/>
  <c r="X682" i="34"/>
  <c r="X685" i="34"/>
  <c r="X688" i="34"/>
  <c r="X694" i="34"/>
  <c r="X695" i="34"/>
  <c r="X697" i="34"/>
  <c r="X702" i="34"/>
  <c r="X709" i="34"/>
  <c r="X730" i="34"/>
  <c r="X750" i="34"/>
  <c r="X756" i="34"/>
  <c r="X763" i="34"/>
  <c r="X772" i="34"/>
  <c r="X778" i="34"/>
  <c r="X782" i="34"/>
  <c r="X801" i="34"/>
  <c r="X807" i="34"/>
  <c r="Y17" i="34"/>
  <c r="Y20" i="34"/>
  <c r="Y41" i="34"/>
  <c r="Y44" i="34"/>
  <c r="Y49" i="34"/>
  <c r="Y53" i="34"/>
  <c r="Y76" i="34"/>
  <c r="Y86" i="34"/>
  <c r="Y105" i="34"/>
  <c r="Y119" i="34"/>
  <c r="Y128" i="34"/>
  <c r="Y134" i="34"/>
  <c r="Y146" i="34"/>
  <c r="Y164" i="34"/>
  <c r="Y169" i="34"/>
  <c r="Y187" i="34"/>
  <c r="Y189" i="34"/>
  <c r="Y192" i="34"/>
  <c r="Y216" i="34"/>
  <c r="Y219" i="34"/>
  <c r="Y226" i="34"/>
  <c r="Y228" i="34"/>
  <c r="Y258" i="34"/>
  <c r="Y277" i="34"/>
  <c r="Y279" i="34"/>
  <c r="Y281" i="34"/>
  <c r="Y292" i="34"/>
  <c r="Y313" i="34"/>
  <c r="Y314" i="34"/>
  <c r="Y321" i="34"/>
  <c r="Y341" i="34"/>
  <c r="Y342" i="34"/>
  <c r="Y349" i="34"/>
  <c r="Y354" i="34"/>
  <c r="Y359" i="34"/>
  <c r="Y365" i="34"/>
  <c r="Y379" i="34"/>
  <c r="Y382" i="34"/>
  <c r="Y389" i="34"/>
  <c r="Y390" i="34"/>
  <c r="Y393" i="34"/>
  <c r="Y399" i="34"/>
  <c r="Y406" i="34"/>
  <c r="Y416" i="34"/>
  <c r="Y424" i="34"/>
  <c r="Y440" i="34"/>
  <c r="Y441" i="34"/>
  <c r="Y452" i="34"/>
  <c r="Y460" i="34"/>
  <c r="Y479" i="34"/>
  <c r="Y483" i="34"/>
  <c r="Y485" i="34"/>
  <c r="Y487" i="34"/>
  <c r="Y489" i="34"/>
  <c r="Y496" i="34"/>
  <c r="Y509" i="34"/>
  <c r="Y559" i="34"/>
  <c r="Y567" i="34"/>
  <c r="Y586" i="34"/>
  <c r="Y592" i="34"/>
  <c r="Y603" i="34"/>
  <c r="Y604" i="34"/>
  <c r="Y608" i="34"/>
  <c r="Y613" i="34"/>
  <c r="Y615" i="34"/>
  <c r="Y621" i="34"/>
  <c r="Y634" i="34"/>
  <c r="Y653" i="34"/>
  <c r="Y682" i="34"/>
  <c r="Y685" i="34"/>
  <c r="Y688" i="34"/>
  <c r="Y694" i="34"/>
  <c r="Y695" i="34"/>
  <c r="Y697" i="34"/>
  <c r="Y702" i="34"/>
  <c r="Y709" i="34"/>
  <c r="Y730" i="34"/>
  <c r="Y750" i="34"/>
  <c r="Y756" i="34"/>
  <c r="Y763" i="34"/>
  <c r="Y772" i="34"/>
  <c r="Y778" i="34"/>
  <c r="Y782" i="34"/>
  <c r="Y801" i="34"/>
  <c r="Y807" i="34"/>
  <c r="Z17" i="34"/>
  <c r="Z20" i="34"/>
  <c r="Z41" i="34"/>
  <c r="Z44" i="34"/>
  <c r="Z49" i="34"/>
  <c r="Z53" i="34"/>
  <c r="Z76" i="34"/>
  <c r="Z86" i="34"/>
  <c r="Z105" i="34"/>
  <c r="Z119" i="34"/>
  <c r="Z128" i="34"/>
  <c r="Z134" i="34"/>
  <c r="Z146" i="34"/>
  <c r="Z164" i="34"/>
  <c r="Z169" i="34"/>
  <c r="Z187" i="34"/>
  <c r="Z189" i="34"/>
  <c r="Z192" i="34"/>
  <c r="Z216" i="34"/>
  <c r="Z219" i="34"/>
  <c r="Z226" i="34"/>
  <c r="Z228" i="34"/>
  <c r="Z258" i="34"/>
  <c r="Z277" i="34"/>
  <c r="Z279" i="34"/>
  <c r="Z281" i="34"/>
  <c r="Z292" i="34"/>
  <c r="Z313" i="34"/>
  <c r="Z314" i="34"/>
  <c r="Z321" i="34"/>
  <c r="Z341" i="34"/>
  <c r="Z342" i="34"/>
  <c r="Z349" i="34"/>
  <c r="Z354" i="34"/>
  <c r="Z359" i="34"/>
  <c r="Z365" i="34"/>
  <c r="Z379" i="34"/>
  <c r="Z382" i="34"/>
  <c r="Z389" i="34"/>
  <c r="Z390" i="34"/>
  <c r="Z393" i="34"/>
  <c r="Z399" i="34"/>
  <c r="Z406" i="34"/>
  <c r="Z416" i="34"/>
  <c r="Z424" i="34"/>
  <c r="Z440" i="34"/>
  <c r="Z441" i="34"/>
  <c r="Z452" i="34"/>
  <c r="Z460" i="34"/>
  <c r="Z479" i="34"/>
  <c r="Z483" i="34"/>
  <c r="Z485" i="34"/>
  <c r="Z487" i="34"/>
  <c r="Z489" i="34"/>
  <c r="Z496" i="34"/>
  <c r="Z509" i="34"/>
  <c r="Z559" i="34"/>
  <c r="Z567" i="34"/>
  <c r="Z586" i="34"/>
  <c r="Z592" i="34"/>
  <c r="Z603" i="34"/>
  <c r="Z604" i="34"/>
  <c r="Z608" i="34"/>
  <c r="Z613" i="34"/>
  <c r="Z615" i="34"/>
  <c r="Z621" i="34"/>
  <c r="Z634" i="34"/>
  <c r="Z653" i="34"/>
  <c r="Z682" i="34"/>
  <c r="Z685" i="34"/>
  <c r="Z688" i="34"/>
  <c r="Z694" i="34"/>
  <c r="Z695" i="34"/>
  <c r="Z697" i="34"/>
  <c r="Z702" i="34"/>
  <c r="Z709" i="34"/>
  <c r="Z730" i="34"/>
  <c r="Z750" i="34"/>
  <c r="Z756" i="34"/>
  <c r="Z763" i="34"/>
  <c r="Z772" i="34"/>
  <c r="Z778" i="34"/>
  <c r="Z782" i="34"/>
  <c r="Z801" i="34"/>
  <c r="Z807" i="34"/>
  <c r="AA17" i="34"/>
  <c r="AA20" i="34"/>
  <c r="AA41" i="34"/>
  <c r="AA44" i="34"/>
  <c r="AA49" i="34"/>
  <c r="AA53" i="34"/>
  <c r="AA76" i="34"/>
  <c r="AA86" i="34"/>
  <c r="AA105" i="34"/>
  <c r="AA119" i="34"/>
  <c r="AA128" i="34"/>
  <c r="AA134" i="34"/>
  <c r="AA146" i="34"/>
  <c r="AA164" i="34"/>
  <c r="AA169" i="34"/>
  <c r="AA187" i="34"/>
  <c r="AA189" i="34"/>
  <c r="AA192" i="34"/>
  <c r="AA216" i="34"/>
  <c r="AA219" i="34"/>
  <c r="AA226" i="34"/>
  <c r="AA228" i="34"/>
  <c r="AA258" i="34"/>
  <c r="AA277" i="34"/>
  <c r="AA279" i="34"/>
  <c r="AA281" i="34"/>
  <c r="AA292" i="34"/>
  <c r="AA313" i="34"/>
  <c r="AA314" i="34"/>
  <c r="AA321" i="34"/>
  <c r="AA341" i="34"/>
  <c r="AA342" i="34"/>
  <c r="AA349" i="34"/>
  <c r="AA354" i="34"/>
  <c r="AA359" i="34"/>
  <c r="AA365" i="34"/>
  <c r="AA379" i="34"/>
  <c r="AA382" i="34"/>
  <c r="AA389" i="34"/>
  <c r="AA390" i="34"/>
  <c r="AA393" i="34"/>
  <c r="AA399" i="34"/>
  <c r="AA406" i="34"/>
  <c r="AA416" i="34"/>
  <c r="AA424" i="34"/>
  <c r="AA440" i="34"/>
  <c r="AA441" i="34"/>
  <c r="AA452" i="34"/>
  <c r="AA460" i="34"/>
  <c r="AA479" i="34"/>
  <c r="AA483" i="34"/>
  <c r="AA485" i="34"/>
  <c r="AA487" i="34"/>
  <c r="AA489" i="34"/>
  <c r="AA496" i="34"/>
  <c r="AA509" i="34"/>
  <c r="AA559" i="34"/>
  <c r="AA567" i="34"/>
  <c r="AA586" i="34"/>
  <c r="AA592" i="34"/>
  <c r="AA603" i="34"/>
  <c r="AA604" i="34"/>
  <c r="AA608" i="34"/>
  <c r="AA613" i="34"/>
  <c r="AA615" i="34"/>
  <c r="AA621" i="34"/>
  <c r="AA634" i="34"/>
  <c r="AA653" i="34"/>
  <c r="AA682" i="34"/>
  <c r="AA685" i="34"/>
  <c r="AA688" i="34"/>
  <c r="AA694" i="34"/>
  <c r="AA695" i="34"/>
  <c r="AA697" i="34"/>
  <c r="AA702" i="34"/>
  <c r="AA709" i="34"/>
  <c r="AA730" i="34"/>
  <c r="AA750" i="34"/>
  <c r="AA756" i="34"/>
  <c r="AA763" i="34"/>
  <c r="AA772" i="34"/>
  <c r="AA778" i="34"/>
  <c r="AA782" i="34"/>
  <c r="AA801" i="34"/>
  <c r="AA807" i="34"/>
  <c r="AB17" i="34"/>
  <c r="AB20" i="34"/>
  <c r="AB41" i="34"/>
  <c r="AB44" i="34"/>
  <c r="AB49" i="34"/>
  <c r="AB53" i="34"/>
  <c r="AB76" i="34"/>
  <c r="AB86" i="34"/>
  <c r="AB105" i="34"/>
  <c r="AB119" i="34"/>
  <c r="AB128" i="34"/>
  <c r="AB134" i="34"/>
  <c r="AB146" i="34"/>
  <c r="AB164" i="34"/>
  <c r="AB169" i="34"/>
  <c r="AB187" i="34"/>
  <c r="AB189" i="34"/>
  <c r="AB192" i="34"/>
  <c r="AB216" i="34"/>
  <c r="AB219" i="34"/>
  <c r="AB226" i="34"/>
  <c r="AB228" i="34"/>
  <c r="AB258" i="34"/>
  <c r="AB277" i="34"/>
  <c r="AB279" i="34"/>
  <c r="AB281" i="34"/>
  <c r="AB292" i="34"/>
  <c r="AB313" i="34"/>
  <c r="AB314" i="34"/>
  <c r="AB321" i="34"/>
  <c r="AB341" i="34"/>
  <c r="AB342" i="34"/>
  <c r="AB349" i="34"/>
  <c r="AB354" i="34"/>
  <c r="AB359" i="34"/>
  <c r="AB365" i="34"/>
  <c r="AB379" i="34"/>
  <c r="AB382" i="34"/>
  <c r="AB389" i="34"/>
  <c r="AB390" i="34"/>
  <c r="AB393" i="34"/>
  <c r="AB399" i="34"/>
  <c r="AB406" i="34"/>
  <c r="AB416" i="34"/>
  <c r="AB424" i="34"/>
  <c r="AB440" i="34"/>
  <c r="AB441" i="34"/>
  <c r="AB452" i="34"/>
  <c r="AB460" i="34"/>
  <c r="AB479" i="34"/>
  <c r="AB483" i="34"/>
  <c r="AB485" i="34"/>
  <c r="AB487" i="34"/>
  <c r="AB489" i="34"/>
  <c r="AB496" i="34"/>
  <c r="AB509" i="34"/>
  <c r="AB559" i="34"/>
  <c r="AB567" i="34"/>
  <c r="AB586" i="34"/>
  <c r="AB592" i="34"/>
  <c r="AB603" i="34"/>
  <c r="AB604" i="34"/>
  <c r="AB608" i="34"/>
  <c r="AB613" i="34"/>
  <c r="AB615" i="34"/>
  <c r="AB621" i="34"/>
  <c r="AB634" i="34"/>
  <c r="AB653" i="34"/>
  <c r="AB682" i="34"/>
  <c r="AB685" i="34"/>
  <c r="AB688" i="34"/>
  <c r="AB694" i="34"/>
  <c r="AB695" i="34"/>
  <c r="AB697" i="34"/>
  <c r="AB702" i="34"/>
  <c r="AB709" i="34"/>
  <c r="AB730" i="34"/>
  <c r="AB750" i="34"/>
  <c r="AB756" i="34"/>
  <c r="AB763" i="34"/>
  <c r="AB772" i="34"/>
  <c r="AB778" i="34"/>
  <c r="AB782" i="34"/>
  <c r="AB801" i="34"/>
  <c r="AB807" i="34"/>
  <c r="AC17" i="34"/>
  <c r="AC20" i="34"/>
  <c r="AC41" i="34"/>
  <c r="AC44" i="34"/>
  <c r="AC49" i="34"/>
  <c r="AC53" i="34"/>
  <c r="AC76" i="34"/>
  <c r="AC86" i="34"/>
  <c r="AC105" i="34"/>
  <c r="AC119" i="34"/>
  <c r="AC128" i="34"/>
  <c r="AC134" i="34"/>
  <c r="AC146" i="34"/>
  <c r="AC164" i="34"/>
  <c r="AC169" i="34"/>
  <c r="AC187" i="34"/>
  <c r="AC189" i="34"/>
  <c r="AC192" i="34"/>
  <c r="AC216" i="34"/>
  <c r="AC219" i="34"/>
  <c r="AC226" i="34"/>
  <c r="AC228" i="34"/>
  <c r="AC258" i="34"/>
  <c r="AC277" i="34"/>
  <c r="AC279" i="34"/>
  <c r="AC281" i="34"/>
  <c r="AC292" i="34"/>
  <c r="AC313" i="34"/>
  <c r="AC314" i="34"/>
  <c r="AC321" i="34"/>
  <c r="AC341" i="34"/>
  <c r="AC342" i="34"/>
  <c r="AC349" i="34"/>
  <c r="AC354" i="34"/>
  <c r="AC359" i="34"/>
  <c r="AC365" i="34"/>
  <c r="AC379" i="34"/>
  <c r="AC382" i="34"/>
  <c r="AC389" i="34"/>
  <c r="AC390" i="34"/>
  <c r="AC393" i="34"/>
  <c r="AC399" i="34"/>
  <c r="AC406" i="34"/>
  <c r="AC416" i="34"/>
  <c r="AC424" i="34"/>
  <c r="AC440" i="34"/>
  <c r="AC441" i="34"/>
  <c r="AC452" i="34"/>
  <c r="AC460" i="34"/>
  <c r="AC479" i="34"/>
  <c r="AC483" i="34"/>
  <c r="AC485" i="34"/>
  <c r="AC487" i="34"/>
  <c r="AC489" i="34"/>
  <c r="AC496" i="34"/>
  <c r="AC509" i="34"/>
  <c r="AC559" i="34"/>
  <c r="AC567" i="34"/>
  <c r="AC586" i="34"/>
  <c r="AC592" i="34"/>
  <c r="AC603" i="34"/>
  <c r="AC604" i="34"/>
  <c r="AC608" i="34"/>
  <c r="AC613" i="34"/>
  <c r="AC615" i="34"/>
  <c r="AC621" i="34"/>
  <c r="AC634" i="34"/>
  <c r="AC653" i="34"/>
  <c r="AC682" i="34"/>
  <c r="AC685" i="34"/>
  <c r="AC688" i="34"/>
  <c r="AC694" i="34"/>
  <c r="AC695" i="34"/>
  <c r="AC697" i="34"/>
  <c r="AC702" i="34"/>
  <c r="AC709" i="34"/>
  <c r="AC730" i="34"/>
  <c r="AC750" i="34"/>
  <c r="AC756" i="34"/>
  <c r="AC763" i="34"/>
  <c r="AC772" i="34"/>
  <c r="AC778" i="34"/>
  <c r="AC782" i="34"/>
  <c r="AC801" i="34"/>
  <c r="AC807" i="34"/>
  <c r="AD17" i="34"/>
  <c r="AD20" i="34"/>
  <c r="AD41" i="34"/>
  <c r="AD44" i="34"/>
  <c r="AD49" i="34"/>
  <c r="AD53" i="34"/>
  <c r="AD76" i="34"/>
  <c r="AD86" i="34"/>
  <c r="AD105" i="34"/>
  <c r="AD119" i="34"/>
  <c r="AD128" i="34"/>
  <c r="AD134" i="34"/>
  <c r="AD146" i="34"/>
  <c r="AD164" i="34"/>
  <c r="AD169" i="34"/>
  <c r="AD187" i="34"/>
  <c r="AD189" i="34"/>
  <c r="AD192" i="34"/>
  <c r="AD216" i="34"/>
  <c r="AD219" i="34"/>
  <c r="AD226" i="34"/>
  <c r="AD228" i="34"/>
  <c r="AD258" i="34"/>
  <c r="AD277" i="34"/>
  <c r="AD279" i="34"/>
  <c r="AD281" i="34"/>
  <c r="AD292" i="34"/>
  <c r="AD313" i="34"/>
  <c r="AD314" i="34"/>
  <c r="AD321" i="34"/>
  <c r="AD341" i="34"/>
  <c r="AD342" i="34"/>
  <c r="AD349" i="34"/>
  <c r="AD354" i="34"/>
  <c r="AD359" i="34"/>
  <c r="AD365" i="34"/>
  <c r="AD379" i="34"/>
  <c r="AD382" i="34"/>
  <c r="AD389" i="34"/>
  <c r="AD390" i="34"/>
  <c r="AD393" i="34"/>
  <c r="AD399" i="34"/>
  <c r="AD406" i="34"/>
  <c r="AD416" i="34"/>
  <c r="AD424" i="34"/>
  <c r="AD440" i="34"/>
  <c r="AD441" i="34"/>
  <c r="AD452" i="34"/>
  <c r="AD460" i="34"/>
  <c r="AD479" i="34"/>
  <c r="AD483" i="34"/>
  <c r="AD485" i="34"/>
  <c r="AD487" i="34"/>
  <c r="AD489" i="34"/>
  <c r="AD496" i="34"/>
  <c r="AD509" i="34"/>
  <c r="AD559" i="34"/>
  <c r="AD567" i="34"/>
  <c r="AD586" i="34"/>
  <c r="AD592" i="34"/>
  <c r="AD603" i="34"/>
  <c r="AD604" i="34"/>
  <c r="AD608" i="34"/>
  <c r="AD613" i="34"/>
  <c r="AD615" i="34"/>
  <c r="AD621" i="34"/>
  <c r="AD634" i="34"/>
  <c r="AD653" i="34"/>
  <c r="AD682" i="34"/>
  <c r="AD685" i="34"/>
  <c r="AD688" i="34"/>
  <c r="AD694" i="34"/>
  <c r="AD695" i="34"/>
  <c r="AD697" i="34"/>
  <c r="AD702" i="34"/>
  <c r="AD709" i="34"/>
  <c r="AD730" i="34"/>
  <c r="AD750" i="34"/>
  <c r="AD756" i="34"/>
  <c r="AD763" i="34"/>
  <c r="AD772" i="34"/>
  <c r="AD778" i="34"/>
  <c r="AD782" i="34"/>
  <c r="AD801" i="34"/>
  <c r="AD807" i="34"/>
  <c r="AE17" i="34"/>
  <c r="AE20" i="34"/>
  <c r="AE41" i="34"/>
  <c r="AE44" i="34"/>
  <c r="AE49" i="34"/>
  <c r="AE53" i="34"/>
  <c r="AE76" i="34"/>
  <c r="AE86" i="34"/>
  <c r="AE105" i="34"/>
  <c r="AE119" i="34"/>
  <c r="AE128" i="34"/>
  <c r="AE134" i="34"/>
  <c r="AE146" i="34"/>
  <c r="AE164" i="34"/>
  <c r="AE169" i="34"/>
  <c r="AE187" i="34"/>
  <c r="AE189" i="34"/>
  <c r="AE192" i="34"/>
  <c r="AE216" i="34"/>
  <c r="AE219" i="34"/>
  <c r="AE226" i="34"/>
  <c r="AE228" i="34"/>
  <c r="AE258" i="34"/>
  <c r="AE277" i="34"/>
  <c r="AE279" i="34"/>
  <c r="AE281" i="34"/>
  <c r="AE292" i="34"/>
  <c r="AE313" i="34"/>
  <c r="AE314" i="34"/>
  <c r="AE321" i="34"/>
  <c r="AE341" i="34"/>
  <c r="AE342" i="34"/>
  <c r="AE349" i="34"/>
  <c r="AE354" i="34"/>
  <c r="AE359" i="34"/>
  <c r="AE365" i="34"/>
  <c r="AE379" i="34"/>
  <c r="AE382" i="34"/>
  <c r="AE389" i="34"/>
  <c r="AE390" i="34"/>
  <c r="AE393" i="34"/>
  <c r="AE399" i="34"/>
  <c r="AE406" i="34"/>
  <c r="AE416" i="34"/>
  <c r="AE424" i="34"/>
  <c r="AE440" i="34"/>
  <c r="AE441" i="34"/>
  <c r="AE452" i="34"/>
  <c r="AE460" i="34"/>
  <c r="AE479" i="34"/>
  <c r="AE483" i="34"/>
  <c r="AE485" i="34"/>
  <c r="AE487" i="34"/>
  <c r="AE489" i="34"/>
  <c r="AE496" i="34"/>
  <c r="AE509" i="34"/>
  <c r="AE559" i="34"/>
  <c r="AE567" i="34"/>
  <c r="AE586" i="34"/>
  <c r="AE592" i="34"/>
  <c r="AE603" i="34"/>
  <c r="AE604" i="34"/>
  <c r="AE608" i="34"/>
  <c r="AE613" i="34"/>
  <c r="AE615" i="34"/>
  <c r="AE621" i="34"/>
  <c r="AE634" i="34"/>
  <c r="AE653" i="34"/>
  <c r="AE682" i="34"/>
  <c r="AE685" i="34"/>
  <c r="AE688" i="34"/>
  <c r="AE694" i="34"/>
  <c r="AE695" i="34"/>
  <c r="AE697" i="34"/>
  <c r="AE702" i="34"/>
  <c r="AE709" i="34"/>
  <c r="AE730" i="34"/>
  <c r="AE750" i="34"/>
  <c r="AE756" i="34"/>
  <c r="AE763" i="34"/>
  <c r="AE772" i="34"/>
  <c r="AE778" i="34"/>
  <c r="AE782" i="34"/>
  <c r="AE801" i="34"/>
  <c r="AE807" i="34"/>
  <c r="AF17" i="34"/>
  <c r="AF20" i="34"/>
  <c r="AF41" i="34"/>
  <c r="AF44" i="34"/>
  <c r="AF49" i="34"/>
  <c r="AF53" i="34"/>
  <c r="AF76" i="34"/>
  <c r="AF86" i="34"/>
  <c r="AF105" i="34"/>
  <c r="AF119" i="34"/>
  <c r="AF128" i="34"/>
  <c r="AF134" i="34"/>
  <c r="AF146" i="34"/>
  <c r="AF164" i="34"/>
  <c r="AF169" i="34"/>
  <c r="AF187" i="34"/>
  <c r="AF189" i="34"/>
  <c r="AF192" i="34"/>
  <c r="AF216" i="34"/>
  <c r="AF219" i="34"/>
  <c r="AF226" i="34"/>
  <c r="AF228" i="34"/>
  <c r="AF258" i="34"/>
  <c r="AF277" i="34"/>
  <c r="AF279" i="34"/>
  <c r="AF281" i="34"/>
  <c r="AF292" i="34"/>
  <c r="AF313" i="34"/>
  <c r="AF314" i="34"/>
  <c r="AF321" i="34"/>
  <c r="AF341" i="34"/>
  <c r="AF342" i="34"/>
  <c r="AF349" i="34"/>
  <c r="AF354" i="34"/>
  <c r="AF359" i="34"/>
  <c r="AF365" i="34"/>
  <c r="AF379" i="34"/>
  <c r="AF382" i="34"/>
  <c r="AF389" i="34"/>
  <c r="AF390" i="34"/>
  <c r="AF393" i="34"/>
  <c r="AF399" i="34"/>
  <c r="AF406" i="34"/>
  <c r="AF416" i="34"/>
  <c r="AF424" i="34"/>
  <c r="AF440" i="34"/>
  <c r="AF441" i="34"/>
  <c r="AF452" i="34"/>
  <c r="AF460" i="34"/>
  <c r="AF479" i="34"/>
  <c r="AF483" i="34"/>
  <c r="AF485" i="34"/>
  <c r="AF487" i="34"/>
  <c r="AF489" i="34"/>
  <c r="AF496" i="34"/>
  <c r="AF509" i="34"/>
  <c r="AF559" i="34"/>
  <c r="AF567" i="34"/>
  <c r="AF586" i="34"/>
  <c r="AF592" i="34"/>
  <c r="AF603" i="34"/>
  <c r="AF604" i="34"/>
  <c r="AF608" i="34"/>
  <c r="AF613" i="34"/>
  <c r="AF615" i="34"/>
  <c r="AF621" i="34"/>
  <c r="AF634" i="34"/>
  <c r="AF653" i="34"/>
  <c r="AF682" i="34"/>
  <c r="AF685" i="34"/>
  <c r="AF688" i="34"/>
  <c r="AF694" i="34"/>
  <c r="AF695" i="34"/>
  <c r="AF697" i="34"/>
  <c r="AF702" i="34"/>
  <c r="AF709" i="34"/>
  <c r="AF730" i="34"/>
  <c r="AF750" i="34"/>
  <c r="AF756" i="34"/>
  <c r="AF763" i="34"/>
  <c r="AF772" i="34"/>
  <c r="AF778" i="34"/>
  <c r="AF782" i="34"/>
  <c r="AF801" i="34"/>
  <c r="AF807" i="34"/>
  <c r="AG17" i="34"/>
  <c r="AG20" i="34"/>
  <c r="AG41" i="34"/>
  <c r="AG44" i="34"/>
  <c r="AG49" i="34"/>
  <c r="AG53" i="34"/>
  <c r="AG76" i="34"/>
  <c r="AG86" i="34"/>
  <c r="AG105" i="34"/>
  <c r="AG119" i="34"/>
  <c r="AG128" i="34"/>
  <c r="AG134" i="34"/>
  <c r="AG146" i="34"/>
  <c r="AG164" i="34"/>
  <c r="AG169" i="34"/>
  <c r="AG187" i="34"/>
  <c r="AG189" i="34"/>
  <c r="AG192" i="34"/>
  <c r="AG216" i="34"/>
  <c r="AG219" i="34"/>
  <c r="AG226" i="34"/>
  <c r="AG228" i="34"/>
  <c r="AG258" i="34"/>
  <c r="AG277" i="34"/>
  <c r="AG279" i="34"/>
  <c r="AG281" i="34"/>
  <c r="AG292" i="34"/>
  <c r="AG313" i="34"/>
  <c r="AG314" i="34"/>
  <c r="AG321" i="34"/>
  <c r="AG341" i="34"/>
  <c r="AG342" i="34"/>
  <c r="AG349" i="34"/>
  <c r="AG354" i="34"/>
  <c r="AG359" i="34"/>
  <c r="AG365" i="34"/>
  <c r="AG379" i="34"/>
  <c r="AG382" i="34"/>
  <c r="AG389" i="34"/>
  <c r="AG390" i="34"/>
  <c r="AG393" i="34"/>
  <c r="AG399" i="34"/>
  <c r="AG406" i="34"/>
  <c r="AG416" i="34"/>
  <c r="AG424" i="34"/>
  <c r="AG440" i="34"/>
  <c r="AG441" i="34"/>
  <c r="AG452" i="34"/>
  <c r="AG460" i="34"/>
  <c r="AG479" i="34"/>
  <c r="AG483" i="34"/>
  <c r="AG485" i="34"/>
  <c r="AG487" i="34"/>
  <c r="AG489" i="34"/>
  <c r="AG496" i="34"/>
  <c r="AG509" i="34"/>
  <c r="AG559" i="34"/>
  <c r="AG567" i="34"/>
  <c r="AG586" i="34"/>
  <c r="AG592" i="34"/>
  <c r="AG603" i="34"/>
  <c r="AG604" i="34"/>
  <c r="AG608" i="34"/>
  <c r="AG613" i="34"/>
  <c r="AG615" i="34"/>
  <c r="AG621" i="34"/>
  <c r="AG634" i="34"/>
  <c r="AG653" i="34"/>
  <c r="AG682" i="34"/>
  <c r="AG685" i="34"/>
  <c r="AG688" i="34"/>
  <c r="AG694" i="34"/>
  <c r="AG695" i="34"/>
  <c r="AG697" i="34"/>
  <c r="AG702" i="34"/>
  <c r="AG709" i="34"/>
  <c r="AG730" i="34"/>
  <c r="AG750" i="34"/>
  <c r="AG756" i="34"/>
  <c r="AG763" i="34"/>
  <c r="AG772" i="34"/>
  <c r="AG778" i="34"/>
  <c r="AG782" i="34"/>
  <c r="AG801" i="34"/>
  <c r="AG807" i="34"/>
  <c r="D17" i="48"/>
  <c r="I17" i="48"/>
  <c r="M17" i="48"/>
  <c r="N17" i="48"/>
  <c r="O17" i="48"/>
  <c r="P17" i="48"/>
  <c r="Q17" i="48"/>
  <c r="M187" i="48"/>
  <c r="I187" i="48"/>
  <c r="N187" i="48"/>
  <c r="S187" i="48"/>
  <c r="M186" i="48"/>
  <c r="I186" i="48"/>
  <c r="N186" i="48"/>
  <c r="S186" i="48"/>
  <c r="M185" i="48"/>
  <c r="I185" i="48"/>
  <c r="N185" i="48"/>
  <c r="S185" i="48"/>
  <c r="M184" i="48"/>
  <c r="I184" i="48"/>
  <c r="N184" i="48"/>
  <c r="S184" i="48"/>
  <c r="M183" i="48"/>
  <c r="I183" i="48"/>
  <c r="N183" i="48"/>
  <c r="S183" i="48"/>
  <c r="M182" i="48"/>
  <c r="I182" i="48"/>
  <c r="N182" i="48"/>
  <c r="S182" i="48"/>
  <c r="M181" i="48"/>
  <c r="I181" i="48"/>
  <c r="N181" i="48"/>
  <c r="S181" i="48"/>
  <c r="M180" i="48"/>
  <c r="I180" i="48"/>
  <c r="N180" i="48"/>
  <c r="S180" i="48"/>
  <c r="M179" i="48"/>
  <c r="I179" i="48"/>
  <c r="N179" i="48"/>
  <c r="S179" i="48"/>
  <c r="M178" i="48"/>
  <c r="I178" i="48"/>
  <c r="N178" i="48"/>
  <c r="S178" i="48"/>
  <c r="M177" i="48"/>
  <c r="I177" i="48"/>
  <c r="N177" i="48"/>
  <c r="S177" i="48"/>
  <c r="M176" i="48"/>
  <c r="I176" i="48"/>
  <c r="N176" i="48"/>
  <c r="S176" i="48"/>
  <c r="M175" i="48"/>
  <c r="I175" i="48"/>
  <c r="N175" i="48"/>
  <c r="S175" i="48"/>
  <c r="M174" i="48"/>
  <c r="I174" i="48"/>
  <c r="N174" i="48"/>
  <c r="S174" i="48"/>
  <c r="M173" i="48"/>
  <c r="I173" i="48"/>
  <c r="N173" i="48"/>
  <c r="S173" i="48"/>
  <c r="M172" i="48"/>
  <c r="I172" i="48"/>
  <c r="N172" i="48"/>
  <c r="S172" i="48"/>
  <c r="M171" i="48"/>
  <c r="I171" i="48"/>
  <c r="N171" i="48"/>
  <c r="S171" i="48"/>
  <c r="M170" i="48"/>
  <c r="I170" i="48"/>
  <c r="N170" i="48"/>
  <c r="S170" i="48"/>
  <c r="M169" i="48"/>
  <c r="I169" i="48"/>
  <c r="N169" i="48"/>
  <c r="S169" i="48"/>
  <c r="M168" i="48"/>
  <c r="I168" i="48"/>
  <c r="N168" i="48"/>
  <c r="S168" i="48"/>
  <c r="M167" i="48"/>
  <c r="I167" i="48"/>
  <c r="N167" i="48"/>
  <c r="S167" i="48"/>
  <c r="M166" i="48"/>
  <c r="I166" i="48"/>
  <c r="N166" i="48"/>
  <c r="S166" i="48"/>
  <c r="M165" i="48"/>
  <c r="I165" i="48"/>
  <c r="N165" i="48"/>
  <c r="S165" i="48"/>
  <c r="M164" i="48"/>
  <c r="I164" i="48"/>
  <c r="N164" i="48"/>
  <c r="S164" i="48"/>
  <c r="M163" i="48"/>
  <c r="I163" i="48"/>
  <c r="N163" i="48"/>
  <c r="S163" i="48"/>
  <c r="M162" i="48"/>
  <c r="I162" i="48"/>
  <c r="N162" i="48"/>
  <c r="S162" i="48"/>
  <c r="M161" i="48"/>
  <c r="I161" i="48"/>
  <c r="N161" i="48"/>
  <c r="S161" i="48"/>
  <c r="M160" i="48"/>
  <c r="I160" i="48"/>
  <c r="N160" i="48"/>
  <c r="S160" i="48"/>
  <c r="M159" i="48"/>
  <c r="I159" i="48"/>
  <c r="N159" i="48"/>
  <c r="S159" i="48"/>
  <c r="M158" i="48"/>
  <c r="I158" i="48"/>
  <c r="N158" i="48"/>
  <c r="S158" i="48"/>
  <c r="M157" i="48"/>
  <c r="I157" i="48"/>
  <c r="N157" i="48"/>
  <c r="S157" i="48"/>
  <c r="M156" i="48"/>
  <c r="I156" i="48"/>
  <c r="N156" i="48"/>
  <c r="S156" i="48"/>
  <c r="M155" i="48"/>
  <c r="I155" i="48"/>
  <c r="N155" i="48"/>
  <c r="S155" i="48"/>
  <c r="M154" i="48"/>
  <c r="I154" i="48"/>
  <c r="N154" i="48"/>
  <c r="S154" i="48"/>
  <c r="M153" i="48"/>
  <c r="I153" i="48"/>
  <c r="N153" i="48"/>
  <c r="S153" i="48"/>
  <c r="M152" i="48"/>
  <c r="I152" i="48"/>
  <c r="N152" i="48"/>
  <c r="S152" i="48"/>
  <c r="M151" i="48"/>
  <c r="I151" i="48"/>
  <c r="N151" i="48"/>
  <c r="S151" i="48"/>
  <c r="M150" i="48"/>
  <c r="I150" i="48"/>
  <c r="N150" i="48"/>
  <c r="S150" i="48"/>
  <c r="M149" i="48"/>
  <c r="I149" i="48"/>
  <c r="N149" i="48"/>
  <c r="S149" i="48"/>
  <c r="M148" i="48"/>
  <c r="I148" i="48"/>
  <c r="N148" i="48"/>
  <c r="S148" i="48"/>
  <c r="M147" i="48"/>
  <c r="I147" i="48"/>
  <c r="N147" i="48"/>
  <c r="S147" i="48"/>
  <c r="M146" i="48"/>
  <c r="I146" i="48"/>
  <c r="N146" i="48"/>
  <c r="S146" i="48"/>
  <c r="M145" i="48"/>
  <c r="I145" i="48"/>
  <c r="N145" i="48"/>
  <c r="S145" i="48"/>
  <c r="M144" i="48"/>
  <c r="I144" i="48"/>
  <c r="N144" i="48"/>
  <c r="S144" i="48"/>
  <c r="M143" i="48"/>
  <c r="I143" i="48"/>
  <c r="N143" i="48"/>
  <c r="S143" i="48"/>
  <c r="M142" i="48"/>
  <c r="I142" i="48"/>
  <c r="N142" i="48"/>
  <c r="S142" i="48"/>
  <c r="M141" i="48"/>
  <c r="I141" i="48"/>
  <c r="N141" i="48"/>
  <c r="S141" i="48"/>
  <c r="M140" i="48"/>
  <c r="I140" i="48"/>
  <c r="N140" i="48"/>
  <c r="S140" i="48"/>
  <c r="M139" i="48"/>
  <c r="I139" i="48"/>
  <c r="N139" i="48"/>
  <c r="S139" i="48"/>
  <c r="M138" i="48"/>
  <c r="I138" i="48"/>
  <c r="N138" i="48"/>
  <c r="S138" i="48"/>
  <c r="M137" i="48"/>
  <c r="I137" i="48"/>
  <c r="N137" i="48"/>
  <c r="S137" i="48"/>
  <c r="M136" i="48"/>
  <c r="I136" i="48"/>
  <c r="N136" i="48"/>
  <c r="S136" i="48"/>
  <c r="M135" i="48"/>
  <c r="I135" i="48"/>
  <c r="N135" i="48"/>
  <c r="S135" i="48"/>
  <c r="M134" i="48"/>
  <c r="I134" i="48"/>
  <c r="N134" i="48"/>
  <c r="S134" i="48"/>
  <c r="M133" i="48"/>
  <c r="I133" i="48"/>
  <c r="N133" i="48"/>
  <c r="S133" i="48"/>
  <c r="M132" i="48"/>
  <c r="I132" i="48"/>
  <c r="N132" i="48"/>
  <c r="S132" i="48"/>
  <c r="M131" i="48"/>
  <c r="I131" i="48"/>
  <c r="N131" i="48"/>
  <c r="S131" i="48"/>
  <c r="M130" i="48"/>
  <c r="I130" i="48"/>
  <c r="N130" i="48"/>
  <c r="S130" i="48"/>
  <c r="M129" i="48"/>
  <c r="I129" i="48"/>
  <c r="N129" i="48"/>
  <c r="S129" i="48"/>
  <c r="M128" i="48"/>
  <c r="I128" i="48"/>
  <c r="N128" i="48"/>
  <c r="S128" i="48"/>
  <c r="M127" i="48"/>
  <c r="I127" i="48"/>
  <c r="N127" i="48"/>
  <c r="S127" i="48"/>
  <c r="M126" i="48"/>
  <c r="I126" i="48"/>
  <c r="N126" i="48"/>
  <c r="S126" i="48"/>
  <c r="M125" i="48"/>
  <c r="I125" i="48"/>
  <c r="N125" i="48"/>
  <c r="S125" i="48"/>
  <c r="M124" i="48"/>
  <c r="I124" i="48"/>
  <c r="N124" i="48"/>
  <c r="S124" i="48"/>
  <c r="M123" i="48"/>
  <c r="I123" i="48"/>
  <c r="N123" i="48"/>
  <c r="S123" i="48"/>
  <c r="M122" i="48"/>
  <c r="I122" i="48"/>
  <c r="N122" i="48"/>
  <c r="S122" i="48"/>
  <c r="M121" i="48"/>
  <c r="I121" i="48"/>
  <c r="N121" i="48"/>
  <c r="S121" i="48"/>
  <c r="M120" i="48"/>
  <c r="I120" i="48"/>
  <c r="N120" i="48"/>
  <c r="S120" i="48"/>
  <c r="M119" i="48"/>
  <c r="I119" i="48"/>
  <c r="N119" i="48"/>
  <c r="S119" i="48"/>
  <c r="M118" i="48"/>
  <c r="I118" i="48"/>
  <c r="N118" i="48"/>
  <c r="S118" i="48"/>
  <c r="M117" i="48"/>
  <c r="I117" i="48"/>
  <c r="N117" i="48"/>
  <c r="S117" i="48"/>
  <c r="M116" i="48"/>
  <c r="I116" i="48"/>
  <c r="N116" i="48"/>
  <c r="S116" i="48"/>
  <c r="M115" i="48"/>
  <c r="I115" i="48"/>
  <c r="N115" i="48"/>
  <c r="S115" i="48"/>
  <c r="M114" i="48"/>
  <c r="I114" i="48"/>
  <c r="N114" i="48"/>
  <c r="S114" i="48"/>
  <c r="M113" i="48"/>
  <c r="I113" i="48"/>
  <c r="N113" i="48"/>
  <c r="S113" i="48"/>
  <c r="M112" i="48"/>
  <c r="I112" i="48"/>
  <c r="N112" i="48"/>
  <c r="S112" i="48"/>
  <c r="M111" i="48"/>
  <c r="I111" i="48"/>
  <c r="N111" i="48"/>
  <c r="S111" i="48"/>
  <c r="M110" i="48"/>
  <c r="I110" i="48"/>
  <c r="N110" i="48"/>
  <c r="S110" i="48"/>
  <c r="M109" i="48"/>
  <c r="I109" i="48"/>
  <c r="N109" i="48"/>
  <c r="S109" i="48"/>
  <c r="M108" i="48"/>
  <c r="I108" i="48"/>
  <c r="N108" i="48"/>
  <c r="S108" i="48"/>
  <c r="M107" i="48"/>
  <c r="I107" i="48"/>
  <c r="N107" i="48"/>
  <c r="S107" i="48"/>
  <c r="M106" i="48"/>
  <c r="I106" i="48"/>
  <c r="N106" i="48"/>
  <c r="S106" i="48"/>
  <c r="M105" i="48"/>
  <c r="I105" i="48"/>
  <c r="N105" i="48"/>
  <c r="S105" i="48"/>
  <c r="M104" i="48"/>
  <c r="I104" i="48"/>
  <c r="N104" i="48"/>
  <c r="S104" i="48"/>
  <c r="M103" i="48"/>
  <c r="I103" i="48"/>
  <c r="N103" i="48"/>
  <c r="S103" i="48"/>
  <c r="M102" i="48"/>
  <c r="I102" i="48"/>
  <c r="N102" i="48"/>
  <c r="S102" i="48"/>
  <c r="M101" i="48"/>
  <c r="I101" i="48"/>
  <c r="N101" i="48"/>
  <c r="S101" i="48"/>
  <c r="M100" i="48"/>
  <c r="I100" i="48"/>
  <c r="N100" i="48"/>
  <c r="S100" i="48"/>
  <c r="M99" i="48"/>
  <c r="I99" i="48"/>
  <c r="N99" i="48"/>
  <c r="S99" i="48"/>
  <c r="M98" i="48"/>
  <c r="I98" i="48"/>
  <c r="N98" i="48"/>
  <c r="S98" i="48"/>
  <c r="M97" i="48"/>
  <c r="I97" i="48"/>
  <c r="N97" i="48"/>
  <c r="S97" i="48"/>
  <c r="M96" i="48"/>
  <c r="I96" i="48"/>
  <c r="N96" i="48"/>
  <c r="S96" i="48"/>
  <c r="M95" i="48"/>
  <c r="I95" i="48"/>
  <c r="N95" i="48"/>
  <c r="S95" i="48"/>
  <c r="M94" i="48"/>
  <c r="I94" i="48"/>
  <c r="N94" i="48"/>
  <c r="S94" i="48"/>
  <c r="M93" i="48"/>
  <c r="I93" i="48"/>
  <c r="N93" i="48"/>
  <c r="S93" i="48"/>
  <c r="M92" i="48"/>
  <c r="I92" i="48"/>
  <c r="N92" i="48"/>
  <c r="S92" i="48"/>
  <c r="M91" i="48"/>
  <c r="I91" i="48"/>
  <c r="N91" i="48"/>
  <c r="S91" i="48"/>
  <c r="M90" i="48"/>
  <c r="I90" i="48"/>
  <c r="N90" i="48"/>
  <c r="S90" i="48"/>
  <c r="M89" i="48"/>
  <c r="I89" i="48"/>
  <c r="N89" i="48"/>
  <c r="S89" i="48"/>
  <c r="M88" i="48"/>
  <c r="I88" i="48"/>
  <c r="N88" i="48"/>
  <c r="S88" i="48"/>
  <c r="M87" i="48"/>
  <c r="I87" i="48"/>
  <c r="N87" i="48"/>
  <c r="S87" i="48"/>
  <c r="M86" i="48"/>
  <c r="I86" i="48"/>
  <c r="N86" i="48"/>
  <c r="S86" i="48"/>
  <c r="M85" i="48"/>
  <c r="I85" i="48"/>
  <c r="N85" i="48"/>
  <c r="S85" i="48"/>
  <c r="M84" i="48"/>
  <c r="I84" i="48"/>
  <c r="N84" i="48"/>
  <c r="S84" i="48"/>
  <c r="M83" i="48"/>
  <c r="I83" i="48"/>
  <c r="N83" i="48"/>
  <c r="S83" i="48"/>
  <c r="M82" i="48"/>
  <c r="I82" i="48"/>
  <c r="N82" i="48"/>
  <c r="S82" i="48"/>
  <c r="M81" i="48"/>
  <c r="I81" i="48"/>
  <c r="N81" i="48"/>
  <c r="S81" i="48"/>
  <c r="M80" i="48"/>
  <c r="I80" i="48"/>
  <c r="N80" i="48"/>
  <c r="S80" i="48"/>
  <c r="M79" i="48"/>
  <c r="I79" i="48"/>
  <c r="N79" i="48"/>
  <c r="S79" i="48"/>
  <c r="M78" i="48"/>
  <c r="I78" i="48"/>
  <c r="N78" i="48"/>
  <c r="S78" i="48"/>
  <c r="M77" i="48"/>
  <c r="I77" i="48"/>
  <c r="N77" i="48"/>
  <c r="S77" i="48"/>
  <c r="M76" i="48"/>
  <c r="I76" i="48"/>
  <c r="N76" i="48"/>
  <c r="S76" i="48"/>
  <c r="M75" i="48"/>
  <c r="I75" i="48"/>
  <c r="N75" i="48"/>
  <c r="S75" i="48"/>
  <c r="M74" i="48"/>
  <c r="I74" i="48"/>
  <c r="N74" i="48"/>
  <c r="S74" i="48"/>
  <c r="M73" i="48"/>
  <c r="I73" i="48"/>
  <c r="N73" i="48"/>
  <c r="S73" i="48"/>
  <c r="M72" i="48"/>
  <c r="I72" i="48"/>
  <c r="N72" i="48"/>
  <c r="S72" i="48"/>
  <c r="M71" i="48"/>
  <c r="I71" i="48"/>
  <c r="N71" i="48"/>
  <c r="S71" i="48"/>
  <c r="M70" i="48"/>
  <c r="I70" i="48"/>
  <c r="N70" i="48"/>
  <c r="S70" i="48"/>
  <c r="M69" i="48"/>
  <c r="I69" i="48"/>
  <c r="N69" i="48"/>
  <c r="S69" i="48"/>
  <c r="M68" i="48"/>
  <c r="I68" i="48"/>
  <c r="N68" i="48"/>
  <c r="S68" i="48"/>
  <c r="M67" i="48"/>
  <c r="I67" i="48"/>
  <c r="N67" i="48"/>
  <c r="S67" i="48"/>
  <c r="M66" i="48"/>
  <c r="I66" i="48"/>
  <c r="N66" i="48"/>
  <c r="S66" i="48"/>
  <c r="M65" i="48"/>
  <c r="I65" i="48"/>
  <c r="N65" i="48"/>
  <c r="S65" i="48"/>
  <c r="M64" i="48"/>
  <c r="I64" i="48"/>
  <c r="N64" i="48"/>
  <c r="S64" i="48"/>
  <c r="M63" i="48"/>
  <c r="I63" i="48"/>
  <c r="N63" i="48"/>
  <c r="S63" i="48"/>
  <c r="M62" i="48"/>
  <c r="I62" i="48"/>
  <c r="N62" i="48"/>
  <c r="S62" i="48"/>
  <c r="M61" i="48"/>
  <c r="I61" i="48"/>
  <c r="N61" i="48"/>
  <c r="S61" i="48"/>
  <c r="M60" i="48"/>
  <c r="I60" i="48"/>
  <c r="N60" i="48"/>
  <c r="S60" i="48"/>
  <c r="M59" i="48"/>
  <c r="I59" i="48"/>
  <c r="N59" i="48"/>
  <c r="S59" i="48"/>
  <c r="M58" i="48"/>
  <c r="I58" i="48"/>
  <c r="N58" i="48"/>
  <c r="S58" i="48"/>
  <c r="M57" i="48"/>
  <c r="I57" i="48"/>
  <c r="N57" i="48"/>
  <c r="S57" i="48"/>
  <c r="M56" i="48"/>
  <c r="I56" i="48"/>
  <c r="N56" i="48"/>
  <c r="S56" i="48"/>
  <c r="M55" i="48"/>
  <c r="I55" i="48"/>
  <c r="N55" i="48"/>
  <c r="S55" i="48"/>
  <c r="M54" i="48"/>
  <c r="I54" i="48"/>
  <c r="N54" i="48"/>
  <c r="S54" i="48"/>
  <c r="M53" i="48"/>
  <c r="I53" i="48"/>
  <c r="N53" i="48"/>
  <c r="S53" i="48"/>
  <c r="M52" i="48"/>
  <c r="I52" i="48"/>
  <c r="N52" i="48"/>
  <c r="S52" i="48"/>
  <c r="M51" i="48"/>
  <c r="I51" i="48"/>
  <c r="N51" i="48"/>
  <c r="S51" i="48"/>
  <c r="M50" i="48"/>
  <c r="I50" i="48"/>
  <c r="N50" i="48"/>
  <c r="S50" i="48"/>
  <c r="M49" i="48"/>
  <c r="I49" i="48"/>
  <c r="N49" i="48"/>
  <c r="S49" i="48"/>
  <c r="M48" i="48"/>
  <c r="I48" i="48"/>
  <c r="N48" i="48"/>
  <c r="S48" i="48"/>
  <c r="M47" i="48"/>
  <c r="I47" i="48"/>
  <c r="N47" i="48"/>
  <c r="S47" i="48"/>
  <c r="M46" i="48"/>
  <c r="I46" i="48"/>
  <c r="N46" i="48"/>
  <c r="S46" i="48"/>
  <c r="M45" i="48"/>
  <c r="I45" i="48"/>
  <c r="N45" i="48"/>
  <c r="S45" i="48"/>
  <c r="M44" i="48"/>
  <c r="I44" i="48"/>
  <c r="N44" i="48"/>
  <c r="S44" i="48"/>
  <c r="M43" i="48"/>
  <c r="I43" i="48"/>
  <c r="N43" i="48"/>
  <c r="S43" i="48"/>
  <c r="M42" i="48"/>
  <c r="I42" i="48"/>
  <c r="N42" i="48"/>
  <c r="S42" i="48"/>
  <c r="M41" i="48"/>
  <c r="I41" i="48"/>
  <c r="N41" i="48"/>
  <c r="S41" i="48"/>
  <c r="M40" i="48"/>
  <c r="I40" i="48"/>
  <c r="N40" i="48"/>
  <c r="S40" i="48"/>
  <c r="M39" i="48"/>
  <c r="I39" i="48"/>
  <c r="N39" i="48"/>
  <c r="S39" i="48"/>
  <c r="M38" i="48"/>
  <c r="I38" i="48"/>
  <c r="N38" i="48"/>
  <c r="S38" i="48"/>
  <c r="M37" i="48"/>
  <c r="I37" i="48"/>
  <c r="N37" i="48"/>
  <c r="S37" i="48"/>
  <c r="M36" i="48"/>
  <c r="I36" i="48"/>
  <c r="N36" i="48"/>
  <c r="S36" i="48"/>
  <c r="M35" i="48"/>
  <c r="I35" i="48"/>
  <c r="N35" i="48"/>
  <c r="S35" i="48"/>
  <c r="M34" i="48"/>
  <c r="I34" i="48"/>
  <c r="N34" i="48"/>
  <c r="S34" i="48"/>
  <c r="M33" i="48"/>
  <c r="I33" i="48"/>
  <c r="N33" i="48"/>
  <c r="S33" i="48"/>
  <c r="M32" i="48"/>
  <c r="I32" i="48"/>
  <c r="N32" i="48"/>
  <c r="S32" i="48"/>
  <c r="M31" i="48"/>
  <c r="I31" i="48"/>
  <c r="N31" i="48"/>
  <c r="S31" i="48"/>
  <c r="M30" i="48"/>
  <c r="I30" i="48"/>
  <c r="N30" i="48"/>
  <c r="S30" i="48"/>
  <c r="M29" i="48"/>
  <c r="I29" i="48"/>
  <c r="N29" i="48"/>
  <c r="S29" i="48"/>
  <c r="M28" i="48"/>
  <c r="I28" i="48"/>
  <c r="N28" i="48"/>
  <c r="S28" i="48"/>
  <c r="M27" i="48"/>
  <c r="I27" i="48"/>
  <c r="N27" i="48"/>
  <c r="S27" i="48"/>
  <c r="M26" i="48"/>
  <c r="I26" i="48"/>
  <c r="N26" i="48"/>
  <c r="S26" i="48"/>
  <c r="M25" i="48"/>
  <c r="I25" i="48"/>
  <c r="N25" i="48"/>
  <c r="S25" i="48"/>
  <c r="M24" i="48"/>
  <c r="I24" i="48"/>
  <c r="N24" i="48"/>
  <c r="S24" i="48"/>
  <c r="M23" i="48"/>
  <c r="I23" i="48"/>
  <c r="N23" i="48"/>
  <c r="S23" i="48"/>
  <c r="M22" i="48"/>
  <c r="I22" i="48"/>
  <c r="N22" i="48"/>
  <c r="S22" i="48"/>
  <c r="M21" i="48"/>
  <c r="I21" i="48"/>
  <c r="N21" i="48"/>
  <c r="S21" i="48"/>
  <c r="M20" i="48"/>
  <c r="I20" i="48"/>
  <c r="N20" i="48"/>
  <c r="S20" i="48"/>
  <c r="M19" i="48"/>
  <c r="I19" i="48"/>
  <c r="N19" i="48"/>
  <c r="S19" i="48"/>
  <c r="M18" i="48"/>
  <c r="I18" i="48"/>
  <c r="N18" i="48"/>
  <c r="S18" i="48"/>
  <c r="R187" i="48"/>
  <c r="R186" i="48"/>
  <c r="R185" i="48"/>
  <c r="R184" i="48"/>
  <c r="R183" i="48"/>
  <c r="R182" i="48"/>
  <c r="R181" i="48"/>
  <c r="R180" i="48"/>
  <c r="R179" i="48"/>
  <c r="R178" i="48"/>
  <c r="R177" i="48"/>
  <c r="R176" i="48"/>
  <c r="R175" i="48"/>
  <c r="R174" i="48"/>
  <c r="R173" i="48"/>
  <c r="R172" i="48"/>
  <c r="R171" i="48"/>
  <c r="R170" i="48"/>
  <c r="R169" i="48"/>
  <c r="R168" i="48"/>
  <c r="R167" i="48"/>
  <c r="R166" i="48"/>
  <c r="R165" i="48"/>
  <c r="R164" i="48"/>
  <c r="R163" i="48"/>
  <c r="R162" i="48"/>
  <c r="R161" i="48"/>
  <c r="R160" i="48"/>
  <c r="R159" i="48"/>
  <c r="R158" i="48"/>
  <c r="R157" i="48"/>
  <c r="R156" i="48"/>
  <c r="R155" i="48"/>
  <c r="R154" i="48"/>
  <c r="R153" i="48"/>
  <c r="R152" i="48"/>
  <c r="R151" i="48"/>
  <c r="R150" i="48"/>
  <c r="R149" i="48"/>
  <c r="R148" i="48"/>
  <c r="R147" i="48"/>
  <c r="R146" i="48"/>
  <c r="R145" i="48"/>
  <c r="R144" i="48"/>
  <c r="R143" i="48"/>
  <c r="R142" i="48"/>
  <c r="R141" i="48"/>
  <c r="R140" i="48"/>
  <c r="R139" i="48"/>
  <c r="R138" i="48"/>
  <c r="R137" i="48"/>
  <c r="R136" i="48"/>
  <c r="R135" i="48"/>
  <c r="R134" i="48"/>
  <c r="R133" i="48"/>
  <c r="R132" i="48"/>
  <c r="R131" i="48"/>
  <c r="R130" i="48"/>
  <c r="R129" i="48"/>
  <c r="R128" i="48"/>
  <c r="R127" i="48"/>
  <c r="R126" i="48"/>
  <c r="R125" i="48"/>
  <c r="R124" i="48"/>
  <c r="R123" i="48"/>
  <c r="R122" i="48"/>
  <c r="R121" i="48"/>
  <c r="R120" i="48"/>
  <c r="R119" i="48"/>
  <c r="R118" i="48"/>
  <c r="R117" i="48"/>
  <c r="R116" i="48"/>
  <c r="R115" i="48"/>
  <c r="R114" i="48"/>
  <c r="R113" i="48"/>
  <c r="R112" i="48"/>
  <c r="R111" i="48"/>
  <c r="R110" i="48"/>
  <c r="R109" i="48"/>
  <c r="R108" i="48"/>
  <c r="R107" i="48"/>
  <c r="R106" i="48"/>
  <c r="R105" i="48"/>
  <c r="R104" i="48"/>
  <c r="R103" i="48"/>
  <c r="R102" i="48"/>
  <c r="R101" i="48"/>
  <c r="R100" i="48"/>
  <c r="R99" i="48"/>
  <c r="R98" i="48"/>
  <c r="R97" i="48"/>
  <c r="R96" i="48"/>
  <c r="R95" i="48"/>
  <c r="R94" i="48"/>
  <c r="R93" i="48"/>
  <c r="R92" i="48"/>
  <c r="R91" i="48"/>
  <c r="R90" i="48"/>
  <c r="R89" i="48"/>
  <c r="R88" i="48"/>
  <c r="R87" i="48"/>
  <c r="R86" i="48"/>
  <c r="R85" i="48"/>
  <c r="R84" i="48"/>
  <c r="R83" i="48"/>
  <c r="R82" i="48"/>
  <c r="R81" i="48"/>
  <c r="R80" i="48"/>
  <c r="R79" i="48"/>
  <c r="R78" i="48"/>
  <c r="R77" i="48"/>
  <c r="R76" i="48"/>
  <c r="R75" i="48"/>
  <c r="R74" i="48"/>
  <c r="R73" i="48"/>
  <c r="R72" i="48"/>
  <c r="R71" i="48"/>
  <c r="R70" i="48"/>
  <c r="R69" i="48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3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39" i="48"/>
  <c r="R38" i="48"/>
  <c r="R37" i="48"/>
  <c r="R36" i="48"/>
  <c r="R35" i="48"/>
  <c r="R34" i="48"/>
  <c r="R33" i="48"/>
  <c r="R32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S17" i="48"/>
  <c r="T187" i="48"/>
  <c r="T186" i="48"/>
  <c r="T185" i="48"/>
  <c r="T184" i="48"/>
  <c r="T183" i="48"/>
  <c r="T182" i="48"/>
  <c r="T181" i="48"/>
  <c r="T180" i="48"/>
  <c r="T179" i="48"/>
  <c r="T178" i="48"/>
  <c r="T177" i="48"/>
  <c r="T176" i="48"/>
  <c r="T175" i="48"/>
  <c r="T174" i="48"/>
  <c r="T173" i="48"/>
  <c r="T172" i="48"/>
  <c r="T171" i="48"/>
  <c r="T170" i="48"/>
  <c r="T169" i="48"/>
  <c r="T168" i="48"/>
  <c r="T167" i="48"/>
  <c r="T166" i="48"/>
  <c r="T165" i="48"/>
  <c r="T164" i="48"/>
  <c r="T163" i="48"/>
  <c r="T162" i="48"/>
  <c r="T161" i="48"/>
  <c r="T160" i="48"/>
  <c r="T159" i="48"/>
  <c r="T158" i="48"/>
  <c r="T157" i="48"/>
  <c r="T156" i="48"/>
  <c r="T155" i="48"/>
  <c r="T154" i="48"/>
  <c r="T153" i="48"/>
  <c r="T152" i="48"/>
  <c r="T151" i="48"/>
  <c r="T150" i="48"/>
  <c r="T149" i="48"/>
  <c r="T148" i="48"/>
  <c r="T147" i="48"/>
  <c r="T146" i="48"/>
  <c r="T145" i="48"/>
  <c r="T144" i="48"/>
  <c r="T143" i="48"/>
  <c r="T142" i="48"/>
  <c r="T141" i="48"/>
  <c r="T140" i="48"/>
  <c r="T139" i="48"/>
  <c r="T138" i="48"/>
  <c r="T137" i="48"/>
  <c r="T136" i="48"/>
  <c r="T135" i="48"/>
  <c r="T134" i="48"/>
  <c r="T133" i="48"/>
  <c r="T132" i="48"/>
  <c r="T131" i="48"/>
  <c r="T130" i="48"/>
  <c r="T129" i="48"/>
  <c r="T128" i="48"/>
  <c r="T127" i="48"/>
  <c r="T126" i="48"/>
  <c r="T125" i="48"/>
  <c r="T124" i="48"/>
  <c r="T123" i="48"/>
  <c r="T122" i="48"/>
  <c r="T121" i="48"/>
  <c r="T120" i="48"/>
  <c r="T119" i="48"/>
  <c r="T118" i="48"/>
  <c r="T117" i="48"/>
  <c r="T116" i="48"/>
  <c r="T115" i="48"/>
  <c r="T114" i="48"/>
  <c r="T113" i="48"/>
  <c r="T112" i="48"/>
  <c r="T111" i="48"/>
  <c r="T110" i="48"/>
  <c r="T109" i="48"/>
  <c r="T108" i="48"/>
  <c r="T107" i="48"/>
  <c r="T106" i="48"/>
  <c r="T105" i="48"/>
  <c r="T104" i="48"/>
  <c r="T103" i="48"/>
  <c r="T102" i="48"/>
  <c r="T101" i="48"/>
  <c r="T100" i="48"/>
  <c r="T99" i="48"/>
  <c r="T98" i="48"/>
  <c r="T97" i="48"/>
  <c r="T96" i="48"/>
  <c r="T95" i="48"/>
  <c r="T94" i="48"/>
  <c r="T93" i="48"/>
  <c r="T92" i="48"/>
  <c r="T91" i="48"/>
  <c r="T90" i="48"/>
  <c r="T89" i="48"/>
  <c r="T88" i="48"/>
  <c r="T87" i="48"/>
  <c r="T86" i="48"/>
  <c r="T85" i="48"/>
  <c r="T84" i="48"/>
  <c r="T83" i="48"/>
  <c r="T82" i="48"/>
  <c r="T81" i="48"/>
  <c r="T80" i="48"/>
  <c r="T79" i="48"/>
  <c r="T78" i="48"/>
  <c r="T77" i="48"/>
  <c r="T76" i="48"/>
  <c r="T75" i="48"/>
  <c r="T74" i="48"/>
  <c r="T73" i="48"/>
  <c r="T72" i="48"/>
  <c r="T71" i="48"/>
  <c r="T70" i="48"/>
  <c r="T69" i="48"/>
  <c r="T68" i="48"/>
  <c r="T67" i="48"/>
  <c r="T66" i="48"/>
  <c r="T65" i="48"/>
  <c r="T64" i="48"/>
  <c r="T63" i="48"/>
  <c r="T62" i="48"/>
  <c r="T61" i="48"/>
  <c r="T60" i="48"/>
  <c r="T59" i="48"/>
  <c r="T58" i="48"/>
  <c r="T57" i="48"/>
  <c r="T56" i="48"/>
  <c r="T55" i="48"/>
  <c r="T54" i="48"/>
  <c r="T53" i="48"/>
  <c r="T52" i="48"/>
  <c r="T51" i="48"/>
  <c r="T50" i="48"/>
  <c r="T49" i="48"/>
  <c r="T48" i="48"/>
  <c r="T47" i="48"/>
  <c r="T46" i="48"/>
  <c r="T45" i="48"/>
  <c r="T44" i="48"/>
  <c r="T43" i="48"/>
  <c r="T42" i="48"/>
  <c r="T41" i="48"/>
  <c r="T40" i="48"/>
  <c r="T39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D18" i="48"/>
  <c r="O18" i="48"/>
  <c r="P18" i="48"/>
  <c r="Q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D19" i="48"/>
  <c r="O19" i="48"/>
  <c r="P19" i="48"/>
  <c r="Q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D20" i="48"/>
  <c r="O20" i="48"/>
  <c r="P20" i="48"/>
  <c r="Q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D21" i="48"/>
  <c r="O21" i="48"/>
  <c r="P21" i="48"/>
  <c r="Q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D22" i="48"/>
  <c r="O22" i="48"/>
  <c r="P22" i="48"/>
  <c r="Q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D17" i="47"/>
  <c r="I17" i="47"/>
  <c r="M17" i="47"/>
  <c r="N17" i="47"/>
  <c r="O17" i="47"/>
  <c r="P17" i="47"/>
  <c r="Q17" i="47"/>
  <c r="M163" i="47"/>
  <c r="I163" i="47"/>
  <c r="N163" i="47"/>
  <c r="S163" i="47"/>
  <c r="M162" i="47"/>
  <c r="I162" i="47"/>
  <c r="N162" i="47"/>
  <c r="S162" i="47"/>
  <c r="M161" i="47"/>
  <c r="I161" i="47"/>
  <c r="N161" i="47"/>
  <c r="S161" i="47"/>
  <c r="M160" i="47"/>
  <c r="I160" i="47"/>
  <c r="N160" i="47"/>
  <c r="S160" i="47"/>
  <c r="M159" i="47"/>
  <c r="I159" i="47"/>
  <c r="N159" i="47"/>
  <c r="S159" i="47"/>
  <c r="M158" i="47"/>
  <c r="I158" i="47"/>
  <c r="N158" i="47"/>
  <c r="S158" i="47"/>
  <c r="M157" i="47"/>
  <c r="I157" i="47"/>
  <c r="N157" i="47"/>
  <c r="S157" i="47"/>
  <c r="M156" i="47"/>
  <c r="I156" i="47"/>
  <c r="N156" i="47"/>
  <c r="S156" i="47"/>
  <c r="M155" i="47"/>
  <c r="I155" i="47"/>
  <c r="N155" i="47"/>
  <c r="S155" i="47"/>
  <c r="M154" i="47"/>
  <c r="I154" i="47"/>
  <c r="N154" i="47"/>
  <c r="S154" i="47"/>
  <c r="M153" i="47"/>
  <c r="I153" i="47"/>
  <c r="N153" i="47"/>
  <c r="S153" i="47"/>
  <c r="M152" i="47"/>
  <c r="I152" i="47"/>
  <c r="N152" i="47"/>
  <c r="S152" i="47"/>
  <c r="M151" i="47"/>
  <c r="I151" i="47"/>
  <c r="N151" i="47"/>
  <c r="S151" i="47"/>
  <c r="M150" i="47"/>
  <c r="I150" i="47"/>
  <c r="N150" i="47"/>
  <c r="S150" i="47"/>
  <c r="M149" i="47"/>
  <c r="I149" i="47"/>
  <c r="N149" i="47"/>
  <c r="S149" i="47"/>
  <c r="M148" i="47"/>
  <c r="I148" i="47"/>
  <c r="N148" i="47"/>
  <c r="S148" i="47"/>
  <c r="M147" i="47"/>
  <c r="I147" i="47"/>
  <c r="N147" i="47"/>
  <c r="S147" i="47"/>
  <c r="M146" i="47"/>
  <c r="I146" i="47"/>
  <c r="N146" i="47"/>
  <c r="S146" i="47"/>
  <c r="M145" i="47"/>
  <c r="I145" i="47"/>
  <c r="N145" i="47"/>
  <c r="S145" i="47"/>
  <c r="M144" i="47"/>
  <c r="I144" i="47"/>
  <c r="N144" i="47"/>
  <c r="S144" i="47"/>
  <c r="M143" i="47"/>
  <c r="I143" i="47"/>
  <c r="N143" i="47"/>
  <c r="S143" i="47"/>
  <c r="M142" i="47"/>
  <c r="I142" i="47"/>
  <c r="N142" i="47"/>
  <c r="S142" i="47"/>
  <c r="M141" i="47"/>
  <c r="I141" i="47"/>
  <c r="N141" i="47"/>
  <c r="S141" i="47"/>
  <c r="M140" i="47"/>
  <c r="I140" i="47"/>
  <c r="N140" i="47"/>
  <c r="S140" i="47"/>
  <c r="M139" i="47"/>
  <c r="I139" i="47"/>
  <c r="N139" i="47"/>
  <c r="S139" i="47"/>
  <c r="M138" i="47"/>
  <c r="I138" i="47"/>
  <c r="N138" i="47"/>
  <c r="S138" i="47"/>
  <c r="M137" i="47"/>
  <c r="I137" i="47"/>
  <c r="N137" i="47"/>
  <c r="S137" i="47"/>
  <c r="M136" i="47"/>
  <c r="I136" i="47"/>
  <c r="N136" i="47"/>
  <c r="S136" i="47"/>
  <c r="M135" i="47"/>
  <c r="I135" i="47"/>
  <c r="N135" i="47"/>
  <c r="S135" i="47"/>
  <c r="M134" i="47"/>
  <c r="I134" i="47"/>
  <c r="N134" i="47"/>
  <c r="S134" i="47"/>
  <c r="M133" i="47"/>
  <c r="I133" i="47"/>
  <c r="N133" i="47"/>
  <c r="S133" i="47"/>
  <c r="M132" i="47"/>
  <c r="I132" i="47"/>
  <c r="N132" i="47"/>
  <c r="S132" i="47"/>
  <c r="M131" i="47"/>
  <c r="I131" i="47"/>
  <c r="N131" i="47"/>
  <c r="S131" i="47"/>
  <c r="M130" i="47"/>
  <c r="I130" i="47"/>
  <c r="N130" i="47"/>
  <c r="S130" i="47"/>
  <c r="M129" i="47"/>
  <c r="I129" i="47"/>
  <c r="N129" i="47"/>
  <c r="S129" i="47"/>
  <c r="M128" i="47"/>
  <c r="I128" i="47"/>
  <c r="N128" i="47"/>
  <c r="S128" i="47"/>
  <c r="M127" i="47"/>
  <c r="I127" i="47"/>
  <c r="N127" i="47"/>
  <c r="S127" i="47"/>
  <c r="M126" i="47"/>
  <c r="I126" i="47"/>
  <c r="N126" i="47"/>
  <c r="S126" i="47"/>
  <c r="M125" i="47"/>
  <c r="I125" i="47"/>
  <c r="N125" i="47"/>
  <c r="S125" i="47"/>
  <c r="M124" i="47"/>
  <c r="I124" i="47"/>
  <c r="N124" i="47"/>
  <c r="S124" i="47"/>
  <c r="M123" i="47"/>
  <c r="I123" i="47"/>
  <c r="N123" i="47"/>
  <c r="S123" i="47"/>
  <c r="M122" i="47"/>
  <c r="I122" i="47"/>
  <c r="N122" i="47"/>
  <c r="S122" i="47"/>
  <c r="M121" i="47"/>
  <c r="I121" i="47"/>
  <c r="N121" i="47"/>
  <c r="S121" i="47"/>
  <c r="M120" i="47"/>
  <c r="I120" i="47"/>
  <c r="N120" i="47"/>
  <c r="S120" i="47"/>
  <c r="M119" i="47"/>
  <c r="I119" i="47"/>
  <c r="N119" i="47"/>
  <c r="S119" i="47"/>
  <c r="M118" i="47"/>
  <c r="I118" i="47"/>
  <c r="N118" i="47"/>
  <c r="S118" i="47"/>
  <c r="M117" i="47"/>
  <c r="I117" i="47"/>
  <c r="N117" i="47"/>
  <c r="S117" i="47"/>
  <c r="M116" i="47"/>
  <c r="I116" i="47"/>
  <c r="N116" i="47"/>
  <c r="S116" i="47"/>
  <c r="M115" i="47"/>
  <c r="I115" i="47"/>
  <c r="N115" i="47"/>
  <c r="S115" i="47"/>
  <c r="M114" i="47"/>
  <c r="I114" i="47"/>
  <c r="N114" i="47"/>
  <c r="S114" i="47"/>
  <c r="M113" i="47"/>
  <c r="I113" i="47"/>
  <c r="N113" i="47"/>
  <c r="S113" i="47"/>
  <c r="M112" i="47"/>
  <c r="I112" i="47"/>
  <c r="N112" i="47"/>
  <c r="S112" i="47"/>
  <c r="M111" i="47"/>
  <c r="I111" i="47"/>
  <c r="N111" i="47"/>
  <c r="S111" i="47"/>
  <c r="M110" i="47"/>
  <c r="I110" i="47"/>
  <c r="N110" i="47"/>
  <c r="S110" i="47"/>
  <c r="M109" i="47"/>
  <c r="I109" i="47"/>
  <c r="N109" i="47"/>
  <c r="S109" i="47"/>
  <c r="M108" i="47"/>
  <c r="I108" i="47"/>
  <c r="N108" i="47"/>
  <c r="S108" i="47"/>
  <c r="M107" i="47"/>
  <c r="I107" i="47"/>
  <c r="N107" i="47"/>
  <c r="S107" i="47"/>
  <c r="M106" i="47"/>
  <c r="I106" i="47"/>
  <c r="N106" i="47"/>
  <c r="S106" i="47"/>
  <c r="M105" i="47"/>
  <c r="I105" i="47"/>
  <c r="N105" i="47"/>
  <c r="S105" i="47"/>
  <c r="M104" i="47"/>
  <c r="I104" i="47"/>
  <c r="N104" i="47"/>
  <c r="S104" i="47"/>
  <c r="M103" i="47"/>
  <c r="I103" i="47"/>
  <c r="N103" i="47"/>
  <c r="S103" i="47"/>
  <c r="M102" i="47"/>
  <c r="I102" i="47"/>
  <c r="N102" i="47"/>
  <c r="S102" i="47"/>
  <c r="M101" i="47"/>
  <c r="I101" i="47"/>
  <c r="N101" i="47"/>
  <c r="S101" i="47"/>
  <c r="M100" i="47"/>
  <c r="I100" i="47"/>
  <c r="N100" i="47"/>
  <c r="S100" i="47"/>
  <c r="M99" i="47"/>
  <c r="I99" i="47"/>
  <c r="N99" i="47"/>
  <c r="S99" i="47"/>
  <c r="M98" i="47"/>
  <c r="I98" i="47"/>
  <c r="N98" i="47"/>
  <c r="S98" i="47"/>
  <c r="M97" i="47"/>
  <c r="I97" i="47"/>
  <c r="N97" i="47"/>
  <c r="S97" i="47"/>
  <c r="M96" i="47"/>
  <c r="I96" i="47"/>
  <c r="N96" i="47"/>
  <c r="S96" i="47"/>
  <c r="M95" i="47"/>
  <c r="I95" i="47"/>
  <c r="N95" i="47"/>
  <c r="S95" i="47"/>
  <c r="M94" i="47"/>
  <c r="I94" i="47"/>
  <c r="N94" i="47"/>
  <c r="S94" i="47"/>
  <c r="M93" i="47"/>
  <c r="I93" i="47"/>
  <c r="N93" i="47"/>
  <c r="S93" i="47"/>
  <c r="M92" i="47"/>
  <c r="I92" i="47"/>
  <c r="N92" i="47"/>
  <c r="S92" i="47"/>
  <c r="M91" i="47"/>
  <c r="I91" i="47"/>
  <c r="N91" i="47"/>
  <c r="S91" i="47"/>
  <c r="M90" i="47"/>
  <c r="I90" i="47"/>
  <c r="N90" i="47"/>
  <c r="S90" i="47"/>
  <c r="M89" i="47"/>
  <c r="I89" i="47"/>
  <c r="N89" i="47"/>
  <c r="S89" i="47"/>
  <c r="M88" i="47"/>
  <c r="I88" i="47"/>
  <c r="N88" i="47"/>
  <c r="S88" i="47"/>
  <c r="M87" i="47"/>
  <c r="I87" i="47"/>
  <c r="N87" i="47"/>
  <c r="S87" i="47"/>
  <c r="M86" i="47"/>
  <c r="I86" i="47"/>
  <c r="N86" i="47"/>
  <c r="S86" i="47"/>
  <c r="M85" i="47"/>
  <c r="I85" i="47"/>
  <c r="N85" i="47"/>
  <c r="S85" i="47"/>
  <c r="M84" i="47"/>
  <c r="I84" i="47"/>
  <c r="N84" i="47"/>
  <c r="S84" i="47"/>
  <c r="M83" i="47"/>
  <c r="I83" i="47"/>
  <c r="N83" i="47"/>
  <c r="S83" i="47"/>
  <c r="M82" i="47"/>
  <c r="I82" i="47"/>
  <c r="N82" i="47"/>
  <c r="S82" i="47"/>
  <c r="M81" i="47"/>
  <c r="I81" i="47"/>
  <c r="N81" i="47"/>
  <c r="S81" i="47"/>
  <c r="M80" i="47"/>
  <c r="I80" i="47"/>
  <c r="N80" i="47"/>
  <c r="S80" i="47"/>
  <c r="M79" i="47"/>
  <c r="I79" i="47"/>
  <c r="N79" i="47"/>
  <c r="S79" i="47"/>
  <c r="M78" i="47"/>
  <c r="I78" i="47"/>
  <c r="N78" i="47"/>
  <c r="S78" i="47"/>
  <c r="M77" i="47"/>
  <c r="I77" i="47"/>
  <c r="N77" i="47"/>
  <c r="S77" i="47"/>
  <c r="M76" i="47"/>
  <c r="I76" i="47"/>
  <c r="N76" i="47"/>
  <c r="S76" i="47"/>
  <c r="M75" i="47"/>
  <c r="I75" i="47"/>
  <c r="N75" i="47"/>
  <c r="S75" i="47"/>
  <c r="M74" i="47"/>
  <c r="I74" i="47"/>
  <c r="N74" i="47"/>
  <c r="S74" i="47"/>
  <c r="M73" i="47"/>
  <c r="I73" i="47"/>
  <c r="N73" i="47"/>
  <c r="S73" i="47"/>
  <c r="M72" i="47"/>
  <c r="I72" i="47"/>
  <c r="N72" i="47"/>
  <c r="S72" i="47"/>
  <c r="M71" i="47"/>
  <c r="I71" i="47"/>
  <c r="N71" i="47"/>
  <c r="S71" i="47"/>
  <c r="M70" i="47"/>
  <c r="I70" i="47"/>
  <c r="N70" i="47"/>
  <c r="S70" i="47"/>
  <c r="M69" i="47"/>
  <c r="I69" i="47"/>
  <c r="N69" i="47"/>
  <c r="S69" i="47"/>
  <c r="M68" i="47"/>
  <c r="I68" i="47"/>
  <c r="N68" i="47"/>
  <c r="S68" i="47"/>
  <c r="M67" i="47"/>
  <c r="I67" i="47"/>
  <c r="N67" i="47"/>
  <c r="S67" i="47"/>
  <c r="M66" i="47"/>
  <c r="I66" i="47"/>
  <c r="N66" i="47"/>
  <c r="S66" i="47"/>
  <c r="M65" i="47"/>
  <c r="I65" i="47"/>
  <c r="N65" i="47"/>
  <c r="S65" i="47"/>
  <c r="M64" i="47"/>
  <c r="I64" i="47"/>
  <c r="N64" i="47"/>
  <c r="S64" i="47"/>
  <c r="M63" i="47"/>
  <c r="I63" i="47"/>
  <c r="N63" i="47"/>
  <c r="S63" i="47"/>
  <c r="M62" i="47"/>
  <c r="I62" i="47"/>
  <c r="N62" i="47"/>
  <c r="S62" i="47"/>
  <c r="M61" i="47"/>
  <c r="I61" i="47"/>
  <c r="N61" i="47"/>
  <c r="S61" i="47"/>
  <c r="M60" i="47"/>
  <c r="I60" i="47"/>
  <c r="N60" i="47"/>
  <c r="S60" i="47"/>
  <c r="M59" i="47"/>
  <c r="I59" i="47"/>
  <c r="N59" i="47"/>
  <c r="S59" i="47"/>
  <c r="M58" i="47"/>
  <c r="I58" i="47"/>
  <c r="N58" i="47"/>
  <c r="S58" i="47"/>
  <c r="M57" i="47"/>
  <c r="I57" i="47"/>
  <c r="N57" i="47"/>
  <c r="S57" i="47"/>
  <c r="M56" i="47"/>
  <c r="I56" i="47"/>
  <c r="N56" i="47"/>
  <c r="S56" i="47"/>
  <c r="M55" i="47"/>
  <c r="I55" i="47"/>
  <c r="N55" i="47"/>
  <c r="S55" i="47"/>
  <c r="M54" i="47"/>
  <c r="I54" i="47"/>
  <c r="N54" i="47"/>
  <c r="S54" i="47"/>
  <c r="M53" i="47"/>
  <c r="I53" i="47"/>
  <c r="N53" i="47"/>
  <c r="S53" i="47"/>
  <c r="M52" i="47"/>
  <c r="I52" i="47"/>
  <c r="N52" i="47"/>
  <c r="S52" i="47"/>
  <c r="M51" i="47"/>
  <c r="I51" i="47"/>
  <c r="N51" i="47"/>
  <c r="S51" i="47"/>
  <c r="M50" i="47"/>
  <c r="I50" i="47"/>
  <c r="N50" i="47"/>
  <c r="S50" i="47"/>
  <c r="M49" i="47"/>
  <c r="I49" i="47"/>
  <c r="N49" i="47"/>
  <c r="S49" i="47"/>
  <c r="M48" i="47"/>
  <c r="I48" i="47"/>
  <c r="N48" i="47"/>
  <c r="S48" i="47"/>
  <c r="M47" i="47"/>
  <c r="I47" i="47"/>
  <c r="N47" i="47"/>
  <c r="S47" i="47"/>
  <c r="M46" i="47"/>
  <c r="I46" i="47"/>
  <c r="N46" i="47"/>
  <c r="S46" i="47"/>
  <c r="M45" i="47"/>
  <c r="I45" i="47"/>
  <c r="N45" i="47"/>
  <c r="S45" i="47"/>
  <c r="M44" i="47"/>
  <c r="I44" i="47"/>
  <c r="N44" i="47"/>
  <c r="S44" i="47"/>
  <c r="M43" i="47"/>
  <c r="I43" i="47"/>
  <c r="N43" i="47"/>
  <c r="S43" i="47"/>
  <c r="M42" i="47"/>
  <c r="I42" i="47"/>
  <c r="N42" i="47"/>
  <c r="S42" i="47"/>
  <c r="M41" i="47"/>
  <c r="I41" i="47"/>
  <c r="N41" i="47"/>
  <c r="S41" i="47"/>
  <c r="M40" i="47"/>
  <c r="I40" i="47"/>
  <c r="N40" i="47"/>
  <c r="S40" i="47"/>
  <c r="M39" i="47"/>
  <c r="I39" i="47"/>
  <c r="N39" i="47"/>
  <c r="S39" i="47"/>
  <c r="M38" i="47"/>
  <c r="I38" i="47"/>
  <c r="N38" i="47"/>
  <c r="S38" i="47"/>
  <c r="M37" i="47"/>
  <c r="I37" i="47"/>
  <c r="N37" i="47"/>
  <c r="S37" i="47"/>
  <c r="M36" i="47"/>
  <c r="I36" i="47"/>
  <c r="N36" i="47"/>
  <c r="S36" i="47"/>
  <c r="M35" i="47"/>
  <c r="I35" i="47"/>
  <c r="N35" i="47"/>
  <c r="S35" i="47"/>
  <c r="M34" i="47"/>
  <c r="I34" i="47"/>
  <c r="N34" i="47"/>
  <c r="S34" i="47"/>
  <c r="M33" i="47"/>
  <c r="I33" i="47"/>
  <c r="N33" i="47"/>
  <c r="S33" i="47"/>
  <c r="M32" i="47"/>
  <c r="I32" i="47"/>
  <c r="N32" i="47"/>
  <c r="S32" i="47"/>
  <c r="M31" i="47"/>
  <c r="I31" i="47"/>
  <c r="N31" i="47"/>
  <c r="S31" i="47"/>
  <c r="M30" i="47"/>
  <c r="I30" i="47"/>
  <c r="N30" i="47"/>
  <c r="S30" i="47"/>
  <c r="M29" i="47"/>
  <c r="I29" i="47"/>
  <c r="N29" i="47"/>
  <c r="S29" i="47"/>
  <c r="M28" i="47"/>
  <c r="I28" i="47"/>
  <c r="N28" i="47"/>
  <c r="S28" i="47"/>
  <c r="M27" i="47"/>
  <c r="I27" i="47"/>
  <c r="N27" i="47"/>
  <c r="S27" i="47"/>
  <c r="M26" i="47"/>
  <c r="I26" i="47"/>
  <c r="N26" i="47"/>
  <c r="S26" i="47"/>
  <c r="M25" i="47"/>
  <c r="I25" i="47"/>
  <c r="N25" i="47"/>
  <c r="S25" i="47"/>
  <c r="M24" i="47"/>
  <c r="I24" i="47"/>
  <c r="N24" i="47"/>
  <c r="S24" i="47"/>
  <c r="M23" i="47"/>
  <c r="I23" i="47"/>
  <c r="N23" i="47"/>
  <c r="S23" i="47"/>
  <c r="M22" i="47"/>
  <c r="I22" i="47"/>
  <c r="N22" i="47"/>
  <c r="S22" i="47"/>
  <c r="M21" i="47"/>
  <c r="I21" i="47"/>
  <c r="N21" i="47"/>
  <c r="S21" i="47"/>
  <c r="M20" i="47"/>
  <c r="I20" i="47"/>
  <c r="N20" i="47"/>
  <c r="S20" i="47"/>
  <c r="M19" i="47"/>
  <c r="I19" i="47"/>
  <c r="N19" i="47"/>
  <c r="S19" i="47"/>
  <c r="M18" i="47"/>
  <c r="I18" i="47"/>
  <c r="N18" i="47"/>
  <c r="S18" i="47"/>
  <c r="R163" i="47"/>
  <c r="R162" i="47"/>
  <c r="R161" i="47"/>
  <c r="R160" i="47"/>
  <c r="R159" i="47"/>
  <c r="R158" i="47"/>
  <c r="R157" i="47"/>
  <c r="R156" i="47"/>
  <c r="R155" i="47"/>
  <c r="R154" i="47"/>
  <c r="R153" i="47"/>
  <c r="R152" i="47"/>
  <c r="R151" i="47"/>
  <c r="R150" i="47"/>
  <c r="R149" i="47"/>
  <c r="R148" i="47"/>
  <c r="R147" i="47"/>
  <c r="R146" i="47"/>
  <c r="R145" i="47"/>
  <c r="R144" i="47"/>
  <c r="R143" i="47"/>
  <c r="R142" i="47"/>
  <c r="R141" i="47"/>
  <c r="R140" i="47"/>
  <c r="R139" i="47"/>
  <c r="R138" i="47"/>
  <c r="R137" i="47"/>
  <c r="R136" i="47"/>
  <c r="R135" i="47"/>
  <c r="R134" i="47"/>
  <c r="R133" i="47"/>
  <c r="R132" i="47"/>
  <c r="R131" i="47"/>
  <c r="R130" i="47"/>
  <c r="R129" i="47"/>
  <c r="R128" i="47"/>
  <c r="R127" i="47"/>
  <c r="R126" i="47"/>
  <c r="R125" i="47"/>
  <c r="R124" i="47"/>
  <c r="R123" i="47"/>
  <c r="R122" i="47"/>
  <c r="R121" i="47"/>
  <c r="R120" i="47"/>
  <c r="R119" i="47"/>
  <c r="R118" i="47"/>
  <c r="R117" i="47"/>
  <c r="R116" i="47"/>
  <c r="R115" i="47"/>
  <c r="R114" i="47"/>
  <c r="R113" i="47"/>
  <c r="R112" i="47"/>
  <c r="R111" i="47"/>
  <c r="R110" i="47"/>
  <c r="R109" i="47"/>
  <c r="R108" i="47"/>
  <c r="R107" i="47"/>
  <c r="R106" i="47"/>
  <c r="R105" i="47"/>
  <c r="R104" i="47"/>
  <c r="R103" i="47"/>
  <c r="R102" i="47"/>
  <c r="R101" i="47"/>
  <c r="R100" i="47"/>
  <c r="R99" i="47"/>
  <c r="R98" i="47"/>
  <c r="R97" i="47"/>
  <c r="R96" i="47"/>
  <c r="R95" i="47"/>
  <c r="R94" i="47"/>
  <c r="R93" i="47"/>
  <c r="R92" i="47"/>
  <c r="R91" i="47"/>
  <c r="R90" i="47"/>
  <c r="R89" i="47"/>
  <c r="R88" i="47"/>
  <c r="R87" i="47"/>
  <c r="R86" i="47"/>
  <c r="R85" i="47"/>
  <c r="R84" i="47"/>
  <c r="R83" i="47"/>
  <c r="R82" i="47"/>
  <c r="R81" i="47"/>
  <c r="R80" i="47"/>
  <c r="R79" i="47"/>
  <c r="R78" i="47"/>
  <c r="R77" i="47"/>
  <c r="R76" i="47"/>
  <c r="R75" i="47"/>
  <c r="R74" i="47"/>
  <c r="R73" i="47"/>
  <c r="R72" i="47"/>
  <c r="R71" i="47"/>
  <c r="R70" i="47"/>
  <c r="R69" i="47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3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39" i="47"/>
  <c r="R38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S17" i="47"/>
  <c r="T163" i="47"/>
  <c r="T162" i="47"/>
  <c r="T161" i="47"/>
  <c r="T160" i="47"/>
  <c r="T159" i="47"/>
  <c r="T158" i="47"/>
  <c r="T157" i="47"/>
  <c r="T156" i="47"/>
  <c r="T155" i="47"/>
  <c r="T154" i="47"/>
  <c r="T153" i="47"/>
  <c r="T152" i="47"/>
  <c r="T151" i="47"/>
  <c r="T150" i="47"/>
  <c r="T149" i="47"/>
  <c r="T148" i="47"/>
  <c r="T147" i="47"/>
  <c r="T146" i="47"/>
  <c r="T145" i="47"/>
  <c r="T144" i="47"/>
  <c r="T143" i="47"/>
  <c r="T142" i="47"/>
  <c r="T141" i="47"/>
  <c r="T140" i="47"/>
  <c r="T139" i="47"/>
  <c r="T138" i="47"/>
  <c r="T137" i="47"/>
  <c r="T136" i="47"/>
  <c r="T135" i="47"/>
  <c r="T134" i="47"/>
  <c r="T133" i="47"/>
  <c r="T132" i="47"/>
  <c r="T131" i="47"/>
  <c r="T130" i="47"/>
  <c r="T129" i="47"/>
  <c r="T128" i="47"/>
  <c r="T127" i="47"/>
  <c r="T126" i="47"/>
  <c r="T125" i="47"/>
  <c r="T124" i="47"/>
  <c r="T123" i="47"/>
  <c r="T122" i="47"/>
  <c r="T121" i="47"/>
  <c r="T120" i="47"/>
  <c r="T119" i="47"/>
  <c r="T118" i="47"/>
  <c r="T117" i="47"/>
  <c r="T116" i="47"/>
  <c r="T115" i="47"/>
  <c r="T114" i="47"/>
  <c r="T113" i="47"/>
  <c r="T112" i="47"/>
  <c r="T111" i="47"/>
  <c r="T110" i="47"/>
  <c r="T109" i="47"/>
  <c r="T108" i="47"/>
  <c r="T107" i="47"/>
  <c r="T106" i="47"/>
  <c r="T105" i="47"/>
  <c r="T104" i="47"/>
  <c r="T103" i="47"/>
  <c r="T102" i="47"/>
  <c r="T101" i="47"/>
  <c r="T100" i="47"/>
  <c r="T99" i="47"/>
  <c r="T98" i="47"/>
  <c r="T97" i="47"/>
  <c r="T96" i="47"/>
  <c r="T95" i="47"/>
  <c r="T94" i="47"/>
  <c r="T93" i="47"/>
  <c r="T92" i="47"/>
  <c r="T91" i="47"/>
  <c r="T90" i="47"/>
  <c r="T89" i="47"/>
  <c r="T88" i="47"/>
  <c r="T87" i="47"/>
  <c r="T86" i="47"/>
  <c r="T85" i="47"/>
  <c r="T84" i="47"/>
  <c r="T83" i="47"/>
  <c r="T82" i="47"/>
  <c r="T81" i="47"/>
  <c r="T80" i="47"/>
  <c r="T79" i="47"/>
  <c r="T78" i="47"/>
  <c r="T77" i="47"/>
  <c r="T76" i="47"/>
  <c r="T75" i="47"/>
  <c r="T74" i="47"/>
  <c r="T73" i="47"/>
  <c r="T72" i="47"/>
  <c r="T71" i="47"/>
  <c r="T70" i="47"/>
  <c r="T69" i="47"/>
  <c r="T68" i="47"/>
  <c r="T67" i="47"/>
  <c r="T66" i="47"/>
  <c r="T65" i="47"/>
  <c r="T64" i="47"/>
  <c r="T63" i="47"/>
  <c r="T62" i="47"/>
  <c r="T61" i="47"/>
  <c r="T60" i="47"/>
  <c r="T59" i="47"/>
  <c r="T58" i="47"/>
  <c r="T57" i="47"/>
  <c r="T56" i="47"/>
  <c r="T55" i="47"/>
  <c r="T54" i="47"/>
  <c r="T53" i="47"/>
  <c r="T52" i="47"/>
  <c r="T51" i="47"/>
  <c r="T50" i="47"/>
  <c r="T49" i="47"/>
  <c r="T48" i="47"/>
  <c r="T47" i="47"/>
  <c r="T46" i="47"/>
  <c r="T45" i="47"/>
  <c r="T44" i="47"/>
  <c r="T43" i="47"/>
  <c r="T42" i="47"/>
  <c r="T41" i="47"/>
  <c r="T40" i="47"/>
  <c r="T39" i="47"/>
  <c r="T38" i="47"/>
  <c r="T37" i="47"/>
  <c r="T36" i="47"/>
  <c r="T35" i="47"/>
  <c r="T34" i="47"/>
  <c r="T33" i="47"/>
  <c r="T32" i="47"/>
  <c r="T31" i="47"/>
  <c r="T30" i="47"/>
  <c r="T29" i="47"/>
  <c r="T28" i="47"/>
  <c r="T27" i="47"/>
  <c r="T26" i="47"/>
  <c r="T25" i="47"/>
  <c r="T24" i="47"/>
  <c r="T23" i="47"/>
  <c r="T22" i="47"/>
  <c r="T21" i="47"/>
  <c r="T20" i="47"/>
  <c r="T19" i="47"/>
  <c r="T18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D18" i="47"/>
  <c r="O18" i="47"/>
  <c r="P18" i="47"/>
  <c r="Q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D19" i="47"/>
  <c r="O19" i="47"/>
  <c r="P19" i="47"/>
  <c r="Q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D20" i="47"/>
  <c r="O20" i="47"/>
  <c r="P20" i="47"/>
  <c r="Q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D17" i="46"/>
  <c r="I17" i="46"/>
  <c r="M17" i="46"/>
  <c r="N17" i="46"/>
  <c r="O17" i="46"/>
  <c r="P17" i="46"/>
  <c r="Q17" i="46"/>
  <c r="M124" i="46"/>
  <c r="I124" i="46"/>
  <c r="N124" i="46"/>
  <c r="S124" i="46"/>
  <c r="M123" i="46"/>
  <c r="I123" i="46"/>
  <c r="N123" i="46"/>
  <c r="S123" i="46"/>
  <c r="M122" i="46"/>
  <c r="I122" i="46"/>
  <c r="N122" i="46"/>
  <c r="S122" i="46"/>
  <c r="M121" i="46"/>
  <c r="I121" i="46"/>
  <c r="N121" i="46"/>
  <c r="S121" i="46"/>
  <c r="M120" i="46"/>
  <c r="I120" i="46"/>
  <c r="N120" i="46"/>
  <c r="S120" i="46"/>
  <c r="M119" i="46"/>
  <c r="I119" i="46"/>
  <c r="N119" i="46"/>
  <c r="S119" i="46"/>
  <c r="M118" i="46"/>
  <c r="I118" i="46"/>
  <c r="N118" i="46"/>
  <c r="S118" i="46"/>
  <c r="M117" i="46"/>
  <c r="I117" i="46"/>
  <c r="N117" i="46"/>
  <c r="S117" i="46"/>
  <c r="M116" i="46"/>
  <c r="I116" i="46"/>
  <c r="N116" i="46"/>
  <c r="S116" i="46"/>
  <c r="M115" i="46"/>
  <c r="I115" i="46"/>
  <c r="N115" i="46"/>
  <c r="S115" i="46"/>
  <c r="M114" i="46"/>
  <c r="I114" i="46"/>
  <c r="N114" i="46"/>
  <c r="S114" i="46"/>
  <c r="M113" i="46"/>
  <c r="I113" i="46"/>
  <c r="N113" i="46"/>
  <c r="S113" i="46"/>
  <c r="M112" i="46"/>
  <c r="I112" i="46"/>
  <c r="N112" i="46"/>
  <c r="S112" i="46"/>
  <c r="M111" i="46"/>
  <c r="I111" i="46"/>
  <c r="N111" i="46"/>
  <c r="S111" i="46"/>
  <c r="M110" i="46"/>
  <c r="I110" i="46"/>
  <c r="N110" i="46"/>
  <c r="S110" i="46"/>
  <c r="M109" i="46"/>
  <c r="I109" i="46"/>
  <c r="N109" i="46"/>
  <c r="S109" i="46"/>
  <c r="M108" i="46"/>
  <c r="I108" i="46"/>
  <c r="N108" i="46"/>
  <c r="S108" i="46"/>
  <c r="M107" i="46"/>
  <c r="I107" i="46"/>
  <c r="N107" i="46"/>
  <c r="S107" i="46"/>
  <c r="M106" i="46"/>
  <c r="I106" i="46"/>
  <c r="N106" i="46"/>
  <c r="S106" i="46"/>
  <c r="M105" i="46"/>
  <c r="I105" i="46"/>
  <c r="N105" i="46"/>
  <c r="S105" i="46"/>
  <c r="M104" i="46"/>
  <c r="I104" i="46"/>
  <c r="N104" i="46"/>
  <c r="S104" i="46"/>
  <c r="M103" i="46"/>
  <c r="I103" i="46"/>
  <c r="N103" i="46"/>
  <c r="S103" i="46"/>
  <c r="M102" i="46"/>
  <c r="I102" i="46"/>
  <c r="N102" i="46"/>
  <c r="S102" i="46"/>
  <c r="M101" i="46"/>
  <c r="I101" i="46"/>
  <c r="N101" i="46"/>
  <c r="S101" i="46"/>
  <c r="M100" i="46"/>
  <c r="I100" i="46"/>
  <c r="N100" i="46"/>
  <c r="S100" i="46"/>
  <c r="M99" i="46"/>
  <c r="I99" i="46"/>
  <c r="N99" i="46"/>
  <c r="S99" i="46"/>
  <c r="M98" i="46"/>
  <c r="I98" i="46"/>
  <c r="N98" i="46"/>
  <c r="S98" i="46"/>
  <c r="M97" i="46"/>
  <c r="I97" i="46"/>
  <c r="N97" i="46"/>
  <c r="S97" i="46"/>
  <c r="M96" i="46"/>
  <c r="I96" i="46"/>
  <c r="N96" i="46"/>
  <c r="S96" i="46"/>
  <c r="M95" i="46"/>
  <c r="I95" i="46"/>
  <c r="N95" i="46"/>
  <c r="S95" i="46"/>
  <c r="M94" i="46"/>
  <c r="I94" i="46"/>
  <c r="N94" i="46"/>
  <c r="S94" i="46"/>
  <c r="M93" i="46"/>
  <c r="I93" i="46"/>
  <c r="N93" i="46"/>
  <c r="S93" i="46"/>
  <c r="M92" i="46"/>
  <c r="I92" i="46"/>
  <c r="N92" i="46"/>
  <c r="S92" i="46"/>
  <c r="M91" i="46"/>
  <c r="I91" i="46"/>
  <c r="N91" i="46"/>
  <c r="S91" i="46"/>
  <c r="M90" i="46"/>
  <c r="I90" i="46"/>
  <c r="N90" i="46"/>
  <c r="S90" i="46"/>
  <c r="M89" i="46"/>
  <c r="I89" i="46"/>
  <c r="N89" i="46"/>
  <c r="S89" i="46"/>
  <c r="M88" i="46"/>
  <c r="I88" i="46"/>
  <c r="N88" i="46"/>
  <c r="S88" i="46"/>
  <c r="M87" i="46"/>
  <c r="I87" i="46"/>
  <c r="N87" i="46"/>
  <c r="S87" i="46"/>
  <c r="M86" i="46"/>
  <c r="I86" i="46"/>
  <c r="N86" i="46"/>
  <c r="S86" i="46"/>
  <c r="M85" i="46"/>
  <c r="I85" i="46"/>
  <c r="N85" i="46"/>
  <c r="S85" i="46"/>
  <c r="M84" i="46"/>
  <c r="I84" i="46"/>
  <c r="N84" i="46"/>
  <c r="S84" i="46"/>
  <c r="M83" i="46"/>
  <c r="I83" i="46"/>
  <c r="N83" i="46"/>
  <c r="S83" i="46"/>
  <c r="M82" i="46"/>
  <c r="I82" i="46"/>
  <c r="N82" i="46"/>
  <c r="S82" i="46"/>
  <c r="M81" i="46"/>
  <c r="I81" i="46"/>
  <c r="N81" i="46"/>
  <c r="S81" i="46"/>
  <c r="M80" i="46"/>
  <c r="I80" i="46"/>
  <c r="N80" i="46"/>
  <c r="S80" i="46"/>
  <c r="M79" i="46"/>
  <c r="I79" i="46"/>
  <c r="N79" i="46"/>
  <c r="S79" i="46"/>
  <c r="M78" i="46"/>
  <c r="I78" i="46"/>
  <c r="N78" i="46"/>
  <c r="S78" i="46"/>
  <c r="M77" i="46"/>
  <c r="I77" i="46"/>
  <c r="N77" i="46"/>
  <c r="S77" i="46"/>
  <c r="M76" i="46"/>
  <c r="I76" i="46"/>
  <c r="N76" i="46"/>
  <c r="S76" i="46"/>
  <c r="M75" i="46"/>
  <c r="I75" i="46"/>
  <c r="N75" i="46"/>
  <c r="S75" i="46"/>
  <c r="M74" i="46"/>
  <c r="I74" i="46"/>
  <c r="N74" i="46"/>
  <c r="S74" i="46"/>
  <c r="M73" i="46"/>
  <c r="I73" i="46"/>
  <c r="N73" i="46"/>
  <c r="S73" i="46"/>
  <c r="M72" i="46"/>
  <c r="I72" i="46"/>
  <c r="N72" i="46"/>
  <c r="S72" i="46"/>
  <c r="M71" i="46"/>
  <c r="I71" i="46"/>
  <c r="N71" i="46"/>
  <c r="S71" i="46"/>
  <c r="M70" i="46"/>
  <c r="I70" i="46"/>
  <c r="N70" i="46"/>
  <c r="S70" i="46"/>
  <c r="M69" i="46"/>
  <c r="I69" i="46"/>
  <c r="N69" i="46"/>
  <c r="S69" i="46"/>
  <c r="M68" i="46"/>
  <c r="I68" i="46"/>
  <c r="N68" i="46"/>
  <c r="S68" i="46"/>
  <c r="M67" i="46"/>
  <c r="I67" i="46"/>
  <c r="N67" i="46"/>
  <c r="S67" i="46"/>
  <c r="M66" i="46"/>
  <c r="I66" i="46"/>
  <c r="N66" i="46"/>
  <c r="S66" i="46"/>
  <c r="M65" i="46"/>
  <c r="I65" i="46"/>
  <c r="N65" i="46"/>
  <c r="S65" i="46"/>
  <c r="M64" i="46"/>
  <c r="I64" i="46"/>
  <c r="N64" i="46"/>
  <c r="S64" i="46"/>
  <c r="M63" i="46"/>
  <c r="I63" i="46"/>
  <c r="N63" i="46"/>
  <c r="S63" i="46"/>
  <c r="M62" i="46"/>
  <c r="I62" i="46"/>
  <c r="N62" i="46"/>
  <c r="S62" i="46"/>
  <c r="M61" i="46"/>
  <c r="I61" i="46"/>
  <c r="N61" i="46"/>
  <c r="S61" i="46"/>
  <c r="M60" i="46"/>
  <c r="I60" i="46"/>
  <c r="N60" i="46"/>
  <c r="S60" i="46"/>
  <c r="M59" i="46"/>
  <c r="I59" i="46"/>
  <c r="N59" i="46"/>
  <c r="S59" i="46"/>
  <c r="M58" i="46"/>
  <c r="I58" i="46"/>
  <c r="N58" i="46"/>
  <c r="S58" i="46"/>
  <c r="M57" i="46"/>
  <c r="I57" i="46"/>
  <c r="N57" i="46"/>
  <c r="S57" i="46"/>
  <c r="M56" i="46"/>
  <c r="I56" i="46"/>
  <c r="N56" i="46"/>
  <c r="S56" i="46"/>
  <c r="M55" i="46"/>
  <c r="I55" i="46"/>
  <c r="N55" i="46"/>
  <c r="S55" i="46"/>
  <c r="M54" i="46"/>
  <c r="I54" i="46"/>
  <c r="N54" i="46"/>
  <c r="S54" i="46"/>
  <c r="M53" i="46"/>
  <c r="I53" i="46"/>
  <c r="N53" i="46"/>
  <c r="S53" i="46"/>
  <c r="M52" i="46"/>
  <c r="I52" i="46"/>
  <c r="N52" i="46"/>
  <c r="S52" i="46"/>
  <c r="M51" i="46"/>
  <c r="I51" i="46"/>
  <c r="N51" i="46"/>
  <c r="S51" i="46"/>
  <c r="M50" i="46"/>
  <c r="I50" i="46"/>
  <c r="N50" i="46"/>
  <c r="S50" i="46"/>
  <c r="M49" i="46"/>
  <c r="I49" i="46"/>
  <c r="N49" i="46"/>
  <c r="S49" i="46"/>
  <c r="M48" i="46"/>
  <c r="I48" i="46"/>
  <c r="N48" i="46"/>
  <c r="S48" i="46"/>
  <c r="M47" i="46"/>
  <c r="I47" i="46"/>
  <c r="N47" i="46"/>
  <c r="S47" i="46"/>
  <c r="M46" i="46"/>
  <c r="I46" i="46"/>
  <c r="N46" i="46"/>
  <c r="S46" i="46"/>
  <c r="M45" i="46"/>
  <c r="I45" i="46"/>
  <c r="N45" i="46"/>
  <c r="S45" i="46"/>
  <c r="M44" i="46"/>
  <c r="I44" i="46"/>
  <c r="N44" i="46"/>
  <c r="S44" i="46"/>
  <c r="M43" i="46"/>
  <c r="I43" i="46"/>
  <c r="N43" i="46"/>
  <c r="S43" i="46"/>
  <c r="M42" i="46"/>
  <c r="I42" i="46"/>
  <c r="N42" i="46"/>
  <c r="S42" i="46"/>
  <c r="M41" i="46"/>
  <c r="I41" i="46"/>
  <c r="N41" i="46"/>
  <c r="S41" i="46"/>
  <c r="M40" i="46"/>
  <c r="I40" i="46"/>
  <c r="N40" i="46"/>
  <c r="S40" i="46"/>
  <c r="M39" i="46"/>
  <c r="I39" i="46"/>
  <c r="N39" i="46"/>
  <c r="S39" i="46"/>
  <c r="M38" i="46"/>
  <c r="I38" i="46"/>
  <c r="N38" i="46"/>
  <c r="S38" i="46"/>
  <c r="M37" i="46"/>
  <c r="I37" i="46"/>
  <c r="N37" i="46"/>
  <c r="S37" i="46"/>
  <c r="M36" i="46"/>
  <c r="I36" i="46"/>
  <c r="N36" i="46"/>
  <c r="S36" i="46"/>
  <c r="M35" i="46"/>
  <c r="I35" i="46"/>
  <c r="N35" i="46"/>
  <c r="S35" i="46"/>
  <c r="M34" i="46"/>
  <c r="I34" i="46"/>
  <c r="N34" i="46"/>
  <c r="S34" i="46"/>
  <c r="M33" i="46"/>
  <c r="I33" i="46"/>
  <c r="N33" i="46"/>
  <c r="S33" i="46"/>
  <c r="M32" i="46"/>
  <c r="I32" i="46"/>
  <c r="N32" i="46"/>
  <c r="S32" i="46"/>
  <c r="M31" i="46"/>
  <c r="I31" i="46"/>
  <c r="N31" i="46"/>
  <c r="S31" i="46"/>
  <c r="M30" i="46"/>
  <c r="I30" i="46"/>
  <c r="N30" i="46"/>
  <c r="S30" i="46"/>
  <c r="M29" i="46"/>
  <c r="I29" i="46"/>
  <c r="N29" i="46"/>
  <c r="S29" i="46"/>
  <c r="M28" i="46"/>
  <c r="I28" i="46"/>
  <c r="N28" i="46"/>
  <c r="S28" i="46"/>
  <c r="M27" i="46"/>
  <c r="I27" i="46"/>
  <c r="N27" i="46"/>
  <c r="S27" i="46"/>
  <c r="M26" i="46"/>
  <c r="I26" i="46"/>
  <c r="N26" i="46"/>
  <c r="S26" i="46"/>
  <c r="M25" i="46"/>
  <c r="I25" i="46"/>
  <c r="N25" i="46"/>
  <c r="S25" i="46"/>
  <c r="M24" i="46"/>
  <c r="I24" i="46"/>
  <c r="N24" i="46"/>
  <c r="S24" i="46"/>
  <c r="M23" i="46"/>
  <c r="I23" i="46"/>
  <c r="N23" i="46"/>
  <c r="S23" i="46"/>
  <c r="M22" i="46"/>
  <c r="I22" i="46"/>
  <c r="N22" i="46"/>
  <c r="S22" i="46"/>
  <c r="M21" i="46"/>
  <c r="I21" i="46"/>
  <c r="N21" i="46"/>
  <c r="S21" i="46"/>
  <c r="M20" i="46"/>
  <c r="I20" i="46"/>
  <c r="N20" i="46"/>
  <c r="S20" i="46"/>
  <c r="M19" i="46"/>
  <c r="I19" i="46"/>
  <c r="N19" i="46"/>
  <c r="S19" i="46"/>
  <c r="M18" i="46"/>
  <c r="I18" i="46"/>
  <c r="N18" i="46"/>
  <c r="S18" i="46"/>
  <c r="R124" i="46"/>
  <c r="R123" i="46"/>
  <c r="R122" i="46"/>
  <c r="R121" i="46"/>
  <c r="R120" i="46"/>
  <c r="R119" i="46"/>
  <c r="R118" i="46"/>
  <c r="R117" i="46"/>
  <c r="R116" i="46"/>
  <c r="R115" i="46"/>
  <c r="R114" i="46"/>
  <c r="R113" i="46"/>
  <c r="R112" i="46"/>
  <c r="R111" i="46"/>
  <c r="R110" i="46"/>
  <c r="R109" i="46"/>
  <c r="R108" i="46"/>
  <c r="R107" i="46"/>
  <c r="R106" i="46"/>
  <c r="R105" i="46"/>
  <c r="R104" i="46"/>
  <c r="R103" i="46"/>
  <c r="R102" i="46"/>
  <c r="R101" i="46"/>
  <c r="R100" i="46"/>
  <c r="R99" i="46"/>
  <c r="R9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5" i="46"/>
  <c r="R34" i="46"/>
  <c r="R33" i="46"/>
  <c r="R32" i="46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S17" i="46"/>
  <c r="T124" i="46"/>
  <c r="T123" i="46"/>
  <c r="T122" i="46"/>
  <c r="T121" i="46"/>
  <c r="T120" i="46"/>
  <c r="T119" i="46"/>
  <c r="T118" i="46"/>
  <c r="T117" i="46"/>
  <c r="T116" i="46"/>
  <c r="T115" i="46"/>
  <c r="T114" i="46"/>
  <c r="T113" i="46"/>
  <c r="T112" i="46"/>
  <c r="T111" i="46"/>
  <c r="T110" i="46"/>
  <c r="T109" i="46"/>
  <c r="T108" i="46"/>
  <c r="T107" i="46"/>
  <c r="T106" i="46"/>
  <c r="T105" i="46"/>
  <c r="T104" i="46"/>
  <c r="T103" i="46"/>
  <c r="T102" i="46"/>
  <c r="T101" i="46"/>
  <c r="T100" i="46"/>
  <c r="T99" i="46"/>
  <c r="T98" i="46"/>
  <c r="T97" i="46"/>
  <c r="T96" i="46"/>
  <c r="T95" i="46"/>
  <c r="T94" i="46"/>
  <c r="T93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D18" i="46"/>
  <c r="O18" i="46"/>
  <c r="P18" i="46"/>
  <c r="Q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D19" i="46"/>
  <c r="O19" i="46"/>
  <c r="P19" i="46"/>
  <c r="Q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D20" i="46"/>
  <c r="O20" i="46"/>
  <c r="P20" i="46"/>
  <c r="Q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D21" i="46"/>
  <c r="O21" i="46"/>
  <c r="P21" i="46"/>
  <c r="Q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D22" i="46"/>
  <c r="O22" i="46"/>
  <c r="P22" i="46"/>
  <c r="Q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D23" i="46"/>
  <c r="O23" i="46"/>
  <c r="P23" i="46"/>
  <c r="Q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D24" i="46"/>
  <c r="O24" i="46"/>
  <c r="P24" i="46"/>
  <c r="Q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D17" i="45"/>
  <c r="I17" i="45"/>
  <c r="M17" i="45"/>
  <c r="N17" i="45"/>
  <c r="O17" i="45"/>
  <c r="P17" i="45"/>
  <c r="Q17" i="45"/>
  <c r="M93" i="45"/>
  <c r="I93" i="45"/>
  <c r="N93" i="45"/>
  <c r="S93" i="45"/>
  <c r="M92" i="45"/>
  <c r="I92" i="45"/>
  <c r="N92" i="45"/>
  <c r="S92" i="45"/>
  <c r="M91" i="45"/>
  <c r="I91" i="45"/>
  <c r="N91" i="45"/>
  <c r="S91" i="45"/>
  <c r="M90" i="45"/>
  <c r="I90" i="45"/>
  <c r="N90" i="45"/>
  <c r="S90" i="45"/>
  <c r="M89" i="45"/>
  <c r="I89" i="45"/>
  <c r="N89" i="45"/>
  <c r="S89" i="45"/>
  <c r="M88" i="45"/>
  <c r="I88" i="45"/>
  <c r="N88" i="45"/>
  <c r="S88" i="45"/>
  <c r="M87" i="45"/>
  <c r="I87" i="45"/>
  <c r="N87" i="45"/>
  <c r="S87" i="45"/>
  <c r="M86" i="45"/>
  <c r="I86" i="45"/>
  <c r="N86" i="45"/>
  <c r="S86" i="45"/>
  <c r="M85" i="45"/>
  <c r="I85" i="45"/>
  <c r="N85" i="45"/>
  <c r="S85" i="45"/>
  <c r="M84" i="45"/>
  <c r="I84" i="45"/>
  <c r="N84" i="45"/>
  <c r="S84" i="45"/>
  <c r="M83" i="45"/>
  <c r="I83" i="45"/>
  <c r="N83" i="45"/>
  <c r="S83" i="45"/>
  <c r="M82" i="45"/>
  <c r="I82" i="45"/>
  <c r="N82" i="45"/>
  <c r="S82" i="45"/>
  <c r="M81" i="45"/>
  <c r="I81" i="45"/>
  <c r="N81" i="45"/>
  <c r="S81" i="45"/>
  <c r="M80" i="45"/>
  <c r="I80" i="45"/>
  <c r="N80" i="45"/>
  <c r="S80" i="45"/>
  <c r="M79" i="45"/>
  <c r="I79" i="45"/>
  <c r="N79" i="45"/>
  <c r="S79" i="45"/>
  <c r="M78" i="45"/>
  <c r="I78" i="45"/>
  <c r="N78" i="45"/>
  <c r="S78" i="45"/>
  <c r="M77" i="45"/>
  <c r="I77" i="45"/>
  <c r="N77" i="45"/>
  <c r="S77" i="45"/>
  <c r="M76" i="45"/>
  <c r="I76" i="45"/>
  <c r="N76" i="45"/>
  <c r="S76" i="45"/>
  <c r="M75" i="45"/>
  <c r="I75" i="45"/>
  <c r="N75" i="45"/>
  <c r="S75" i="45"/>
  <c r="M74" i="45"/>
  <c r="I74" i="45"/>
  <c r="N74" i="45"/>
  <c r="S74" i="45"/>
  <c r="M73" i="45"/>
  <c r="I73" i="45"/>
  <c r="N73" i="45"/>
  <c r="S73" i="45"/>
  <c r="M72" i="45"/>
  <c r="I72" i="45"/>
  <c r="N72" i="45"/>
  <c r="S72" i="45"/>
  <c r="M71" i="45"/>
  <c r="I71" i="45"/>
  <c r="N71" i="45"/>
  <c r="S71" i="45"/>
  <c r="M70" i="45"/>
  <c r="I70" i="45"/>
  <c r="N70" i="45"/>
  <c r="S70" i="45"/>
  <c r="M69" i="45"/>
  <c r="I69" i="45"/>
  <c r="N69" i="45"/>
  <c r="S69" i="45"/>
  <c r="M68" i="45"/>
  <c r="I68" i="45"/>
  <c r="N68" i="45"/>
  <c r="S68" i="45"/>
  <c r="M67" i="45"/>
  <c r="I67" i="45"/>
  <c r="N67" i="45"/>
  <c r="S67" i="45"/>
  <c r="M66" i="45"/>
  <c r="I66" i="45"/>
  <c r="N66" i="45"/>
  <c r="S66" i="45"/>
  <c r="M65" i="45"/>
  <c r="I65" i="45"/>
  <c r="N65" i="45"/>
  <c r="S65" i="45"/>
  <c r="M64" i="45"/>
  <c r="I64" i="45"/>
  <c r="N64" i="45"/>
  <c r="S64" i="45"/>
  <c r="M63" i="45"/>
  <c r="I63" i="45"/>
  <c r="N63" i="45"/>
  <c r="S63" i="45"/>
  <c r="M62" i="45"/>
  <c r="I62" i="45"/>
  <c r="N62" i="45"/>
  <c r="S62" i="45"/>
  <c r="M61" i="45"/>
  <c r="I61" i="45"/>
  <c r="N61" i="45"/>
  <c r="S61" i="45"/>
  <c r="M60" i="45"/>
  <c r="I60" i="45"/>
  <c r="N60" i="45"/>
  <c r="S60" i="45"/>
  <c r="M59" i="45"/>
  <c r="I59" i="45"/>
  <c r="N59" i="45"/>
  <c r="S59" i="45"/>
  <c r="M58" i="45"/>
  <c r="I58" i="45"/>
  <c r="N58" i="45"/>
  <c r="S58" i="45"/>
  <c r="M57" i="45"/>
  <c r="I57" i="45"/>
  <c r="N57" i="45"/>
  <c r="S57" i="45"/>
  <c r="M56" i="45"/>
  <c r="I56" i="45"/>
  <c r="N56" i="45"/>
  <c r="S56" i="45"/>
  <c r="M55" i="45"/>
  <c r="I55" i="45"/>
  <c r="N55" i="45"/>
  <c r="S55" i="45"/>
  <c r="M54" i="45"/>
  <c r="I54" i="45"/>
  <c r="N54" i="45"/>
  <c r="S54" i="45"/>
  <c r="M53" i="45"/>
  <c r="I53" i="45"/>
  <c r="N53" i="45"/>
  <c r="S53" i="45"/>
  <c r="M52" i="45"/>
  <c r="I52" i="45"/>
  <c r="N52" i="45"/>
  <c r="S52" i="45"/>
  <c r="M51" i="45"/>
  <c r="I51" i="45"/>
  <c r="N51" i="45"/>
  <c r="S51" i="45"/>
  <c r="M50" i="45"/>
  <c r="I50" i="45"/>
  <c r="N50" i="45"/>
  <c r="S50" i="45"/>
  <c r="M49" i="45"/>
  <c r="I49" i="45"/>
  <c r="N49" i="45"/>
  <c r="S49" i="45"/>
  <c r="M48" i="45"/>
  <c r="I48" i="45"/>
  <c r="N48" i="45"/>
  <c r="S48" i="45"/>
  <c r="M47" i="45"/>
  <c r="I47" i="45"/>
  <c r="N47" i="45"/>
  <c r="S47" i="45"/>
  <c r="M46" i="45"/>
  <c r="I46" i="45"/>
  <c r="N46" i="45"/>
  <c r="S46" i="45"/>
  <c r="M45" i="45"/>
  <c r="I45" i="45"/>
  <c r="N45" i="45"/>
  <c r="S45" i="45"/>
  <c r="M44" i="45"/>
  <c r="I44" i="45"/>
  <c r="N44" i="45"/>
  <c r="S44" i="45"/>
  <c r="M43" i="45"/>
  <c r="I43" i="45"/>
  <c r="N43" i="45"/>
  <c r="S43" i="45"/>
  <c r="M42" i="45"/>
  <c r="I42" i="45"/>
  <c r="N42" i="45"/>
  <c r="S42" i="45"/>
  <c r="M41" i="45"/>
  <c r="I41" i="45"/>
  <c r="N41" i="45"/>
  <c r="S41" i="45"/>
  <c r="M40" i="45"/>
  <c r="I40" i="45"/>
  <c r="N40" i="45"/>
  <c r="S40" i="45"/>
  <c r="M39" i="45"/>
  <c r="I39" i="45"/>
  <c r="N39" i="45"/>
  <c r="S39" i="45"/>
  <c r="M38" i="45"/>
  <c r="I38" i="45"/>
  <c r="N38" i="45"/>
  <c r="S38" i="45"/>
  <c r="M37" i="45"/>
  <c r="I37" i="45"/>
  <c r="N37" i="45"/>
  <c r="S37" i="45"/>
  <c r="M36" i="45"/>
  <c r="I36" i="45"/>
  <c r="N36" i="45"/>
  <c r="S36" i="45"/>
  <c r="M35" i="45"/>
  <c r="I35" i="45"/>
  <c r="N35" i="45"/>
  <c r="S35" i="45"/>
  <c r="M34" i="45"/>
  <c r="I34" i="45"/>
  <c r="N34" i="45"/>
  <c r="S34" i="45"/>
  <c r="M33" i="45"/>
  <c r="I33" i="45"/>
  <c r="N33" i="45"/>
  <c r="S33" i="45"/>
  <c r="M32" i="45"/>
  <c r="I32" i="45"/>
  <c r="N32" i="45"/>
  <c r="S32" i="45"/>
  <c r="M31" i="45"/>
  <c r="I31" i="45"/>
  <c r="N31" i="45"/>
  <c r="S31" i="45"/>
  <c r="M30" i="45"/>
  <c r="I30" i="45"/>
  <c r="N30" i="45"/>
  <c r="S30" i="45"/>
  <c r="M29" i="45"/>
  <c r="I29" i="45"/>
  <c r="N29" i="45"/>
  <c r="S29" i="45"/>
  <c r="M28" i="45"/>
  <c r="I28" i="45"/>
  <c r="N28" i="45"/>
  <c r="S28" i="45"/>
  <c r="M27" i="45"/>
  <c r="I27" i="45"/>
  <c r="N27" i="45"/>
  <c r="S27" i="45"/>
  <c r="M26" i="45"/>
  <c r="I26" i="45"/>
  <c r="N26" i="45"/>
  <c r="S26" i="45"/>
  <c r="M25" i="45"/>
  <c r="I25" i="45"/>
  <c r="N25" i="45"/>
  <c r="S25" i="45"/>
  <c r="M24" i="45"/>
  <c r="I24" i="45"/>
  <c r="N24" i="45"/>
  <c r="S24" i="45"/>
  <c r="M23" i="45"/>
  <c r="I23" i="45"/>
  <c r="N23" i="45"/>
  <c r="S23" i="45"/>
  <c r="M22" i="45"/>
  <c r="I22" i="45"/>
  <c r="N22" i="45"/>
  <c r="S22" i="45"/>
  <c r="M21" i="45"/>
  <c r="I21" i="45"/>
  <c r="N21" i="45"/>
  <c r="S21" i="45"/>
  <c r="M20" i="45"/>
  <c r="I20" i="45"/>
  <c r="N20" i="45"/>
  <c r="S20" i="45"/>
  <c r="M19" i="45"/>
  <c r="I19" i="45"/>
  <c r="N19" i="45"/>
  <c r="S19" i="45"/>
  <c r="M18" i="45"/>
  <c r="I18" i="45"/>
  <c r="N18" i="45"/>
  <c r="S18" i="45"/>
  <c r="R93" i="45"/>
  <c r="R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R18" i="45"/>
  <c r="R17" i="45"/>
  <c r="S17" i="45"/>
  <c r="T93" i="45"/>
  <c r="T92" i="45"/>
  <c r="T91" i="45"/>
  <c r="T90" i="45"/>
  <c r="T89" i="45"/>
  <c r="T88" i="45"/>
  <c r="T87" i="45"/>
  <c r="T86" i="45"/>
  <c r="T85" i="45"/>
  <c r="T84" i="45"/>
  <c r="T83" i="45"/>
  <c r="T82" i="45"/>
  <c r="T81" i="45"/>
  <c r="T80" i="45"/>
  <c r="T79" i="45"/>
  <c r="T78" i="45"/>
  <c r="T77" i="45"/>
  <c r="T76" i="45"/>
  <c r="T75" i="45"/>
  <c r="T74" i="45"/>
  <c r="T73" i="45"/>
  <c r="T72" i="45"/>
  <c r="T71" i="45"/>
  <c r="T70" i="45"/>
  <c r="T69" i="45"/>
  <c r="T68" i="45"/>
  <c r="T67" i="45"/>
  <c r="T66" i="45"/>
  <c r="T65" i="45"/>
  <c r="T64" i="45"/>
  <c r="T63" i="45"/>
  <c r="T62" i="45"/>
  <c r="T61" i="45"/>
  <c r="T60" i="45"/>
  <c r="T59" i="45"/>
  <c r="T58" i="45"/>
  <c r="T57" i="45"/>
  <c r="T56" i="45"/>
  <c r="T55" i="45"/>
  <c r="T54" i="45"/>
  <c r="T53" i="45"/>
  <c r="T52" i="45"/>
  <c r="T51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D17" i="44"/>
  <c r="I17" i="44"/>
  <c r="M17" i="44"/>
  <c r="N17" i="44"/>
  <c r="O17" i="44"/>
  <c r="P17" i="44"/>
  <c r="Q17" i="44"/>
  <c r="M85" i="44"/>
  <c r="I85" i="44"/>
  <c r="N85" i="44"/>
  <c r="S85" i="44"/>
  <c r="M84" i="44"/>
  <c r="I84" i="44"/>
  <c r="N84" i="44"/>
  <c r="S84" i="44"/>
  <c r="M83" i="44"/>
  <c r="I83" i="44"/>
  <c r="N83" i="44"/>
  <c r="S83" i="44"/>
  <c r="M82" i="44"/>
  <c r="I82" i="44"/>
  <c r="N82" i="44"/>
  <c r="S82" i="44"/>
  <c r="M81" i="44"/>
  <c r="I81" i="44"/>
  <c r="N81" i="44"/>
  <c r="S81" i="44"/>
  <c r="M80" i="44"/>
  <c r="I80" i="44"/>
  <c r="N80" i="44"/>
  <c r="S80" i="44"/>
  <c r="M79" i="44"/>
  <c r="I79" i="44"/>
  <c r="N79" i="44"/>
  <c r="S79" i="44"/>
  <c r="M78" i="44"/>
  <c r="I78" i="44"/>
  <c r="N78" i="44"/>
  <c r="S78" i="44"/>
  <c r="M77" i="44"/>
  <c r="I77" i="44"/>
  <c r="N77" i="44"/>
  <c r="S77" i="44"/>
  <c r="M76" i="44"/>
  <c r="I76" i="44"/>
  <c r="N76" i="44"/>
  <c r="S76" i="44"/>
  <c r="M75" i="44"/>
  <c r="I75" i="44"/>
  <c r="N75" i="44"/>
  <c r="S75" i="44"/>
  <c r="M74" i="44"/>
  <c r="I74" i="44"/>
  <c r="N74" i="44"/>
  <c r="S74" i="44"/>
  <c r="M73" i="44"/>
  <c r="I73" i="44"/>
  <c r="N73" i="44"/>
  <c r="S73" i="44"/>
  <c r="M72" i="44"/>
  <c r="I72" i="44"/>
  <c r="N72" i="44"/>
  <c r="S72" i="44"/>
  <c r="M71" i="44"/>
  <c r="I71" i="44"/>
  <c r="N71" i="44"/>
  <c r="S71" i="44"/>
  <c r="M70" i="44"/>
  <c r="I70" i="44"/>
  <c r="N70" i="44"/>
  <c r="S70" i="44"/>
  <c r="M69" i="44"/>
  <c r="I69" i="44"/>
  <c r="N69" i="44"/>
  <c r="S69" i="44"/>
  <c r="M68" i="44"/>
  <c r="I68" i="44"/>
  <c r="N68" i="44"/>
  <c r="S68" i="44"/>
  <c r="M67" i="44"/>
  <c r="I67" i="44"/>
  <c r="N67" i="44"/>
  <c r="S67" i="44"/>
  <c r="M66" i="44"/>
  <c r="I66" i="44"/>
  <c r="N66" i="44"/>
  <c r="S66" i="44"/>
  <c r="M65" i="44"/>
  <c r="I65" i="44"/>
  <c r="N65" i="44"/>
  <c r="S65" i="44"/>
  <c r="M64" i="44"/>
  <c r="I64" i="44"/>
  <c r="N64" i="44"/>
  <c r="S64" i="44"/>
  <c r="M63" i="44"/>
  <c r="I63" i="44"/>
  <c r="N63" i="44"/>
  <c r="S63" i="44"/>
  <c r="M62" i="44"/>
  <c r="I62" i="44"/>
  <c r="N62" i="44"/>
  <c r="S62" i="44"/>
  <c r="M61" i="44"/>
  <c r="I61" i="44"/>
  <c r="N61" i="44"/>
  <c r="S61" i="44"/>
  <c r="M60" i="44"/>
  <c r="I60" i="44"/>
  <c r="N60" i="44"/>
  <c r="S60" i="44"/>
  <c r="M59" i="44"/>
  <c r="I59" i="44"/>
  <c r="N59" i="44"/>
  <c r="S59" i="44"/>
  <c r="M58" i="44"/>
  <c r="I58" i="44"/>
  <c r="N58" i="44"/>
  <c r="S58" i="44"/>
  <c r="M57" i="44"/>
  <c r="I57" i="44"/>
  <c r="N57" i="44"/>
  <c r="S57" i="44"/>
  <c r="M56" i="44"/>
  <c r="I56" i="44"/>
  <c r="N56" i="44"/>
  <c r="S56" i="44"/>
  <c r="M55" i="44"/>
  <c r="I55" i="44"/>
  <c r="N55" i="44"/>
  <c r="S55" i="44"/>
  <c r="M54" i="44"/>
  <c r="I54" i="44"/>
  <c r="N54" i="44"/>
  <c r="S54" i="44"/>
  <c r="M53" i="44"/>
  <c r="I53" i="44"/>
  <c r="N53" i="44"/>
  <c r="S53" i="44"/>
  <c r="M52" i="44"/>
  <c r="I52" i="44"/>
  <c r="N52" i="44"/>
  <c r="S52" i="44"/>
  <c r="M51" i="44"/>
  <c r="I51" i="44"/>
  <c r="N51" i="44"/>
  <c r="S51" i="44"/>
  <c r="M50" i="44"/>
  <c r="I50" i="44"/>
  <c r="N50" i="44"/>
  <c r="S50" i="44"/>
  <c r="M49" i="44"/>
  <c r="I49" i="44"/>
  <c r="N49" i="44"/>
  <c r="S49" i="44"/>
  <c r="M48" i="44"/>
  <c r="I48" i="44"/>
  <c r="N48" i="44"/>
  <c r="S48" i="44"/>
  <c r="M47" i="44"/>
  <c r="I47" i="44"/>
  <c r="N47" i="44"/>
  <c r="S47" i="44"/>
  <c r="M46" i="44"/>
  <c r="I46" i="44"/>
  <c r="N46" i="44"/>
  <c r="S46" i="44"/>
  <c r="M45" i="44"/>
  <c r="I45" i="44"/>
  <c r="N45" i="44"/>
  <c r="S45" i="44"/>
  <c r="M44" i="44"/>
  <c r="I44" i="44"/>
  <c r="N44" i="44"/>
  <c r="S44" i="44"/>
  <c r="M43" i="44"/>
  <c r="I43" i="44"/>
  <c r="N43" i="44"/>
  <c r="S43" i="44"/>
  <c r="M42" i="44"/>
  <c r="I42" i="44"/>
  <c r="N42" i="44"/>
  <c r="S42" i="44"/>
  <c r="M41" i="44"/>
  <c r="I41" i="44"/>
  <c r="N41" i="44"/>
  <c r="S41" i="44"/>
  <c r="M40" i="44"/>
  <c r="I40" i="44"/>
  <c r="N40" i="44"/>
  <c r="S40" i="44"/>
  <c r="M39" i="44"/>
  <c r="I39" i="44"/>
  <c r="N39" i="44"/>
  <c r="S39" i="44"/>
  <c r="M38" i="44"/>
  <c r="I38" i="44"/>
  <c r="N38" i="44"/>
  <c r="S38" i="44"/>
  <c r="M37" i="44"/>
  <c r="I37" i="44"/>
  <c r="N37" i="44"/>
  <c r="S37" i="44"/>
  <c r="M36" i="44"/>
  <c r="I36" i="44"/>
  <c r="N36" i="44"/>
  <c r="S36" i="44"/>
  <c r="M35" i="44"/>
  <c r="I35" i="44"/>
  <c r="N35" i="44"/>
  <c r="S35" i="44"/>
  <c r="M34" i="44"/>
  <c r="I34" i="44"/>
  <c r="N34" i="44"/>
  <c r="S34" i="44"/>
  <c r="M33" i="44"/>
  <c r="I33" i="44"/>
  <c r="N33" i="44"/>
  <c r="S33" i="44"/>
  <c r="M32" i="44"/>
  <c r="I32" i="44"/>
  <c r="N32" i="44"/>
  <c r="S32" i="44"/>
  <c r="M31" i="44"/>
  <c r="I31" i="44"/>
  <c r="N31" i="44"/>
  <c r="S31" i="44"/>
  <c r="M30" i="44"/>
  <c r="I30" i="44"/>
  <c r="N30" i="44"/>
  <c r="S30" i="44"/>
  <c r="M29" i="44"/>
  <c r="I29" i="44"/>
  <c r="N29" i="44"/>
  <c r="S29" i="44"/>
  <c r="M28" i="44"/>
  <c r="I28" i="44"/>
  <c r="N28" i="44"/>
  <c r="S28" i="44"/>
  <c r="M27" i="44"/>
  <c r="I27" i="44"/>
  <c r="N27" i="44"/>
  <c r="S27" i="44"/>
  <c r="M26" i="44"/>
  <c r="I26" i="44"/>
  <c r="N26" i="44"/>
  <c r="S26" i="44"/>
  <c r="M25" i="44"/>
  <c r="I25" i="44"/>
  <c r="N25" i="44"/>
  <c r="S25" i="44"/>
  <c r="M24" i="44"/>
  <c r="I24" i="44"/>
  <c r="N24" i="44"/>
  <c r="S24" i="44"/>
  <c r="M23" i="44"/>
  <c r="I23" i="44"/>
  <c r="N23" i="44"/>
  <c r="S23" i="44"/>
  <c r="M22" i="44"/>
  <c r="I22" i="44"/>
  <c r="N22" i="44"/>
  <c r="S22" i="44"/>
  <c r="M21" i="44"/>
  <c r="I21" i="44"/>
  <c r="N21" i="44"/>
  <c r="S21" i="44"/>
  <c r="M20" i="44"/>
  <c r="I20" i="44"/>
  <c r="N20" i="44"/>
  <c r="S20" i="44"/>
  <c r="M19" i="44"/>
  <c r="I19" i="44"/>
  <c r="N19" i="44"/>
  <c r="S19" i="44"/>
  <c r="M18" i="44"/>
  <c r="I18" i="44"/>
  <c r="N18" i="44"/>
  <c r="S18" i="44"/>
  <c r="R85" i="44"/>
  <c r="R84" i="44"/>
  <c r="R83" i="44"/>
  <c r="R82" i="44"/>
  <c r="R81" i="44"/>
  <c r="R80" i="44"/>
  <c r="R79" i="44"/>
  <c r="R78" i="44"/>
  <c r="R77" i="44"/>
  <c r="R76" i="44"/>
  <c r="R75" i="44"/>
  <c r="R74" i="44"/>
  <c r="R73" i="44"/>
  <c r="R72" i="44"/>
  <c r="R71" i="44"/>
  <c r="R70" i="44"/>
  <c r="R69" i="44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3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39" i="44"/>
  <c r="R38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24" i="44"/>
  <c r="R23" i="44"/>
  <c r="R22" i="44"/>
  <c r="R21" i="44"/>
  <c r="R20" i="44"/>
  <c r="R19" i="44"/>
  <c r="R18" i="44"/>
  <c r="R17" i="44"/>
  <c r="S17" i="44"/>
  <c r="T85" i="44"/>
  <c r="T84" i="44"/>
  <c r="T83" i="44"/>
  <c r="T82" i="44"/>
  <c r="T81" i="44"/>
  <c r="T80" i="44"/>
  <c r="T79" i="44"/>
  <c r="T78" i="44"/>
  <c r="T77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D17" i="43"/>
  <c r="I17" i="43"/>
  <c r="M17" i="43"/>
  <c r="N17" i="43"/>
  <c r="O17" i="43"/>
  <c r="P17" i="43"/>
  <c r="Q17" i="43"/>
  <c r="M180" i="43"/>
  <c r="I180" i="43"/>
  <c r="N180" i="43"/>
  <c r="S180" i="43"/>
  <c r="M179" i="43"/>
  <c r="I179" i="43"/>
  <c r="N179" i="43"/>
  <c r="S179" i="43"/>
  <c r="M178" i="43"/>
  <c r="I178" i="43"/>
  <c r="N178" i="43"/>
  <c r="S178" i="43"/>
  <c r="M177" i="43"/>
  <c r="I177" i="43"/>
  <c r="N177" i="43"/>
  <c r="S177" i="43"/>
  <c r="M176" i="43"/>
  <c r="I176" i="43"/>
  <c r="N176" i="43"/>
  <c r="S176" i="43"/>
  <c r="M175" i="43"/>
  <c r="I175" i="43"/>
  <c r="N175" i="43"/>
  <c r="S175" i="43"/>
  <c r="M174" i="43"/>
  <c r="I174" i="43"/>
  <c r="N174" i="43"/>
  <c r="S174" i="43"/>
  <c r="M173" i="43"/>
  <c r="I173" i="43"/>
  <c r="N173" i="43"/>
  <c r="S173" i="43"/>
  <c r="M172" i="43"/>
  <c r="I172" i="43"/>
  <c r="N172" i="43"/>
  <c r="S172" i="43"/>
  <c r="M171" i="43"/>
  <c r="I171" i="43"/>
  <c r="N171" i="43"/>
  <c r="S171" i="43"/>
  <c r="M170" i="43"/>
  <c r="I170" i="43"/>
  <c r="N170" i="43"/>
  <c r="S170" i="43"/>
  <c r="M169" i="43"/>
  <c r="I169" i="43"/>
  <c r="N169" i="43"/>
  <c r="S169" i="43"/>
  <c r="M168" i="43"/>
  <c r="I168" i="43"/>
  <c r="N168" i="43"/>
  <c r="S168" i="43"/>
  <c r="M167" i="43"/>
  <c r="I167" i="43"/>
  <c r="N167" i="43"/>
  <c r="S167" i="43"/>
  <c r="M166" i="43"/>
  <c r="I166" i="43"/>
  <c r="N166" i="43"/>
  <c r="S166" i="43"/>
  <c r="M165" i="43"/>
  <c r="I165" i="43"/>
  <c r="N165" i="43"/>
  <c r="S165" i="43"/>
  <c r="M164" i="43"/>
  <c r="I164" i="43"/>
  <c r="N164" i="43"/>
  <c r="S164" i="43"/>
  <c r="M163" i="43"/>
  <c r="I163" i="43"/>
  <c r="N163" i="43"/>
  <c r="S163" i="43"/>
  <c r="M162" i="43"/>
  <c r="I162" i="43"/>
  <c r="N162" i="43"/>
  <c r="S162" i="43"/>
  <c r="M161" i="43"/>
  <c r="I161" i="43"/>
  <c r="N161" i="43"/>
  <c r="S161" i="43"/>
  <c r="M160" i="43"/>
  <c r="I160" i="43"/>
  <c r="N160" i="43"/>
  <c r="S160" i="43"/>
  <c r="M159" i="43"/>
  <c r="I159" i="43"/>
  <c r="N159" i="43"/>
  <c r="S159" i="43"/>
  <c r="M158" i="43"/>
  <c r="I158" i="43"/>
  <c r="N158" i="43"/>
  <c r="S158" i="43"/>
  <c r="M157" i="43"/>
  <c r="I157" i="43"/>
  <c r="N157" i="43"/>
  <c r="S157" i="43"/>
  <c r="M156" i="43"/>
  <c r="I156" i="43"/>
  <c r="N156" i="43"/>
  <c r="S156" i="43"/>
  <c r="M155" i="43"/>
  <c r="I155" i="43"/>
  <c r="N155" i="43"/>
  <c r="S155" i="43"/>
  <c r="M154" i="43"/>
  <c r="I154" i="43"/>
  <c r="N154" i="43"/>
  <c r="S154" i="43"/>
  <c r="M153" i="43"/>
  <c r="I153" i="43"/>
  <c r="N153" i="43"/>
  <c r="S153" i="43"/>
  <c r="M152" i="43"/>
  <c r="I152" i="43"/>
  <c r="N152" i="43"/>
  <c r="S152" i="43"/>
  <c r="M151" i="43"/>
  <c r="I151" i="43"/>
  <c r="N151" i="43"/>
  <c r="S151" i="43"/>
  <c r="M150" i="43"/>
  <c r="I150" i="43"/>
  <c r="N150" i="43"/>
  <c r="S150" i="43"/>
  <c r="M149" i="43"/>
  <c r="I149" i="43"/>
  <c r="N149" i="43"/>
  <c r="S149" i="43"/>
  <c r="M148" i="43"/>
  <c r="I148" i="43"/>
  <c r="N148" i="43"/>
  <c r="S148" i="43"/>
  <c r="M147" i="43"/>
  <c r="I147" i="43"/>
  <c r="N147" i="43"/>
  <c r="S147" i="43"/>
  <c r="M146" i="43"/>
  <c r="I146" i="43"/>
  <c r="N146" i="43"/>
  <c r="S146" i="43"/>
  <c r="M145" i="43"/>
  <c r="I145" i="43"/>
  <c r="N145" i="43"/>
  <c r="S145" i="43"/>
  <c r="M144" i="43"/>
  <c r="I144" i="43"/>
  <c r="N144" i="43"/>
  <c r="S144" i="43"/>
  <c r="M143" i="43"/>
  <c r="I143" i="43"/>
  <c r="N143" i="43"/>
  <c r="S143" i="43"/>
  <c r="M142" i="43"/>
  <c r="I142" i="43"/>
  <c r="N142" i="43"/>
  <c r="S142" i="43"/>
  <c r="M141" i="43"/>
  <c r="I141" i="43"/>
  <c r="N141" i="43"/>
  <c r="S141" i="43"/>
  <c r="M140" i="43"/>
  <c r="I140" i="43"/>
  <c r="N140" i="43"/>
  <c r="S140" i="43"/>
  <c r="M139" i="43"/>
  <c r="I139" i="43"/>
  <c r="N139" i="43"/>
  <c r="S139" i="43"/>
  <c r="M138" i="43"/>
  <c r="I138" i="43"/>
  <c r="N138" i="43"/>
  <c r="S138" i="43"/>
  <c r="M137" i="43"/>
  <c r="I137" i="43"/>
  <c r="N137" i="43"/>
  <c r="S137" i="43"/>
  <c r="M136" i="43"/>
  <c r="I136" i="43"/>
  <c r="N136" i="43"/>
  <c r="S136" i="43"/>
  <c r="M135" i="43"/>
  <c r="I135" i="43"/>
  <c r="N135" i="43"/>
  <c r="S135" i="43"/>
  <c r="M134" i="43"/>
  <c r="I134" i="43"/>
  <c r="N134" i="43"/>
  <c r="S134" i="43"/>
  <c r="M133" i="43"/>
  <c r="I133" i="43"/>
  <c r="N133" i="43"/>
  <c r="S133" i="43"/>
  <c r="M132" i="43"/>
  <c r="I132" i="43"/>
  <c r="N132" i="43"/>
  <c r="S132" i="43"/>
  <c r="M131" i="43"/>
  <c r="I131" i="43"/>
  <c r="N131" i="43"/>
  <c r="S131" i="43"/>
  <c r="M130" i="43"/>
  <c r="I130" i="43"/>
  <c r="N130" i="43"/>
  <c r="S130" i="43"/>
  <c r="M129" i="43"/>
  <c r="I129" i="43"/>
  <c r="N129" i="43"/>
  <c r="S129" i="43"/>
  <c r="M128" i="43"/>
  <c r="I128" i="43"/>
  <c r="N128" i="43"/>
  <c r="S128" i="43"/>
  <c r="M127" i="43"/>
  <c r="I127" i="43"/>
  <c r="N127" i="43"/>
  <c r="S127" i="43"/>
  <c r="M126" i="43"/>
  <c r="I126" i="43"/>
  <c r="N126" i="43"/>
  <c r="S126" i="43"/>
  <c r="M125" i="43"/>
  <c r="I125" i="43"/>
  <c r="N125" i="43"/>
  <c r="S125" i="43"/>
  <c r="M124" i="43"/>
  <c r="I124" i="43"/>
  <c r="N124" i="43"/>
  <c r="S124" i="43"/>
  <c r="M123" i="43"/>
  <c r="I123" i="43"/>
  <c r="N123" i="43"/>
  <c r="S123" i="43"/>
  <c r="M122" i="43"/>
  <c r="I122" i="43"/>
  <c r="N122" i="43"/>
  <c r="S122" i="43"/>
  <c r="M121" i="43"/>
  <c r="I121" i="43"/>
  <c r="N121" i="43"/>
  <c r="S121" i="43"/>
  <c r="M120" i="43"/>
  <c r="I120" i="43"/>
  <c r="N120" i="43"/>
  <c r="S120" i="43"/>
  <c r="M119" i="43"/>
  <c r="I119" i="43"/>
  <c r="N119" i="43"/>
  <c r="S119" i="43"/>
  <c r="M118" i="43"/>
  <c r="I118" i="43"/>
  <c r="N118" i="43"/>
  <c r="S118" i="43"/>
  <c r="M117" i="43"/>
  <c r="I117" i="43"/>
  <c r="N117" i="43"/>
  <c r="S117" i="43"/>
  <c r="M116" i="43"/>
  <c r="I116" i="43"/>
  <c r="N116" i="43"/>
  <c r="S116" i="43"/>
  <c r="M115" i="43"/>
  <c r="I115" i="43"/>
  <c r="N115" i="43"/>
  <c r="S115" i="43"/>
  <c r="M114" i="43"/>
  <c r="I114" i="43"/>
  <c r="N114" i="43"/>
  <c r="S114" i="43"/>
  <c r="M113" i="43"/>
  <c r="I113" i="43"/>
  <c r="N113" i="43"/>
  <c r="S113" i="43"/>
  <c r="M112" i="43"/>
  <c r="I112" i="43"/>
  <c r="N112" i="43"/>
  <c r="S112" i="43"/>
  <c r="M111" i="43"/>
  <c r="I111" i="43"/>
  <c r="N111" i="43"/>
  <c r="S111" i="43"/>
  <c r="M110" i="43"/>
  <c r="I110" i="43"/>
  <c r="N110" i="43"/>
  <c r="S110" i="43"/>
  <c r="M109" i="43"/>
  <c r="I109" i="43"/>
  <c r="N109" i="43"/>
  <c r="S109" i="43"/>
  <c r="M108" i="43"/>
  <c r="I108" i="43"/>
  <c r="N108" i="43"/>
  <c r="S108" i="43"/>
  <c r="M107" i="43"/>
  <c r="I107" i="43"/>
  <c r="N107" i="43"/>
  <c r="S107" i="43"/>
  <c r="M106" i="43"/>
  <c r="I106" i="43"/>
  <c r="N106" i="43"/>
  <c r="S106" i="43"/>
  <c r="M105" i="43"/>
  <c r="I105" i="43"/>
  <c r="N105" i="43"/>
  <c r="S105" i="43"/>
  <c r="M104" i="43"/>
  <c r="I104" i="43"/>
  <c r="N104" i="43"/>
  <c r="S104" i="43"/>
  <c r="M103" i="43"/>
  <c r="I103" i="43"/>
  <c r="N103" i="43"/>
  <c r="S103" i="43"/>
  <c r="M102" i="43"/>
  <c r="I102" i="43"/>
  <c r="N102" i="43"/>
  <c r="S102" i="43"/>
  <c r="M101" i="43"/>
  <c r="I101" i="43"/>
  <c r="N101" i="43"/>
  <c r="S101" i="43"/>
  <c r="M100" i="43"/>
  <c r="I100" i="43"/>
  <c r="N100" i="43"/>
  <c r="S100" i="43"/>
  <c r="M99" i="43"/>
  <c r="I99" i="43"/>
  <c r="N99" i="43"/>
  <c r="S99" i="43"/>
  <c r="M98" i="43"/>
  <c r="I98" i="43"/>
  <c r="N98" i="43"/>
  <c r="S98" i="43"/>
  <c r="M97" i="43"/>
  <c r="I97" i="43"/>
  <c r="N97" i="43"/>
  <c r="S97" i="43"/>
  <c r="M96" i="43"/>
  <c r="I96" i="43"/>
  <c r="N96" i="43"/>
  <c r="S96" i="43"/>
  <c r="M95" i="43"/>
  <c r="I95" i="43"/>
  <c r="N95" i="43"/>
  <c r="S95" i="43"/>
  <c r="M94" i="43"/>
  <c r="I94" i="43"/>
  <c r="N94" i="43"/>
  <c r="S94" i="43"/>
  <c r="M93" i="43"/>
  <c r="I93" i="43"/>
  <c r="N93" i="43"/>
  <c r="S93" i="43"/>
  <c r="M92" i="43"/>
  <c r="I92" i="43"/>
  <c r="N92" i="43"/>
  <c r="S92" i="43"/>
  <c r="M91" i="43"/>
  <c r="I91" i="43"/>
  <c r="N91" i="43"/>
  <c r="S91" i="43"/>
  <c r="M90" i="43"/>
  <c r="I90" i="43"/>
  <c r="N90" i="43"/>
  <c r="S90" i="43"/>
  <c r="M89" i="43"/>
  <c r="I89" i="43"/>
  <c r="N89" i="43"/>
  <c r="S89" i="43"/>
  <c r="M88" i="43"/>
  <c r="I88" i="43"/>
  <c r="N88" i="43"/>
  <c r="S88" i="43"/>
  <c r="M87" i="43"/>
  <c r="I87" i="43"/>
  <c r="N87" i="43"/>
  <c r="S87" i="43"/>
  <c r="M86" i="43"/>
  <c r="I86" i="43"/>
  <c r="N86" i="43"/>
  <c r="S86" i="43"/>
  <c r="M85" i="43"/>
  <c r="I85" i="43"/>
  <c r="N85" i="43"/>
  <c r="S85" i="43"/>
  <c r="M84" i="43"/>
  <c r="I84" i="43"/>
  <c r="N84" i="43"/>
  <c r="S84" i="43"/>
  <c r="M83" i="43"/>
  <c r="I83" i="43"/>
  <c r="N83" i="43"/>
  <c r="S83" i="43"/>
  <c r="M82" i="43"/>
  <c r="I82" i="43"/>
  <c r="N82" i="43"/>
  <c r="S82" i="43"/>
  <c r="M81" i="43"/>
  <c r="I81" i="43"/>
  <c r="N81" i="43"/>
  <c r="S81" i="43"/>
  <c r="M80" i="43"/>
  <c r="I80" i="43"/>
  <c r="N80" i="43"/>
  <c r="S80" i="43"/>
  <c r="M79" i="43"/>
  <c r="I79" i="43"/>
  <c r="N79" i="43"/>
  <c r="S79" i="43"/>
  <c r="M78" i="43"/>
  <c r="I78" i="43"/>
  <c r="N78" i="43"/>
  <c r="S78" i="43"/>
  <c r="M77" i="43"/>
  <c r="I77" i="43"/>
  <c r="N77" i="43"/>
  <c r="S77" i="43"/>
  <c r="M76" i="43"/>
  <c r="I76" i="43"/>
  <c r="N76" i="43"/>
  <c r="S76" i="43"/>
  <c r="M75" i="43"/>
  <c r="I75" i="43"/>
  <c r="N75" i="43"/>
  <c r="S75" i="43"/>
  <c r="M74" i="43"/>
  <c r="I74" i="43"/>
  <c r="N74" i="43"/>
  <c r="S74" i="43"/>
  <c r="M73" i="43"/>
  <c r="I73" i="43"/>
  <c r="N73" i="43"/>
  <c r="S73" i="43"/>
  <c r="M72" i="43"/>
  <c r="I72" i="43"/>
  <c r="N72" i="43"/>
  <c r="S72" i="43"/>
  <c r="M71" i="43"/>
  <c r="I71" i="43"/>
  <c r="N71" i="43"/>
  <c r="S71" i="43"/>
  <c r="M70" i="43"/>
  <c r="I70" i="43"/>
  <c r="N70" i="43"/>
  <c r="S70" i="43"/>
  <c r="M69" i="43"/>
  <c r="I69" i="43"/>
  <c r="N69" i="43"/>
  <c r="S69" i="43"/>
  <c r="M68" i="43"/>
  <c r="I68" i="43"/>
  <c r="N68" i="43"/>
  <c r="S68" i="43"/>
  <c r="M67" i="43"/>
  <c r="I67" i="43"/>
  <c r="N67" i="43"/>
  <c r="S67" i="43"/>
  <c r="M66" i="43"/>
  <c r="I66" i="43"/>
  <c r="N66" i="43"/>
  <c r="S66" i="43"/>
  <c r="M65" i="43"/>
  <c r="I65" i="43"/>
  <c r="N65" i="43"/>
  <c r="S65" i="43"/>
  <c r="M64" i="43"/>
  <c r="I64" i="43"/>
  <c r="N64" i="43"/>
  <c r="S64" i="43"/>
  <c r="M63" i="43"/>
  <c r="I63" i="43"/>
  <c r="N63" i="43"/>
  <c r="S63" i="43"/>
  <c r="M62" i="43"/>
  <c r="I62" i="43"/>
  <c r="N62" i="43"/>
  <c r="S62" i="43"/>
  <c r="M61" i="43"/>
  <c r="I61" i="43"/>
  <c r="N61" i="43"/>
  <c r="S61" i="43"/>
  <c r="M60" i="43"/>
  <c r="I60" i="43"/>
  <c r="N60" i="43"/>
  <c r="S60" i="43"/>
  <c r="M59" i="43"/>
  <c r="I59" i="43"/>
  <c r="N59" i="43"/>
  <c r="S59" i="43"/>
  <c r="M58" i="43"/>
  <c r="I58" i="43"/>
  <c r="N58" i="43"/>
  <c r="S58" i="43"/>
  <c r="M57" i="43"/>
  <c r="I57" i="43"/>
  <c r="N57" i="43"/>
  <c r="S57" i="43"/>
  <c r="M56" i="43"/>
  <c r="I56" i="43"/>
  <c r="N56" i="43"/>
  <c r="S56" i="43"/>
  <c r="M55" i="43"/>
  <c r="I55" i="43"/>
  <c r="N55" i="43"/>
  <c r="S55" i="43"/>
  <c r="M54" i="43"/>
  <c r="I54" i="43"/>
  <c r="N54" i="43"/>
  <c r="S54" i="43"/>
  <c r="M53" i="43"/>
  <c r="I53" i="43"/>
  <c r="N53" i="43"/>
  <c r="S53" i="43"/>
  <c r="M52" i="43"/>
  <c r="I52" i="43"/>
  <c r="N52" i="43"/>
  <c r="S52" i="43"/>
  <c r="M51" i="43"/>
  <c r="I51" i="43"/>
  <c r="N51" i="43"/>
  <c r="S51" i="43"/>
  <c r="M50" i="43"/>
  <c r="I50" i="43"/>
  <c r="N50" i="43"/>
  <c r="S50" i="43"/>
  <c r="M49" i="43"/>
  <c r="I49" i="43"/>
  <c r="N49" i="43"/>
  <c r="S49" i="43"/>
  <c r="M48" i="43"/>
  <c r="I48" i="43"/>
  <c r="N48" i="43"/>
  <c r="S48" i="43"/>
  <c r="M47" i="43"/>
  <c r="I47" i="43"/>
  <c r="N47" i="43"/>
  <c r="S47" i="43"/>
  <c r="M46" i="43"/>
  <c r="I46" i="43"/>
  <c r="N46" i="43"/>
  <c r="S46" i="43"/>
  <c r="M45" i="43"/>
  <c r="I45" i="43"/>
  <c r="N45" i="43"/>
  <c r="S45" i="43"/>
  <c r="M44" i="43"/>
  <c r="I44" i="43"/>
  <c r="N44" i="43"/>
  <c r="S44" i="43"/>
  <c r="M43" i="43"/>
  <c r="I43" i="43"/>
  <c r="N43" i="43"/>
  <c r="S43" i="43"/>
  <c r="M42" i="43"/>
  <c r="I42" i="43"/>
  <c r="N42" i="43"/>
  <c r="S42" i="43"/>
  <c r="M41" i="43"/>
  <c r="I41" i="43"/>
  <c r="N41" i="43"/>
  <c r="S41" i="43"/>
  <c r="M40" i="43"/>
  <c r="I40" i="43"/>
  <c r="N40" i="43"/>
  <c r="S40" i="43"/>
  <c r="M39" i="43"/>
  <c r="I39" i="43"/>
  <c r="N39" i="43"/>
  <c r="S39" i="43"/>
  <c r="M38" i="43"/>
  <c r="I38" i="43"/>
  <c r="N38" i="43"/>
  <c r="S38" i="43"/>
  <c r="M37" i="43"/>
  <c r="I37" i="43"/>
  <c r="N37" i="43"/>
  <c r="S37" i="43"/>
  <c r="M36" i="43"/>
  <c r="I36" i="43"/>
  <c r="N36" i="43"/>
  <c r="S36" i="43"/>
  <c r="M35" i="43"/>
  <c r="I35" i="43"/>
  <c r="N35" i="43"/>
  <c r="S35" i="43"/>
  <c r="M34" i="43"/>
  <c r="I34" i="43"/>
  <c r="N34" i="43"/>
  <c r="S34" i="43"/>
  <c r="M33" i="43"/>
  <c r="I33" i="43"/>
  <c r="N33" i="43"/>
  <c r="S33" i="43"/>
  <c r="M32" i="43"/>
  <c r="I32" i="43"/>
  <c r="N32" i="43"/>
  <c r="S32" i="43"/>
  <c r="M31" i="43"/>
  <c r="I31" i="43"/>
  <c r="N31" i="43"/>
  <c r="S31" i="43"/>
  <c r="M30" i="43"/>
  <c r="I30" i="43"/>
  <c r="N30" i="43"/>
  <c r="S30" i="43"/>
  <c r="M29" i="43"/>
  <c r="I29" i="43"/>
  <c r="N29" i="43"/>
  <c r="S29" i="43"/>
  <c r="M28" i="43"/>
  <c r="I28" i="43"/>
  <c r="N28" i="43"/>
  <c r="S28" i="43"/>
  <c r="M27" i="43"/>
  <c r="I27" i="43"/>
  <c r="N27" i="43"/>
  <c r="S27" i="43"/>
  <c r="M26" i="43"/>
  <c r="I26" i="43"/>
  <c r="N26" i="43"/>
  <c r="S26" i="43"/>
  <c r="M25" i="43"/>
  <c r="I25" i="43"/>
  <c r="N25" i="43"/>
  <c r="S25" i="43"/>
  <c r="M24" i="43"/>
  <c r="I24" i="43"/>
  <c r="N24" i="43"/>
  <c r="S24" i="43"/>
  <c r="M23" i="43"/>
  <c r="I23" i="43"/>
  <c r="N23" i="43"/>
  <c r="S23" i="43"/>
  <c r="M22" i="43"/>
  <c r="I22" i="43"/>
  <c r="N22" i="43"/>
  <c r="S22" i="43"/>
  <c r="M21" i="43"/>
  <c r="I21" i="43"/>
  <c r="N21" i="43"/>
  <c r="S21" i="43"/>
  <c r="M20" i="43"/>
  <c r="I20" i="43"/>
  <c r="N20" i="43"/>
  <c r="S20" i="43"/>
  <c r="M19" i="43"/>
  <c r="I19" i="43"/>
  <c r="N19" i="43"/>
  <c r="S19" i="43"/>
  <c r="M18" i="43"/>
  <c r="I18" i="43"/>
  <c r="N18" i="43"/>
  <c r="S18" i="43"/>
  <c r="R180" i="43"/>
  <c r="R179" i="43"/>
  <c r="R178" i="43"/>
  <c r="R177" i="43"/>
  <c r="R176" i="43"/>
  <c r="R175" i="43"/>
  <c r="R174" i="43"/>
  <c r="R173" i="43"/>
  <c r="R172" i="43"/>
  <c r="R171" i="43"/>
  <c r="R170" i="43"/>
  <c r="R169" i="43"/>
  <c r="R168" i="43"/>
  <c r="R167" i="43"/>
  <c r="R166" i="43"/>
  <c r="R165" i="43"/>
  <c r="R164" i="43"/>
  <c r="R163" i="43"/>
  <c r="R162" i="43"/>
  <c r="R161" i="43"/>
  <c r="R160" i="43"/>
  <c r="R159" i="43"/>
  <c r="R158" i="43"/>
  <c r="R157" i="43"/>
  <c r="R156" i="43"/>
  <c r="R155" i="43"/>
  <c r="R154" i="43"/>
  <c r="R153" i="43"/>
  <c r="R152" i="43"/>
  <c r="R151" i="43"/>
  <c r="R150" i="43"/>
  <c r="R149" i="43"/>
  <c r="R148" i="43"/>
  <c r="R147" i="43"/>
  <c r="R146" i="43"/>
  <c r="R145" i="43"/>
  <c r="R144" i="43"/>
  <c r="R143" i="43"/>
  <c r="R142" i="43"/>
  <c r="R141" i="43"/>
  <c r="R140" i="43"/>
  <c r="R139" i="43"/>
  <c r="R138" i="43"/>
  <c r="R137" i="43"/>
  <c r="R136" i="43"/>
  <c r="R135" i="43"/>
  <c r="R134" i="43"/>
  <c r="R133" i="43"/>
  <c r="R132" i="43"/>
  <c r="R131" i="43"/>
  <c r="R130" i="43"/>
  <c r="R129" i="43"/>
  <c r="R128" i="43"/>
  <c r="R127" i="43"/>
  <c r="R126" i="43"/>
  <c r="R125" i="43"/>
  <c r="R124" i="43"/>
  <c r="R123" i="43"/>
  <c r="R122" i="43"/>
  <c r="R121" i="43"/>
  <c r="R120" i="43"/>
  <c r="R119" i="43"/>
  <c r="R118" i="43"/>
  <c r="R117" i="43"/>
  <c r="R116" i="43"/>
  <c r="R115" i="43"/>
  <c r="R114" i="43"/>
  <c r="R113" i="43"/>
  <c r="R112" i="43"/>
  <c r="R111" i="43"/>
  <c r="R110" i="43"/>
  <c r="R109" i="43"/>
  <c r="R108" i="43"/>
  <c r="R107" i="43"/>
  <c r="R106" i="43"/>
  <c r="R105" i="43"/>
  <c r="R104" i="43"/>
  <c r="R103" i="43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R18" i="43"/>
  <c r="R17" i="43"/>
  <c r="S17" i="43"/>
  <c r="T180" i="43"/>
  <c r="T179" i="43"/>
  <c r="T178" i="43"/>
  <c r="T177" i="43"/>
  <c r="T176" i="43"/>
  <c r="T175" i="43"/>
  <c r="T174" i="43"/>
  <c r="T173" i="43"/>
  <c r="T172" i="43"/>
  <c r="T171" i="43"/>
  <c r="T170" i="43"/>
  <c r="T169" i="43"/>
  <c r="T168" i="43"/>
  <c r="T167" i="43"/>
  <c r="T166" i="43"/>
  <c r="T165" i="43"/>
  <c r="T164" i="43"/>
  <c r="T163" i="43"/>
  <c r="T162" i="43"/>
  <c r="T161" i="43"/>
  <c r="T160" i="43"/>
  <c r="T159" i="43"/>
  <c r="T158" i="43"/>
  <c r="T157" i="43"/>
  <c r="T156" i="43"/>
  <c r="T155" i="43"/>
  <c r="T154" i="43"/>
  <c r="T153" i="43"/>
  <c r="T152" i="43"/>
  <c r="T151" i="43"/>
  <c r="T150" i="43"/>
  <c r="T149" i="43"/>
  <c r="T148" i="43"/>
  <c r="T147" i="43"/>
  <c r="T146" i="43"/>
  <c r="T145" i="43"/>
  <c r="T144" i="43"/>
  <c r="T143" i="43"/>
  <c r="T142" i="43"/>
  <c r="T141" i="43"/>
  <c r="T140" i="43"/>
  <c r="T139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121" i="43"/>
  <c r="T120" i="43"/>
  <c r="T119" i="43"/>
  <c r="T118" i="43"/>
  <c r="T117" i="43"/>
  <c r="T116" i="43"/>
  <c r="T115" i="43"/>
  <c r="T114" i="43"/>
  <c r="T113" i="43"/>
  <c r="T112" i="43"/>
  <c r="T111" i="43"/>
  <c r="T110" i="43"/>
  <c r="T109" i="43"/>
  <c r="T108" i="43"/>
  <c r="T107" i="43"/>
  <c r="T106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3" i="43"/>
  <c r="T92" i="43"/>
  <c r="T91" i="43"/>
  <c r="T90" i="43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D18" i="43"/>
  <c r="O18" i="43"/>
  <c r="P18" i="43"/>
  <c r="Q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D19" i="43"/>
  <c r="O19" i="43"/>
  <c r="P19" i="43"/>
  <c r="Q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D20" i="43"/>
  <c r="O20" i="43"/>
  <c r="P20" i="43"/>
  <c r="Q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D21" i="43"/>
  <c r="O21" i="43"/>
  <c r="P21" i="43"/>
  <c r="Q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D17" i="42"/>
  <c r="I17" i="42"/>
  <c r="M17" i="42"/>
  <c r="N17" i="42"/>
  <c r="O17" i="42"/>
  <c r="P17" i="42"/>
  <c r="Q17" i="42"/>
  <c r="M101" i="42"/>
  <c r="I101" i="42"/>
  <c r="N101" i="42"/>
  <c r="S101" i="42"/>
  <c r="M100" i="42"/>
  <c r="I100" i="42"/>
  <c r="N100" i="42"/>
  <c r="S100" i="42"/>
  <c r="M99" i="42"/>
  <c r="I99" i="42"/>
  <c r="N99" i="42"/>
  <c r="S99" i="42"/>
  <c r="M98" i="42"/>
  <c r="I98" i="42"/>
  <c r="N98" i="42"/>
  <c r="S98" i="42"/>
  <c r="M97" i="42"/>
  <c r="I97" i="42"/>
  <c r="N97" i="42"/>
  <c r="S97" i="42"/>
  <c r="M96" i="42"/>
  <c r="I96" i="42"/>
  <c r="N96" i="42"/>
  <c r="S96" i="42"/>
  <c r="M95" i="42"/>
  <c r="I95" i="42"/>
  <c r="N95" i="42"/>
  <c r="S95" i="42"/>
  <c r="M94" i="42"/>
  <c r="I94" i="42"/>
  <c r="N94" i="42"/>
  <c r="S94" i="42"/>
  <c r="M93" i="42"/>
  <c r="I93" i="42"/>
  <c r="N93" i="42"/>
  <c r="S93" i="42"/>
  <c r="M92" i="42"/>
  <c r="I92" i="42"/>
  <c r="N92" i="42"/>
  <c r="S92" i="42"/>
  <c r="M91" i="42"/>
  <c r="I91" i="42"/>
  <c r="N91" i="42"/>
  <c r="S91" i="42"/>
  <c r="M90" i="42"/>
  <c r="I90" i="42"/>
  <c r="N90" i="42"/>
  <c r="S90" i="42"/>
  <c r="M89" i="42"/>
  <c r="I89" i="42"/>
  <c r="N89" i="42"/>
  <c r="S89" i="42"/>
  <c r="M88" i="42"/>
  <c r="I88" i="42"/>
  <c r="N88" i="42"/>
  <c r="S88" i="42"/>
  <c r="M87" i="42"/>
  <c r="I87" i="42"/>
  <c r="N87" i="42"/>
  <c r="S87" i="42"/>
  <c r="M86" i="42"/>
  <c r="I86" i="42"/>
  <c r="N86" i="42"/>
  <c r="S86" i="42"/>
  <c r="M85" i="42"/>
  <c r="I85" i="42"/>
  <c r="N85" i="42"/>
  <c r="S85" i="42"/>
  <c r="M84" i="42"/>
  <c r="I84" i="42"/>
  <c r="N84" i="42"/>
  <c r="S84" i="42"/>
  <c r="M83" i="42"/>
  <c r="I83" i="42"/>
  <c r="N83" i="42"/>
  <c r="S83" i="42"/>
  <c r="M82" i="42"/>
  <c r="I82" i="42"/>
  <c r="N82" i="42"/>
  <c r="S82" i="42"/>
  <c r="M81" i="42"/>
  <c r="I81" i="42"/>
  <c r="N81" i="42"/>
  <c r="S81" i="42"/>
  <c r="M80" i="42"/>
  <c r="I80" i="42"/>
  <c r="N80" i="42"/>
  <c r="S80" i="42"/>
  <c r="M79" i="42"/>
  <c r="I79" i="42"/>
  <c r="N79" i="42"/>
  <c r="S79" i="42"/>
  <c r="M78" i="42"/>
  <c r="I78" i="42"/>
  <c r="N78" i="42"/>
  <c r="S78" i="42"/>
  <c r="M77" i="42"/>
  <c r="I77" i="42"/>
  <c r="N77" i="42"/>
  <c r="S77" i="42"/>
  <c r="M76" i="42"/>
  <c r="I76" i="42"/>
  <c r="N76" i="42"/>
  <c r="S76" i="42"/>
  <c r="M75" i="42"/>
  <c r="I75" i="42"/>
  <c r="N75" i="42"/>
  <c r="S75" i="42"/>
  <c r="M74" i="42"/>
  <c r="I74" i="42"/>
  <c r="N74" i="42"/>
  <c r="S74" i="42"/>
  <c r="M73" i="42"/>
  <c r="I73" i="42"/>
  <c r="N73" i="42"/>
  <c r="S73" i="42"/>
  <c r="M72" i="42"/>
  <c r="I72" i="42"/>
  <c r="N72" i="42"/>
  <c r="S72" i="42"/>
  <c r="M71" i="42"/>
  <c r="I71" i="42"/>
  <c r="N71" i="42"/>
  <c r="S71" i="42"/>
  <c r="M70" i="42"/>
  <c r="I70" i="42"/>
  <c r="N70" i="42"/>
  <c r="S70" i="42"/>
  <c r="M69" i="42"/>
  <c r="I69" i="42"/>
  <c r="N69" i="42"/>
  <c r="S69" i="42"/>
  <c r="M68" i="42"/>
  <c r="I68" i="42"/>
  <c r="N68" i="42"/>
  <c r="S68" i="42"/>
  <c r="M67" i="42"/>
  <c r="I67" i="42"/>
  <c r="N67" i="42"/>
  <c r="S67" i="42"/>
  <c r="M66" i="42"/>
  <c r="I66" i="42"/>
  <c r="N66" i="42"/>
  <c r="S66" i="42"/>
  <c r="M65" i="42"/>
  <c r="I65" i="42"/>
  <c r="N65" i="42"/>
  <c r="S65" i="42"/>
  <c r="M64" i="42"/>
  <c r="I64" i="42"/>
  <c r="N64" i="42"/>
  <c r="S64" i="42"/>
  <c r="M63" i="42"/>
  <c r="I63" i="42"/>
  <c r="N63" i="42"/>
  <c r="S63" i="42"/>
  <c r="M62" i="42"/>
  <c r="I62" i="42"/>
  <c r="N62" i="42"/>
  <c r="S62" i="42"/>
  <c r="M61" i="42"/>
  <c r="I61" i="42"/>
  <c r="N61" i="42"/>
  <c r="S61" i="42"/>
  <c r="M60" i="42"/>
  <c r="I60" i="42"/>
  <c r="N60" i="42"/>
  <c r="S60" i="42"/>
  <c r="M59" i="42"/>
  <c r="I59" i="42"/>
  <c r="N59" i="42"/>
  <c r="S59" i="42"/>
  <c r="M58" i="42"/>
  <c r="I58" i="42"/>
  <c r="N58" i="42"/>
  <c r="S58" i="42"/>
  <c r="M57" i="42"/>
  <c r="I57" i="42"/>
  <c r="N57" i="42"/>
  <c r="S57" i="42"/>
  <c r="M56" i="42"/>
  <c r="I56" i="42"/>
  <c r="N56" i="42"/>
  <c r="S56" i="42"/>
  <c r="M55" i="42"/>
  <c r="I55" i="42"/>
  <c r="N55" i="42"/>
  <c r="S55" i="42"/>
  <c r="M54" i="42"/>
  <c r="I54" i="42"/>
  <c r="N54" i="42"/>
  <c r="S54" i="42"/>
  <c r="M53" i="42"/>
  <c r="I53" i="42"/>
  <c r="N53" i="42"/>
  <c r="S53" i="42"/>
  <c r="M52" i="42"/>
  <c r="I52" i="42"/>
  <c r="N52" i="42"/>
  <c r="S52" i="42"/>
  <c r="M51" i="42"/>
  <c r="I51" i="42"/>
  <c r="N51" i="42"/>
  <c r="S51" i="42"/>
  <c r="M50" i="42"/>
  <c r="I50" i="42"/>
  <c r="N50" i="42"/>
  <c r="S50" i="42"/>
  <c r="M49" i="42"/>
  <c r="I49" i="42"/>
  <c r="N49" i="42"/>
  <c r="S49" i="42"/>
  <c r="M48" i="42"/>
  <c r="I48" i="42"/>
  <c r="N48" i="42"/>
  <c r="S48" i="42"/>
  <c r="M47" i="42"/>
  <c r="I47" i="42"/>
  <c r="N47" i="42"/>
  <c r="S47" i="42"/>
  <c r="M46" i="42"/>
  <c r="I46" i="42"/>
  <c r="N46" i="42"/>
  <c r="S46" i="42"/>
  <c r="M45" i="42"/>
  <c r="I45" i="42"/>
  <c r="N45" i="42"/>
  <c r="S45" i="42"/>
  <c r="M44" i="42"/>
  <c r="I44" i="42"/>
  <c r="N44" i="42"/>
  <c r="S44" i="42"/>
  <c r="M43" i="42"/>
  <c r="I43" i="42"/>
  <c r="N43" i="42"/>
  <c r="S43" i="42"/>
  <c r="M42" i="42"/>
  <c r="I42" i="42"/>
  <c r="N42" i="42"/>
  <c r="S42" i="42"/>
  <c r="M41" i="42"/>
  <c r="I41" i="42"/>
  <c r="N41" i="42"/>
  <c r="S41" i="42"/>
  <c r="M40" i="42"/>
  <c r="I40" i="42"/>
  <c r="N40" i="42"/>
  <c r="S40" i="42"/>
  <c r="M39" i="42"/>
  <c r="I39" i="42"/>
  <c r="N39" i="42"/>
  <c r="S39" i="42"/>
  <c r="M38" i="42"/>
  <c r="I38" i="42"/>
  <c r="N38" i="42"/>
  <c r="S38" i="42"/>
  <c r="M37" i="42"/>
  <c r="I37" i="42"/>
  <c r="N37" i="42"/>
  <c r="S37" i="42"/>
  <c r="M36" i="42"/>
  <c r="I36" i="42"/>
  <c r="N36" i="42"/>
  <c r="S36" i="42"/>
  <c r="M35" i="42"/>
  <c r="I35" i="42"/>
  <c r="N35" i="42"/>
  <c r="S35" i="42"/>
  <c r="M34" i="42"/>
  <c r="I34" i="42"/>
  <c r="N34" i="42"/>
  <c r="S34" i="42"/>
  <c r="M33" i="42"/>
  <c r="I33" i="42"/>
  <c r="N33" i="42"/>
  <c r="S33" i="42"/>
  <c r="M32" i="42"/>
  <c r="I32" i="42"/>
  <c r="N32" i="42"/>
  <c r="S32" i="42"/>
  <c r="M31" i="42"/>
  <c r="I31" i="42"/>
  <c r="N31" i="42"/>
  <c r="S31" i="42"/>
  <c r="M30" i="42"/>
  <c r="I30" i="42"/>
  <c r="N30" i="42"/>
  <c r="S30" i="42"/>
  <c r="M29" i="42"/>
  <c r="I29" i="42"/>
  <c r="N29" i="42"/>
  <c r="S29" i="42"/>
  <c r="M28" i="42"/>
  <c r="I28" i="42"/>
  <c r="N28" i="42"/>
  <c r="S28" i="42"/>
  <c r="M27" i="42"/>
  <c r="I27" i="42"/>
  <c r="N27" i="42"/>
  <c r="S27" i="42"/>
  <c r="M26" i="42"/>
  <c r="I26" i="42"/>
  <c r="N26" i="42"/>
  <c r="S26" i="42"/>
  <c r="M25" i="42"/>
  <c r="I25" i="42"/>
  <c r="N25" i="42"/>
  <c r="S25" i="42"/>
  <c r="M24" i="42"/>
  <c r="I24" i="42"/>
  <c r="N24" i="42"/>
  <c r="S24" i="42"/>
  <c r="M23" i="42"/>
  <c r="I23" i="42"/>
  <c r="N23" i="42"/>
  <c r="S23" i="42"/>
  <c r="M22" i="42"/>
  <c r="I22" i="42"/>
  <c r="N22" i="42"/>
  <c r="S22" i="42"/>
  <c r="M21" i="42"/>
  <c r="I21" i="42"/>
  <c r="N21" i="42"/>
  <c r="S21" i="42"/>
  <c r="M20" i="42"/>
  <c r="I20" i="42"/>
  <c r="N20" i="42"/>
  <c r="S20" i="42"/>
  <c r="M19" i="42"/>
  <c r="I19" i="42"/>
  <c r="N19" i="42"/>
  <c r="S19" i="42"/>
  <c r="M18" i="42"/>
  <c r="I18" i="42"/>
  <c r="N18" i="42"/>
  <c r="S18" i="42"/>
  <c r="R101" i="42"/>
  <c r="R100" i="42"/>
  <c r="R99" i="42"/>
  <c r="R98" i="42"/>
  <c r="R97" i="42"/>
  <c r="R96" i="42"/>
  <c r="R95" i="42"/>
  <c r="R94" i="42"/>
  <c r="R93" i="42"/>
  <c r="R92" i="42"/>
  <c r="R91" i="42"/>
  <c r="R90" i="42"/>
  <c r="R89" i="42"/>
  <c r="R88" i="42"/>
  <c r="R87" i="42"/>
  <c r="R86" i="42"/>
  <c r="R85" i="42"/>
  <c r="R84" i="42"/>
  <c r="R83" i="42"/>
  <c r="R82" i="42"/>
  <c r="R81" i="42"/>
  <c r="R80" i="42"/>
  <c r="R79" i="42"/>
  <c r="R78" i="42"/>
  <c r="R77" i="42"/>
  <c r="R76" i="42"/>
  <c r="R75" i="42"/>
  <c r="R74" i="42"/>
  <c r="R73" i="42"/>
  <c r="R72" i="42"/>
  <c r="R71" i="42"/>
  <c r="R70" i="42"/>
  <c r="R69" i="42"/>
  <c r="R68" i="42"/>
  <c r="R67" i="42"/>
  <c r="R66" i="42"/>
  <c r="R65" i="42"/>
  <c r="R64" i="42"/>
  <c r="R63" i="42"/>
  <c r="R62" i="42"/>
  <c r="R61" i="42"/>
  <c r="R60" i="42"/>
  <c r="R59" i="42"/>
  <c r="R58" i="42"/>
  <c r="R57" i="42"/>
  <c r="R56" i="42"/>
  <c r="R55" i="42"/>
  <c r="R54" i="42"/>
  <c r="R53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39" i="42"/>
  <c r="R38" i="42"/>
  <c r="R37" i="42"/>
  <c r="R36" i="42"/>
  <c r="R35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S17" i="42"/>
  <c r="T101" i="42"/>
  <c r="T100" i="42"/>
  <c r="T99" i="42"/>
  <c r="T98" i="42"/>
  <c r="T97" i="42"/>
  <c r="T96" i="42"/>
  <c r="T95" i="42"/>
  <c r="T94" i="42"/>
  <c r="T93" i="42"/>
  <c r="T92" i="42"/>
  <c r="T91" i="42"/>
  <c r="T90" i="42"/>
  <c r="T89" i="42"/>
  <c r="T88" i="42"/>
  <c r="T87" i="42"/>
  <c r="T86" i="42"/>
  <c r="T85" i="42"/>
  <c r="T84" i="42"/>
  <c r="T83" i="42"/>
  <c r="T82" i="42"/>
  <c r="T81" i="42"/>
  <c r="T80" i="42"/>
  <c r="T79" i="42"/>
  <c r="T78" i="42"/>
  <c r="T77" i="42"/>
  <c r="T76" i="42"/>
  <c r="T75" i="42"/>
  <c r="T74" i="42"/>
  <c r="T73" i="42"/>
  <c r="T72" i="42"/>
  <c r="T71" i="42"/>
  <c r="T70" i="42"/>
  <c r="T69" i="42"/>
  <c r="T68" i="42"/>
  <c r="T67" i="42"/>
  <c r="T66" i="42"/>
  <c r="T65" i="42"/>
  <c r="T64" i="42"/>
  <c r="T63" i="42"/>
  <c r="T62" i="42"/>
  <c r="T61" i="42"/>
  <c r="T60" i="42"/>
  <c r="T59" i="42"/>
  <c r="T58" i="42"/>
  <c r="T57" i="42"/>
  <c r="T56" i="42"/>
  <c r="T55" i="42"/>
  <c r="T54" i="42"/>
  <c r="T53" i="42"/>
  <c r="T52" i="42"/>
  <c r="T51" i="42"/>
  <c r="T50" i="42"/>
  <c r="T49" i="42"/>
  <c r="T48" i="42"/>
  <c r="T47" i="42"/>
  <c r="T46" i="42"/>
  <c r="T45" i="42"/>
  <c r="T44" i="42"/>
  <c r="T43" i="42"/>
  <c r="T42" i="42"/>
  <c r="T41" i="42"/>
  <c r="T40" i="42"/>
  <c r="T39" i="42"/>
  <c r="T38" i="42"/>
  <c r="T37" i="42"/>
  <c r="T36" i="42"/>
  <c r="T35" i="42"/>
  <c r="T34" i="42"/>
  <c r="T33" i="42"/>
  <c r="T32" i="42"/>
  <c r="T31" i="42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D18" i="42"/>
  <c r="O18" i="42"/>
  <c r="P18" i="42"/>
  <c r="Q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D19" i="42"/>
  <c r="O19" i="42"/>
  <c r="P19" i="42"/>
  <c r="Q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D20" i="42"/>
  <c r="O20" i="42"/>
  <c r="P20" i="42"/>
  <c r="Q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D18" i="45"/>
  <c r="O18" i="45"/>
  <c r="P18" i="45"/>
  <c r="Q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D19" i="45"/>
  <c r="O19" i="45"/>
  <c r="P19" i="45"/>
  <c r="Q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D20" i="45"/>
  <c r="O20" i="45"/>
  <c r="P20" i="45"/>
  <c r="Q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D21" i="45"/>
  <c r="O21" i="45"/>
  <c r="P21" i="45"/>
  <c r="Q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D22" i="45"/>
  <c r="O22" i="45"/>
  <c r="P22" i="45"/>
  <c r="Q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D23" i="45"/>
  <c r="O23" i="45"/>
  <c r="P23" i="45"/>
  <c r="Q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D24" i="45"/>
  <c r="O24" i="45"/>
  <c r="P24" i="45"/>
  <c r="Q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D25" i="45"/>
  <c r="O25" i="45"/>
  <c r="P25" i="45"/>
  <c r="Q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D26" i="45"/>
  <c r="O26" i="45"/>
  <c r="P26" i="45"/>
  <c r="Q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D27" i="45"/>
  <c r="O27" i="45"/>
  <c r="P27" i="45"/>
  <c r="Q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D28" i="45"/>
  <c r="O28" i="45"/>
  <c r="P28" i="45"/>
  <c r="Q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D29" i="45"/>
  <c r="O29" i="45"/>
  <c r="P29" i="45"/>
  <c r="Q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D30" i="45"/>
  <c r="O30" i="45"/>
  <c r="P30" i="45"/>
  <c r="Q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D31" i="45"/>
  <c r="O31" i="45"/>
  <c r="P31" i="45"/>
  <c r="Q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D32" i="45"/>
  <c r="O32" i="45"/>
  <c r="P32" i="45"/>
  <c r="Q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D33" i="45"/>
  <c r="O33" i="45"/>
  <c r="P33" i="45"/>
  <c r="Q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D34" i="45"/>
  <c r="O34" i="45"/>
  <c r="P34" i="45"/>
  <c r="Q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D35" i="45"/>
  <c r="O35" i="45"/>
  <c r="P35" i="45"/>
  <c r="Q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D36" i="45"/>
  <c r="O36" i="45"/>
  <c r="P36" i="45"/>
  <c r="Q36" i="45"/>
  <c r="U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D37" i="45"/>
  <c r="O37" i="45"/>
  <c r="P37" i="45"/>
  <c r="Q37" i="45"/>
  <c r="U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D38" i="45"/>
  <c r="O38" i="45"/>
  <c r="P38" i="45"/>
  <c r="Q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D39" i="45"/>
  <c r="O39" i="45"/>
  <c r="P39" i="45"/>
  <c r="Q39" i="45"/>
  <c r="U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D40" i="45"/>
  <c r="O40" i="45"/>
  <c r="P40" i="45"/>
  <c r="Q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D41" i="45"/>
  <c r="O41" i="45"/>
  <c r="P41" i="45"/>
  <c r="Q41" i="45"/>
  <c r="U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D42" i="45"/>
  <c r="O42" i="45"/>
  <c r="P42" i="45"/>
  <c r="Q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D43" i="45"/>
  <c r="O43" i="45"/>
  <c r="P43" i="45"/>
  <c r="Q43" i="45"/>
  <c r="U43" i="45"/>
  <c r="V43" i="45"/>
  <c r="W43" i="45"/>
  <c r="X43" i="45"/>
  <c r="Y43" i="45"/>
  <c r="Z43" i="45"/>
  <c r="AA43" i="45"/>
  <c r="AB43" i="45"/>
  <c r="AC43" i="45"/>
  <c r="AD43" i="45"/>
  <c r="AE43" i="45"/>
  <c r="AF43" i="45"/>
  <c r="AG43" i="45"/>
  <c r="D44" i="45"/>
  <c r="O44" i="45"/>
  <c r="P44" i="45"/>
  <c r="Q44" i="45"/>
  <c r="U44" i="45"/>
  <c r="V44" i="45"/>
  <c r="W44" i="45"/>
  <c r="X44" i="45"/>
  <c r="Y44" i="45"/>
  <c r="Z44" i="45"/>
  <c r="AA44" i="45"/>
  <c r="AB44" i="45"/>
  <c r="AC44" i="45"/>
  <c r="AD44" i="45"/>
  <c r="AE44" i="45"/>
  <c r="AF44" i="45"/>
  <c r="AG44" i="45"/>
  <c r="D45" i="45"/>
  <c r="O45" i="45"/>
  <c r="P45" i="45"/>
  <c r="Q45" i="45"/>
  <c r="U45" i="45"/>
  <c r="V45" i="45"/>
  <c r="W45" i="45"/>
  <c r="X45" i="45"/>
  <c r="Y45" i="45"/>
  <c r="Z45" i="45"/>
  <c r="AA45" i="45"/>
  <c r="AB45" i="45"/>
  <c r="AC45" i="45"/>
  <c r="AD45" i="45"/>
  <c r="AE45" i="45"/>
  <c r="AF45" i="45"/>
  <c r="AG45" i="45"/>
  <c r="D46" i="45"/>
  <c r="O46" i="45"/>
  <c r="P46" i="45"/>
  <c r="Q46" i="45"/>
  <c r="U46" i="45"/>
  <c r="V46" i="45"/>
  <c r="W46" i="45"/>
  <c r="X46" i="45"/>
  <c r="Y46" i="45"/>
  <c r="Z46" i="45"/>
  <c r="AA46" i="45"/>
  <c r="AB46" i="45"/>
  <c r="AC46" i="45"/>
  <c r="AD46" i="45"/>
  <c r="AE46" i="45"/>
  <c r="AF46" i="45"/>
  <c r="AG46" i="45"/>
  <c r="D47" i="45"/>
  <c r="O47" i="45"/>
  <c r="P47" i="45"/>
  <c r="Q47" i="45"/>
  <c r="U47" i="45"/>
  <c r="V47" i="45"/>
  <c r="W47" i="45"/>
  <c r="X47" i="45"/>
  <c r="Y47" i="45"/>
  <c r="Z47" i="45"/>
  <c r="AA47" i="45"/>
  <c r="AB47" i="45"/>
  <c r="AC47" i="45"/>
  <c r="AD47" i="45"/>
  <c r="AE47" i="45"/>
  <c r="AF47" i="45"/>
  <c r="AG47" i="45"/>
  <c r="D48" i="45"/>
  <c r="O48" i="45"/>
  <c r="P48" i="45"/>
  <c r="Q48" i="45"/>
  <c r="U48" i="45"/>
  <c r="V48" i="45"/>
  <c r="W48" i="45"/>
  <c r="X48" i="45"/>
  <c r="Y48" i="45"/>
  <c r="Z48" i="45"/>
  <c r="AA48" i="45"/>
  <c r="AB48" i="45"/>
  <c r="AC48" i="45"/>
  <c r="AD48" i="45"/>
  <c r="AE48" i="45"/>
  <c r="AF48" i="45"/>
  <c r="AG48" i="45"/>
  <c r="D49" i="45"/>
  <c r="O49" i="45"/>
  <c r="P49" i="45"/>
  <c r="Q49" i="45"/>
  <c r="U49" i="45"/>
  <c r="V49" i="45"/>
  <c r="W49" i="45"/>
  <c r="X49" i="45"/>
  <c r="Y49" i="45"/>
  <c r="Z49" i="45"/>
  <c r="AA49" i="45"/>
  <c r="AB49" i="45"/>
  <c r="AC49" i="45"/>
  <c r="AD49" i="45"/>
  <c r="AE49" i="45"/>
  <c r="AF49" i="45"/>
  <c r="AG49" i="45"/>
  <c r="D50" i="45"/>
  <c r="O50" i="45"/>
  <c r="P50" i="45"/>
  <c r="Q50" i="45"/>
  <c r="U50" i="45"/>
  <c r="V50" i="45"/>
  <c r="W50" i="45"/>
  <c r="X50" i="45"/>
  <c r="Y50" i="45"/>
  <c r="Z50" i="45"/>
  <c r="AA50" i="45"/>
  <c r="AB50" i="45"/>
  <c r="AC50" i="45"/>
  <c r="AD50" i="45"/>
  <c r="AE50" i="45"/>
  <c r="AF50" i="45"/>
  <c r="AG50" i="45"/>
  <c r="D51" i="45"/>
  <c r="O51" i="45"/>
  <c r="P51" i="45"/>
  <c r="Q51" i="45"/>
  <c r="U51" i="45"/>
  <c r="V51" i="45"/>
  <c r="W51" i="45"/>
  <c r="X51" i="45"/>
  <c r="Y51" i="45"/>
  <c r="Z51" i="45"/>
  <c r="AA51" i="45"/>
  <c r="AB51" i="45"/>
  <c r="AC51" i="45"/>
  <c r="AD51" i="45"/>
  <c r="AE51" i="45"/>
  <c r="AF51" i="45"/>
  <c r="AG51" i="45"/>
  <c r="D52" i="45"/>
  <c r="O52" i="45"/>
  <c r="P52" i="45"/>
  <c r="Q52" i="45"/>
  <c r="U52" i="45"/>
  <c r="V52" i="45"/>
  <c r="W52" i="45"/>
  <c r="X52" i="45"/>
  <c r="Y52" i="45"/>
  <c r="Z52" i="45"/>
  <c r="AA52" i="45"/>
  <c r="AB52" i="45"/>
  <c r="AC52" i="45"/>
  <c r="AD52" i="45"/>
  <c r="AE52" i="45"/>
  <c r="AF52" i="45"/>
  <c r="AG52" i="45"/>
  <c r="D53" i="45"/>
  <c r="O53" i="45"/>
  <c r="P53" i="45"/>
  <c r="Q53" i="45"/>
  <c r="U53" i="45"/>
  <c r="V53" i="45"/>
  <c r="W53" i="45"/>
  <c r="X53" i="45"/>
  <c r="Y53" i="45"/>
  <c r="Z53" i="45"/>
  <c r="AA53" i="45"/>
  <c r="AB53" i="45"/>
  <c r="AC53" i="45"/>
  <c r="AD53" i="45"/>
  <c r="AE53" i="45"/>
  <c r="AF53" i="45"/>
  <c r="AG53" i="45"/>
  <c r="D54" i="45"/>
  <c r="O54" i="45"/>
  <c r="P54" i="45"/>
  <c r="Q54" i="45"/>
  <c r="U54" i="45"/>
  <c r="V54" i="45"/>
  <c r="W54" i="45"/>
  <c r="X54" i="45"/>
  <c r="Y54" i="45"/>
  <c r="Z54" i="45"/>
  <c r="AA54" i="45"/>
  <c r="AB54" i="45"/>
  <c r="AC54" i="45"/>
  <c r="AD54" i="45"/>
  <c r="AE54" i="45"/>
  <c r="AF54" i="45"/>
  <c r="AG54" i="45"/>
  <c r="D55" i="45"/>
  <c r="O55" i="45"/>
  <c r="P55" i="45"/>
  <c r="Q55" i="45"/>
  <c r="U55" i="45"/>
  <c r="V55" i="45"/>
  <c r="W55" i="45"/>
  <c r="X55" i="45"/>
  <c r="Y55" i="45"/>
  <c r="Z55" i="45"/>
  <c r="AA55" i="45"/>
  <c r="AB55" i="45"/>
  <c r="AC55" i="45"/>
  <c r="AD55" i="45"/>
  <c r="AE55" i="45"/>
  <c r="AF55" i="45"/>
  <c r="AG55" i="45"/>
  <c r="D56" i="45"/>
  <c r="O56" i="45"/>
  <c r="P56" i="45"/>
  <c r="Q56" i="45"/>
  <c r="U56" i="45"/>
  <c r="V56" i="45"/>
  <c r="W56" i="45"/>
  <c r="X56" i="45"/>
  <c r="Y56" i="45"/>
  <c r="Z56" i="45"/>
  <c r="AA56" i="45"/>
  <c r="AB56" i="45"/>
  <c r="AC56" i="45"/>
  <c r="AD56" i="45"/>
  <c r="AE56" i="45"/>
  <c r="AF56" i="45"/>
  <c r="AG56" i="45"/>
  <c r="D57" i="45"/>
  <c r="O57" i="45"/>
  <c r="P57" i="45"/>
  <c r="Q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D58" i="45"/>
  <c r="O58" i="45"/>
  <c r="P58" i="45"/>
  <c r="Q58" i="45"/>
  <c r="U58" i="45"/>
  <c r="V58" i="45"/>
  <c r="W58" i="45"/>
  <c r="X58" i="45"/>
  <c r="Y58" i="45"/>
  <c r="Z58" i="45"/>
  <c r="AA58" i="45"/>
  <c r="AB58" i="45"/>
  <c r="AC58" i="45"/>
  <c r="AD58" i="45"/>
  <c r="AE58" i="45"/>
  <c r="AF58" i="45"/>
  <c r="AG58" i="45"/>
  <c r="D59" i="45"/>
  <c r="O59" i="45"/>
  <c r="P59" i="45"/>
  <c r="Q59" i="45"/>
  <c r="U59" i="45"/>
  <c r="V59" i="45"/>
  <c r="W59" i="45"/>
  <c r="X59" i="45"/>
  <c r="Y59" i="45"/>
  <c r="Z59" i="45"/>
  <c r="AA59" i="45"/>
  <c r="AB59" i="45"/>
  <c r="AC59" i="45"/>
  <c r="AD59" i="45"/>
  <c r="AE59" i="45"/>
  <c r="AF59" i="45"/>
  <c r="AG59" i="45"/>
  <c r="D60" i="45"/>
  <c r="O60" i="45"/>
  <c r="P60" i="45"/>
  <c r="Q60" i="45"/>
  <c r="U60" i="45"/>
  <c r="V60" i="45"/>
  <c r="W60" i="45"/>
  <c r="X60" i="45"/>
  <c r="Y60" i="45"/>
  <c r="Z60" i="45"/>
  <c r="AA60" i="45"/>
  <c r="AB60" i="45"/>
  <c r="AC60" i="45"/>
  <c r="AD60" i="45"/>
  <c r="AE60" i="45"/>
  <c r="AF60" i="45"/>
  <c r="AG60" i="45"/>
  <c r="D61" i="45"/>
  <c r="O61" i="45"/>
  <c r="P61" i="45"/>
  <c r="Q61" i="45"/>
  <c r="U61" i="45"/>
  <c r="V61" i="45"/>
  <c r="W61" i="45"/>
  <c r="X61" i="45"/>
  <c r="Y61" i="45"/>
  <c r="Z61" i="45"/>
  <c r="AA61" i="45"/>
  <c r="AB61" i="45"/>
  <c r="AC61" i="45"/>
  <c r="AD61" i="45"/>
  <c r="AE61" i="45"/>
  <c r="AF61" i="45"/>
  <c r="AG61" i="45"/>
  <c r="D62" i="45"/>
  <c r="O62" i="45"/>
  <c r="P62" i="45"/>
  <c r="Q62" i="45"/>
  <c r="U62" i="45"/>
  <c r="V62" i="45"/>
  <c r="W62" i="45"/>
  <c r="X62" i="45"/>
  <c r="Y62" i="45"/>
  <c r="Z62" i="45"/>
  <c r="AA62" i="45"/>
  <c r="AB62" i="45"/>
  <c r="AC62" i="45"/>
  <c r="AD62" i="45"/>
  <c r="AE62" i="45"/>
  <c r="AF62" i="45"/>
  <c r="AG62" i="45"/>
  <c r="D63" i="45"/>
  <c r="O63" i="45"/>
  <c r="P63" i="45"/>
  <c r="Q63" i="45"/>
  <c r="U63" i="45"/>
  <c r="V63" i="45"/>
  <c r="W63" i="45"/>
  <c r="X63" i="45"/>
  <c r="Y63" i="45"/>
  <c r="Z63" i="45"/>
  <c r="AA63" i="45"/>
  <c r="AB63" i="45"/>
  <c r="AC63" i="45"/>
  <c r="AD63" i="45"/>
  <c r="AE63" i="45"/>
  <c r="AF63" i="45"/>
  <c r="AG63" i="45"/>
  <c r="D64" i="45"/>
  <c r="O64" i="45"/>
  <c r="P64" i="45"/>
  <c r="Q64" i="45"/>
  <c r="U64" i="45"/>
  <c r="V64" i="45"/>
  <c r="W64" i="45"/>
  <c r="X64" i="45"/>
  <c r="Y64" i="45"/>
  <c r="Z64" i="45"/>
  <c r="AA64" i="45"/>
  <c r="AB64" i="45"/>
  <c r="AC64" i="45"/>
  <c r="AD64" i="45"/>
  <c r="AE64" i="45"/>
  <c r="AF64" i="45"/>
  <c r="AG64" i="45"/>
  <c r="D65" i="45"/>
  <c r="O65" i="45"/>
  <c r="P65" i="45"/>
  <c r="Q65" i="45"/>
  <c r="U65" i="45"/>
  <c r="V65" i="45"/>
  <c r="W65" i="45"/>
  <c r="X65" i="45"/>
  <c r="Y65" i="45"/>
  <c r="Z65" i="45"/>
  <c r="AA65" i="45"/>
  <c r="AB65" i="45"/>
  <c r="AC65" i="45"/>
  <c r="AD65" i="45"/>
  <c r="AE65" i="45"/>
  <c r="AF65" i="45"/>
  <c r="AG65" i="45"/>
  <c r="D66" i="45"/>
  <c r="O66" i="45"/>
  <c r="P66" i="45"/>
  <c r="Q66" i="45"/>
  <c r="U66" i="45"/>
  <c r="V66" i="45"/>
  <c r="W66" i="45"/>
  <c r="X66" i="45"/>
  <c r="Y66" i="45"/>
  <c r="Z66" i="45"/>
  <c r="AA66" i="45"/>
  <c r="AB66" i="45"/>
  <c r="AC66" i="45"/>
  <c r="AD66" i="45"/>
  <c r="AE66" i="45"/>
  <c r="AF66" i="45"/>
  <c r="AG66" i="45"/>
  <c r="D67" i="45"/>
  <c r="O67" i="45"/>
  <c r="P67" i="45"/>
  <c r="Q67" i="45"/>
  <c r="U67" i="45"/>
  <c r="V67" i="45"/>
  <c r="W67" i="45"/>
  <c r="X67" i="45"/>
  <c r="Y67" i="45"/>
  <c r="Z67" i="45"/>
  <c r="AA67" i="45"/>
  <c r="AB67" i="45"/>
  <c r="AC67" i="45"/>
  <c r="AD67" i="45"/>
  <c r="AE67" i="45"/>
  <c r="AF67" i="45"/>
  <c r="AG67" i="45"/>
  <c r="D68" i="45"/>
  <c r="O68" i="45"/>
  <c r="P68" i="45"/>
  <c r="Q68" i="45"/>
  <c r="U68" i="45"/>
  <c r="V68" i="45"/>
  <c r="W68" i="45"/>
  <c r="X68" i="45"/>
  <c r="Y68" i="45"/>
  <c r="Z68" i="45"/>
  <c r="AA68" i="45"/>
  <c r="AB68" i="45"/>
  <c r="AC68" i="45"/>
  <c r="AD68" i="45"/>
  <c r="AE68" i="45"/>
  <c r="AF68" i="45"/>
  <c r="AG68" i="45"/>
  <c r="D69" i="45"/>
  <c r="O69" i="45"/>
  <c r="P69" i="45"/>
  <c r="Q69" i="45"/>
  <c r="U69" i="45"/>
  <c r="V69" i="45"/>
  <c r="W69" i="45"/>
  <c r="X69" i="45"/>
  <c r="Y69" i="45"/>
  <c r="Z69" i="45"/>
  <c r="AA69" i="45"/>
  <c r="AB69" i="45"/>
  <c r="AC69" i="45"/>
  <c r="AD69" i="45"/>
  <c r="AE69" i="45"/>
  <c r="AF69" i="45"/>
  <c r="AG69" i="45"/>
  <c r="D70" i="45"/>
  <c r="O70" i="45"/>
  <c r="P70" i="45"/>
  <c r="Q70" i="45"/>
  <c r="U70" i="45"/>
  <c r="V70" i="45"/>
  <c r="W70" i="45"/>
  <c r="X70" i="45"/>
  <c r="Y70" i="45"/>
  <c r="Z70" i="45"/>
  <c r="AA70" i="45"/>
  <c r="AB70" i="45"/>
  <c r="AC70" i="45"/>
  <c r="AD70" i="45"/>
  <c r="AE70" i="45"/>
  <c r="AF70" i="45"/>
  <c r="AG70" i="45"/>
  <c r="D71" i="45"/>
  <c r="O71" i="45"/>
  <c r="P71" i="45"/>
  <c r="Q71" i="45"/>
  <c r="U71" i="45"/>
  <c r="V71" i="45"/>
  <c r="W71" i="45"/>
  <c r="X71" i="45"/>
  <c r="Y71" i="45"/>
  <c r="Z71" i="45"/>
  <c r="AA71" i="45"/>
  <c r="AB71" i="45"/>
  <c r="AC71" i="45"/>
  <c r="AD71" i="45"/>
  <c r="AE71" i="45"/>
  <c r="AF71" i="45"/>
  <c r="AG71" i="45"/>
  <c r="D72" i="45"/>
  <c r="O72" i="45"/>
  <c r="P72" i="45"/>
  <c r="Q72" i="45"/>
  <c r="U72" i="45"/>
  <c r="V72" i="45"/>
  <c r="W72" i="45"/>
  <c r="X72" i="45"/>
  <c r="Y72" i="45"/>
  <c r="Z72" i="45"/>
  <c r="AA72" i="45"/>
  <c r="AB72" i="45"/>
  <c r="AC72" i="45"/>
  <c r="AD72" i="45"/>
  <c r="AE72" i="45"/>
  <c r="AF72" i="45"/>
  <c r="AG72" i="45"/>
  <c r="D73" i="45"/>
  <c r="O73" i="45"/>
  <c r="P73" i="45"/>
  <c r="Q73" i="45"/>
  <c r="U73" i="45"/>
  <c r="V73" i="45"/>
  <c r="W73" i="45"/>
  <c r="X73" i="45"/>
  <c r="Y73" i="45"/>
  <c r="Z73" i="45"/>
  <c r="AA73" i="45"/>
  <c r="AB73" i="45"/>
  <c r="AC73" i="45"/>
  <c r="AD73" i="45"/>
  <c r="AE73" i="45"/>
  <c r="AF73" i="45"/>
  <c r="AG73" i="45"/>
  <c r="D74" i="45"/>
  <c r="O74" i="45"/>
  <c r="P74" i="45"/>
  <c r="Q74" i="45"/>
  <c r="U74" i="45"/>
  <c r="V74" i="45"/>
  <c r="W74" i="45"/>
  <c r="X74" i="45"/>
  <c r="Y74" i="45"/>
  <c r="Z74" i="45"/>
  <c r="AA74" i="45"/>
  <c r="AB74" i="45"/>
  <c r="AC74" i="45"/>
  <c r="AD74" i="45"/>
  <c r="AE74" i="45"/>
  <c r="AF74" i="45"/>
  <c r="AG74" i="45"/>
  <c r="D75" i="45"/>
  <c r="O75" i="45"/>
  <c r="P75" i="45"/>
  <c r="Q75" i="45"/>
  <c r="U75" i="45"/>
  <c r="V75" i="45"/>
  <c r="W75" i="45"/>
  <c r="X75" i="45"/>
  <c r="Y75" i="45"/>
  <c r="Z75" i="45"/>
  <c r="AA75" i="45"/>
  <c r="AB75" i="45"/>
  <c r="AC75" i="45"/>
  <c r="AD75" i="45"/>
  <c r="AE75" i="45"/>
  <c r="AF75" i="45"/>
  <c r="AG75" i="45"/>
  <c r="D76" i="45"/>
  <c r="O76" i="45"/>
  <c r="P76" i="45"/>
  <c r="Q76" i="45"/>
  <c r="U76" i="45"/>
  <c r="V76" i="45"/>
  <c r="W76" i="45"/>
  <c r="X76" i="45"/>
  <c r="Y76" i="45"/>
  <c r="Z76" i="45"/>
  <c r="AA76" i="45"/>
  <c r="AB76" i="45"/>
  <c r="AC76" i="45"/>
  <c r="AD76" i="45"/>
  <c r="AE76" i="45"/>
  <c r="AF76" i="45"/>
  <c r="AG76" i="45"/>
  <c r="D77" i="45"/>
  <c r="O77" i="45"/>
  <c r="P77" i="45"/>
  <c r="Q77" i="45"/>
  <c r="U77" i="45"/>
  <c r="V77" i="45"/>
  <c r="W77" i="45"/>
  <c r="X77" i="45"/>
  <c r="Y77" i="45"/>
  <c r="Z77" i="45"/>
  <c r="AA77" i="45"/>
  <c r="AB77" i="45"/>
  <c r="AC77" i="45"/>
  <c r="AD77" i="45"/>
  <c r="AE77" i="45"/>
  <c r="AF77" i="45"/>
  <c r="AG77" i="45"/>
  <c r="D78" i="45"/>
  <c r="O78" i="45"/>
  <c r="P78" i="45"/>
  <c r="Q78" i="45"/>
  <c r="U78" i="45"/>
  <c r="V78" i="45"/>
  <c r="W78" i="45"/>
  <c r="X78" i="45"/>
  <c r="Y78" i="45"/>
  <c r="Z78" i="45"/>
  <c r="AA78" i="45"/>
  <c r="AB78" i="45"/>
  <c r="AC78" i="45"/>
  <c r="AD78" i="45"/>
  <c r="AE78" i="45"/>
  <c r="AF78" i="45"/>
  <c r="AG78" i="45"/>
  <c r="D79" i="45"/>
  <c r="O79" i="45"/>
  <c r="P79" i="45"/>
  <c r="Q79" i="45"/>
  <c r="U79" i="45"/>
  <c r="V79" i="45"/>
  <c r="W79" i="45"/>
  <c r="X79" i="45"/>
  <c r="Y79" i="45"/>
  <c r="Z79" i="45"/>
  <c r="AA79" i="45"/>
  <c r="AB79" i="45"/>
  <c r="AC79" i="45"/>
  <c r="AD79" i="45"/>
  <c r="AE79" i="45"/>
  <c r="AF79" i="45"/>
  <c r="AG79" i="45"/>
  <c r="D80" i="45"/>
  <c r="O80" i="45"/>
  <c r="P80" i="45"/>
  <c r="Q80" i="45"/>
  <c r="U80" i="45"/>
  <c r="V80" i="45"/>
  <c r="W80" i="45"/>
  <c r="X80" i="45"/>
  <c r="Y80" i="45"/>
  <c r="Z80" i="45"/>
  <c r="AA80" i="45"/>
  <c r="AB80" i="45"/>
  <c r="AC80" i="45"/>
  <c r="AD80" i="45"/>
  <c r="AE80" i="45"/>
  <c r="AF80" i="45"/>
  <c r="AG80" i="45"/>
  <c r="D81" i="45"/>
  <c r="O81" i="45"/>
  <c r="P81" i="45"/>
  <c r="Q81" i="45"/>
  <c r="U81" i="45"/>
  <c r="V81" i="45"/>
  <c r="W81" i="45"/>
  <c r="X81" i="45"/>
  <c r="Y81" i="45"/>
  <c r="Z81" i="45"/>
  <c r="AA81" i="45"/>
  <c r="AB81" i="45"/>
  <c r="AC81" i="45"/>
  <c r="AD81" i="45"/>
  <c r="AE81" i="45"/>
  <c r="AF81" i="45"/>
  <c r="AG81" i="45"/>
  <c r="D82" i="45"/>
  <c r="O82" i="45"/>
  <c r="P82" i="45"/>
  <c r="Q82" i="45"/>
  <c r="U82" i="45"/>
  <c r="V82" i="45"/>
  <c r="W82" i="45"/>
  <c r="X82" i="45"/>
  <c r="Y82" i="45"/>
  <c r="Z82" i="45"/>
  <c r="AA82" i="45"/>
  <c r="AB82" i="45"/>
  <c r="AC82" i="45"/>
  <c r="AD82" i="45"/>
  <c r="AE82" i="45"/>
  <c r="AF82" i="45"/>
  <c r="AG82" i="45"/>
  <c r="D83" i="45"/>
  <c r="O83" i="45"/>
  <c r="P83" i="45"/>
  <c r="Q83" i="45"/>
  <c r="U83" i="45"/>
  <c r="V83" i="45"/>
  <c r="W83" i="45"/>
  <c r="X83" i="45"/>
  <c r="Y83" i="45"/>
  <c r="Z83" i="45"/>
  <c r="AA83" i="45"/>
  <c r="AB83" i="45"/>
  <c r="AC83" i="45"/>
  <c r="AD83" i="45"/>
  <c r="AE83" i="45"/>
  <c r="AF83" i="45"/>
  <c r="AG83" i="45"/>
  <c r="D84" i="45"/>
  <c r="O84" i="45"/>
  <c r="P84" i="45"/>
  <c r="Q84" i="45"/>
  <c r="U84" i="45"/>
  <c r="V84" i="45"/>
  <c r="W84" i="45"/>
  <c r="X84" i="45"/>
  <c r="Y84" i="45"/>
  <c r="Z84" i="45"/>
  <c r="AA84" i="45"/>
  <c r="AB84" i="45"/>
  <c r="AC84" i="45"/>
  <c r="AD84" i="45"/>
  <c r="AE84" i="45"/>
  <c r="AF84" i="45"/>
  <c r="AG84" i="45"/>
  <c r="D85" i="45"/>
  <c r="O85" i="45"/>
  <c r="P85" i="45"/>
  <c r="Q85" i="45"/>
  <c r="U85" i="45"/>
  <c r="V85" i="45"/>
  <c r="W85" i="45"/>
  <c r="X85" i="45"/>
  <c r="Y85" i="45"/>
  <c r="Z85" i="45"/>
  <c r="AA85" i="45"/>
  <c r="AB85" i="45"/>
  <c r="AC85" i="45"/>
  <c r="AD85" i="45"/>
  <c r="AE85" i="45"/>
  <c r="AF85" i="45"/>
  <c r="AG85" i="45"/>
  <c r="D86" i="45"/>
  <c r="O86" i="45"/>
  <c r="P86" i="45"/>
  <c r="Q86" i="45"/>
  <c r="U86" i="45"/>
  <c r="V86" i="45"/>
  <c r="W86" i="45"/>
  <c r="X86" i="45"/>
  <c r="Y86" i="45"/>
  <c r="Z86" i="45"/>
  <c r="AA86" i="45"/>
  <c r="AB86" i="45"/>
  <c r="AC86" i="45"/>
  <c r="AD86" i="45"/>
  <c r="AE86" i="45"/>
  <c r="AF86" i="45"/>
  <c r="AG86" i="45"/>
  <c r="D87" i="45"/>
  <c r="O87" i="45"/>
  <c r="P87" i="45"/>
  <c r="Q87" i="45"/>
  <c r="U87" i="45"/>
  <c r="V87" i="45"/>
  <c r="W87" i="45"/>
  <c r="X87" i="45"/>
  <c r="Y87" i="45"/>
  <c r="Z87" i="45"/>
  <c r="AA87" i="45"/>
  <c r="AB87" i="45"/>
  <c r="AC87" i="45"/>
  <c r="AD87" i="45"/>
  <c r="AE87" i="45"/>
  <c r="AF87" i="45"/>
  <c r="AG87" i="45"/>
  <c r="D88" i="45"/>
  <c r="O88" i="45"/>
  <c r="P88" i="45"/>
  <c r="Q88" i="45"/>
  <c r="U88" i="45"/>
  <c r="V88" i="45"/>
  <c r="W88" i="45"/>
  <c r="X88" i="45"/>
  <c r="Y88" i="45"/>
  <c r="Z88" i="45"/>
  <c r="AA88" i="45"/>
  <c r="AB88" i="45"/>
  <c r="AC88" i="45"/>
  <c r="AD88" i="45"/>
  <c r="AE88" i="45"/>
  <c r="AF88" i="45"/>
  <c r="AG88" i="45"/>
  <c r="D89" i="45"/>
  <c r="O89" i="45"/>
  <c r="P89" i="45"/>
  <c r="Q89" i="45"/>
  <c r="U89" i="45"/>
  <c r="V89" i="45"/>
  <c r="W89" i="45"/>
  <c r="X89" i="45"/>
  <c r="Y89" i="45"/>
  <c r="Z89" i="45"/>
  <c r="AA89" i="45"/>
  <c r="AB89" i="45"/>
  <c r="AC89" i="45"/>
  <c r="AD89" i="45"/>
  <c r="AE89" i="45"/>
  <c r="AF89" i="45"/>
  <c r="AG89" i="45"/>
  <c r="D90" i="45"/>
  <c r="O90" i="45"/>
  <c r="P90" i="45"/>
  <c r="Q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D91" i="45"/>
  <c r="O91" i="45"/>
  <c r="P91" i="45"/>
  <c r="Q91" i="45"/>
  <c r="U91" i="45"/>
  <c r="V91" i="45"/>
  <c r="W91" i="45"/>
  <c r="X91" i="45"/>
  <c r="Y91" i="45"/>
  <c r="Z91" i="45"/>
  <c r="AA91" i="45"/>
  <c r="AB91" i="45"/>
  <c r="AC91" i="45"/>
  <c r="AD91" i="45"/>
  <c r="AE91" i="45"/>
  <c r="AF91" i="45"/>
  <c r="AG91" i="45"/>
  <c r="D92" i="45"/>
  <c r="O92" i="45"/>
  <c r="P92" i="45"/>
  <c r="Q92" i="45"/>
  <c r="U92" i="45"/>
  <c r="V92" i="45"/>
  <c r="W92" i="45"/>
  <c r="X92" i="45"/>
  <c r="Y92" i="45"/>
  <c r="Z92" i="45"/>
  <c r="AA92" i="45"/>
  <c r="AB92" i="45"/>
  <c r="AC92" i="45"/>
  <c r="AD92" i="45"/>
  <c r="AE92" i="45"/>
  <c r="AF92" i="45"/>
  <c r="AG92" i="45"/>
  <c r="D93" i="45"/>
  <c r="O93" i="45"/>
  <c r="P93" i="45"/>
  <c r="Q93" i="45"/>
  <c r="U93" i="45"/>
  <c r="V93" i="45"/>
  <c r="W93" i="45"/>
  <c r="X93" i="45"/>
  <c r="Y93" i="45"/>
  <c r="Z93" i="45"/>
  <c r="AA93" i="45"/>
  <c r="AB93" i="45"/>
  <c r="AC93" i="45"/>
  <c r="AD93" i="45"/>
  <c r="AE93" i="45"/>
  <c r="AF93" i="45"/>
  <c r="AG93" i="45"/>
  <c r="D25" i="46"/>
  <c r="O25" i="46"/>
  <c r="P25" i="46"/>
  <c r="Q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D26" i="46"/>
  <c r="O26" i="46"/>
  <c r="P26" i="46"/>
  <c r="Q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D27" i="46"/>
  <c r="O27" i="46"/>
  <c r="P27" i="46"/>
  <c r="Q27" i="46"/>
  <c r="U27" i="46"/>
  <c r="V27" i="46"/>
  <c r="W27" i="46"/>
  <c r="X27" i="46"/>
  <c r="Y27" i="46"/>
  <c r="Z27" i="46"/>
  <c r="AA27" i="46"/>
  <c r="AB27" i="46"/>
  <c r="AC27" i="46"/>
  <c r="AD27" i="46"/>
  <c r="AE27" i="46"/>
  <c r="AF27" i="46"/>
  <c r="AG27" i="46"/>
  <c r="D28" i="46"/>
  <c r="O28" i="46"/>
  <c r="P28" i="46"/>
  <c r="Q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AG28" i="46"/>
  <c r="D29" i="46"/>
  <c r="O29" i="46"/>
  <c r="P29" i="46"/>
  <c r="Q29" i="46"/>
  <c r="U29" i="46"/>
  <c r="V29" i="46"/>
  <c r="W29" i="46"/>
  <c r="X29" i="46"/>
  <c r="Y29" i="46"/>
  <c r="Z29" i="46"/>
  <c r="AA29" i="46"/>
  <c r="AB29" i="46"/>
  <c r="AC29" i="46"/>
  <c r="AD29" i="46"/>
  <c r="AE29" i="46"/>
  <c r="AF29" i="46"/>
  <c r="AG29" i="46"/>
  <c r="D30" i="46"/>
  <c r="O30" i="46"/>
  <c r="P30" i="46"/>
  <c r="Q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AG30" i="46"/>
  <c r="D31" i="46"/>
  <c r="O31" i="46"/>
  <c r="P31" i="46"/>
  <c r="Q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AG31" i="46"/>
  <c r="D32" i="46"/>
  <c r="O32" i="46"/>
  <c r="P32" i="46"/>
  <c r="Q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AG32" i="46"/>
  <c r="D33" i="46"/>
  <c r="O33" i="46"/>
  <c r="P33" i="46"/>
  <c r="Q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D34" i="46"/>
  <c r="O34" i="46"/>
  <c r="P34" i="46"/>
  <c r="Q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G34" i="46"/>
  <c r="D35" i="46"/>
  <c r="O35" i="46"/>
  <c r="P35" i="46"/>
  <c r="Q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G35" i="46"/>
  <c r="D36" i="46"/>
  <c r="O36" i="46"/>
  <c r="P36" i="46"/>
  <c r="Q36" i="46"/>
  <c r="U36" i="46"/>
  <c r="V36" i="46"/>
  <c r="W36" i="46"/>
  <c r="X36" i="46"/>
  <c r="Y36" i="46"/>
  <c r="Z36" i="46"/>
  <c r="AA36" i="46"/>
  <c r="AB36" i="46"/>
  <c r="AC36" i="46"/>
  <c r="AD36" i="46"/>
  <c r="AE36" i="46"/>
  <c r="AF36" i="46"/>
  <c r="AG36" i="46"/>
  <c r="D37" i="46"/>
  <c r="O37" i="46"/>
  <c r="P37" i="46"/>
  <c r="Q37" i="46"/>
  <c r="U37" i="46"/>
  <c r="V37" i="46"/>
  <c r="W37" i="46"/>
  <c r="X37" i="46"/>
  <c r="Y37" i="46"/>
  <c r="Z37" i="46"/>
  <c r="AA37" i="46"/>
  <c r="AB37" i="46"/>
  <c r="AC37" i="46"/>
  <c r="AD37" i="46"/>
  <c r="AE37" i="46"/>
  <c r="AF37" i="46"/>
  <c r="AG37" i="46"/>
  <c r="D38" i="46"/>
  <c r="O38" i="46"/>
  <c r="P38" i="46"/>
  <c r="Q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AG38" i="46"/>
  <c r="D39" i="46"/>
  <c r="O39" i="46"/>
  <c r="P39" i="46"/>
  <c r="Q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D40" i="46"/>
  <c r="O40" i="46"/>
  <c r="P40" i="46"/>
  <c r="Q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D41" i="46"/>
  <c r="O41" i="46"/>
  <c r="P41" i="46"/>
  <c r="Q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D42" i="46"/>
  <c r="O42" i="46"/>
  <c r="P42" i="46"/>
  <c r="Q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D43" i="46"/>
  <c r="O43" i="46"/>
  <c r="P43" i="46"/>
  <c r="Q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D44" i="46"/>
  <c r="O44" i="46"/>
  <c r="P44" i="46"/>
  <c r="Q44" i="46"/>
  <c r="U44" i="46"/>
  <c r="V44" i="46"/>
  <c r="W44" i="46"/>
  <c r="X44" i="46"/>
  <c r="Y44" i="46"/>
  <c r="Z44" i="46"/>
  <c r="AA44" i="46"/>
  <c r="AB44" i="46"/>
  <c r="AC44" i="46"/>
  <c r="AD44" i="46"/>
  <c r="AE44" i="46"/>
  <c r="AF44" i="46"/>
  <c r="AG44" i="46"/>
  <c r="D45" i="46"/>
  <c r="O45" i="46"/>
  <c r="P45" i="46"/>
  <c r="Q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G45" i="46"/>
  <c r="D46" i="46"/>
  <c r="O46" i="46"/>
  <c r="P46" i="46"/>
  <c r="Q46" i="46"/>
  <c r="U46" i="46"/>
  <c r="V46" i="46"/>
  <c r="W46" i="46"/>
  <c r="X46" i="46"/>
  <c r="Y46" i="46"/>
  <c r="Z46" i="46"/>
  <c r="AA46" i="46"/>
  <c r="AB46" i="46"/>
  <c r="AC46" i="46"/>
  <c r="AD46" i="46"/>
  <c r="AE46" i="46"/>
  <c r="AF46" i="46"/>
  <c r="AG46" i="46"/>
  <c r="D47" i="46"/>
  <c r="O47" i="46"/>
  <c r="P47" i="46"/>
  <c r="Q47" i="46"/>
  <c r="U47" i="46"/>
  <c r="V47" i="46"/>
  <c r="W47" i="46"/>
  <c r="X47" i="46"/>
  <c r="Y47" i="46"/>
  <c r="Z47" i="46"/>
  <c r="AA47" i="46"/>
  <c r="AB47" i="46"/>
  <c r="AC47" i="46"/>
  <c r="AD47" i="46"/>
  <c r="AE47" i="46"/>
  <c r="AF47" i="46"/>
  <c r="AG47" i="46"/>
  <c r="D48" i="46"/>
  <c r="O48" i="46"/>
  <c r="P48" i="46"/>
  <c r="Q48" i="46"/>
  <c r="U48" i="46"/>
  <c r="V48" i="46"/>
  <c r="W48" i="46"/>
  <c r="X48" i="46"/>
  <c r="Y48" i="46"/>
  <c r="Z48" i="46"/>
  <c r="AA48" i="46"/>
  <c r="AB48" i="46"/>
  <c r="AC48" i="46"/>
  <c r="AD48" i="46"/>
  <c r="AE48" i="46"/>
  <c r="AF48" i="46"/>
  <c r="AG48" i="46"/>
  <c r="D49" i="46"/>
  <c r="O49" i="46"/>
  <c r="P49" i="46"/>
  <c r="Q49" i="46"/>
  <c r="U49" i="46"/>
  <c r="V49" i="46"/>
  <c r="W49" i="46"/>
  <c r="X49" i="46"/>
  <c r="Y49" i="46"/>
  <c r="Z49" i="46"/>
  <c r="AA49" i="46"/>
  <c r="AB49" i="46"/>
  <c r="AC49" i="46"/>
  <c r="AD49" i="46"/>
  <c r="AE49" i="46"/>
  <c r="AF49" i="46"/>
  <c r="AG49" i="46"/>
  <c r="D50" i="46"/>
  <c r="O50" i="46"/>
  <c r="P50" i="46"/>
  <c r="Q50" i="46"/>
  <c r="U50" i="46"/>
  <c r="V50" i="46"/>
  <c r="W50" i="46"/>
  <c r="X50" i="46"/>
  <c r="Y50" i="46"/>
  <c r="Z50" i="46"/>
  <c r="AA50" i="46"/>
  <c r="AB50" i="46"/>
  <c r="AC50" i="46"/>
  <c r="AD50" i="46"/>
  <c r="AE50" i="46"/>
  <c r="AF50" i="46"/>
  <c r="AG50" i="46"/>
  <c r="D51" i="46"/>
  <c r="O51" i="46"/>
  <c r="P51" i="46"/>
  <c r="Q51" i="46"/>
  <c r="U51" i="46"/>
  <c r="V51" i="46"/>
  <c r="W51" i="46"/>
  <c r="X51" i="46"/>
  <c r="Y51" i="46"/>
  <c r="Z51" i="46"/>
  <c r="AA51" i="46"/>
  <c r="AB51" i="46"/>
  <c r="AC51" i="46"/>
  <c r="AD51" i="46"/>
  <c r="AE51" i="46"/>
  <c r="AF51" i="46"/>
  <c r="AG51" i="46"/>
  <c r="D52" i="46"/>
  <c r="O52" i="46"/>
  <c r="P52" i="46"/>
  <c r="Q52" i="46"/>
  <c r="U52" i="46"/>
  <c r="V52" i="46"/>
  <c r="W52" i="46"/>
  <c r="X52" i="46"/>
  <c r="Y52" i="46"/>
  <c r="Z52" i="46"/>
  <c r="AA52" i="46"/>
  <c r="AB52" i="46"/>
  <c r="AC52" i="46"/>
  <c r="AD52" i="46"/>
  <c r="AE52" i="46"/>
  <c r="AF52" i="46"/>
  <c r="AG52" i="46"/>
  <c r="D53" i="46"/>
  <c r="O53" i="46"/>
  <c r="P53" i="46"/>
  <c r="Q53" i="46"/>
  <c r="U53" i="46"/>
  <c r="V53" i="46"/>
  <c r="W53" i="46"/>
  <c r="X53" i="46"/>
  <c r="Y53" i="46"/>
  <c r="Z53" i="46"/>
  <c r="AA53" i="46"/>
  <c r="AB53" i="46"/>
  <c r="AC53" i="46"/>
  <c r="AD53" i="46"/>
  <c r="AE53" i="46"/>
  <c r="AF53" i="46"/>
  <c r="AG53" i="46"/>
  <c r="D54" i="46"/>
  <c r="O54" i="46"/>
  <c r="P54" i="46"/>
  <c r="Q54" i="46"/>
  <c r="U54" i="46"/>
  <c r="V54" i="46"/>
  <c r="W54" i="46"/>
  <c r="X54" i="46"/>
  <c r="Y54" i="46"/>
  <c r="Z54" i="46"/>
  <c r="AA54" i="46"/>
  <c r="AB54" i="46"/>
  <c r="AC54" i="46"/>
  <c r="AD54" i="46"/>
  <c r="AE54" i="46"/>
  <c r="AF54" i="46"/>
  <c r="AG54" i="46"/>
  <c r="D55" i="46"/>
  <c r="O55" i="46"/>
  <c r="P55" i="46"/>
  <c r="Q55" i="46"/>
  <c r="U55" i="46"/>
  <c r="V55" i="46"/>
  <c r="W55" i="46"/>
  <c r="X55" i="46"/>
  <c r="Y55" i="46"/>
  <c r="Z55" i="46"/>
  <c r="AA55" i="46"/>
  <c r="AB55" i="46"/>
  <c r="AC55" i="46"/>
  <c r="AD55" i="46"/>
  <c r="AE55" i="46"/>
  <c r="AF55" i="46"/>
  <c r="AG55" i="46"/>
  <c r="D56" i="46"/>
  <c r="O56" i="46"/>
  <c r="P56" i="46"/>
  <c r="Q56" i="46"/>
  <c r="U56" i="46"/>
  <c r="V56" i="46"/>
  <c r="W56" i="46"/>
  <c r="X56" i="46"/>
  <c r="Y56" i="46"/>
  <c r="Z56" i="46"/>
  <c r="AA56" i="46"/>
  <c r="AB56" i="46"/>
  <c r="AC56" i="46"/>
  <c r="AD56" i="46"/>
  <c r="AE56" i="46"/>
  <c r="AF56" i="46"/>
  <c r="AG56" i="46"/>
  <c r="D57" i="46"/>
  <c r="O57" i="46"/>
  <c r="P57" i="46"/>
  <c r="Q57" i="46"/>
  <c r="U57" i="46"/>
  <c r="V57" i="46"/>
  <c r="W57" i="46"/>
  <c r="X57" i="46"/>
  <c r="Y57" i="46"/>
  <c r="Z57" i="46"/>
  <c r="AA57" i="46"/>
  <c r="AB57" i="46"/>
  <c r="AC57" i="46"/>
  <c r="AD57" i="46"/>
  <c r="AE57" i="46"/>
  <c r="AF57" i="46"/>
  <c r="AG57" i="46"/>
  <c r="D58" i="46"/>
  <c r="O58" i="46"/>
  <c r="P58" i="46"/>
  <c r="Q58" i="46"/>
  <c r="U58" i="46"/>
  <c r="V58" i="46"/>
  <c r="W58" i="46"/>
  <c r="X58" i="46"/>
  <c r="Y58" i="46"/>
  <c r="Z58" i="46"/>
  <c r="AA58" i="46"/>
  <c r="AB58" i="46"/>
  <c r="AC58" i="46"/>
  <c r="AD58" i="46"/>
  <c r="AE58" i="46"/>
  <c r="AF58" i="46"/>
  <c r="AG58" i="46"/>
  <c r="D59" i="46"/>
  <c r="O59" i="46"/>
  <c r="P59" i="46"/>
  <c r="Q59" i="46"/>
  <c r="U59" i="46"/>
  <c r="V59" i="46"/>
  <c r="W59" i="46"/>
  <c r="X59" i="46"/>
  <c r="Y59" i="46"/>
  <c r="Z59" i="46"/>
  <c r="AA59" i="46"/>
  <c r="AB59" i="46"/>
  <c r="AC59" i="46"/>
  <c r="AD59" i="46"/>
  <c r="AE59" i="46"/>
  <c r="AF59" i="46"/>
  <c r="AG59" i="46"/>
  <c r="D60" i="46"/>
  <c r="O60" i="46"/>
  <c r="P60" i="46"/>
  <c r="Q60" i="46"/>
  <c r="U60" i="46"/>
  <c r="V60" i="46"/>
  <c r="W60" i="46"/>
  <c r="X60" i="46"/>
  <c r="Y60" i="46"/>
  <c r="Z60" i="46"/>
  <c r="AA60" i="46"/>
  <c r="AB60" i="46"/>
  <c r="AC60" i="46"/>
  <c r="AD60" i="46"/>
  <c r="AE60" i="46"/>
  <c r="AF60" i="46"/>
  <c r="AG60" i="46"/>
  <c r="D61" i="46"/>
  <c r="O61" i="46"/>
  <c r="P61" i="46"/>
  <c r="Q61" i="46"/>
  <c r="U61" i="46"/>
  <c r="V61" i="46"/>
  <c r="W61" i="46"/>
  <c r="X61" i="46"/>
  <c r="Y61" i="46"/>
  <c r="Z61" i="46"/>
  <c r="AA61" i="46"/>
  <c r="AB61" i="46"/>
  <c r="AC61" i="46"/>
  <c r="AD61" i="46"/>
  <c r="AE61" i="46"/>
  <c r="AF61" i="46"/>
  <c r="AG61" i="46"/>
  <c r="D62" i="46"/>
  <c r="O62" i="46"/>
  <c r="P62" i="46"/>
  <c r="Q62" i="46"/>
  <c r="U62" i="46"/>
  <c r="V62" i="46"/>
  <c r="W62" i="46"/>
  <c r="X62" i="46"/>
  <c r="Y62" i="46"/>
  <c r="Z62" i="46"/>
  <c r="AA62" i="46"/>
  <c r="AB62" i="46"/>
  <c r="AC62" i="46"/>
  <c r="AD62" i="46"/>
  <c r="AE62" i="46"/>
  <c r="AF62" i="46"/>
  <c r="AG62" i="46"/>
  <c r="D63" i="46"/>
  <c r="O63" i="46"/>
  <c r="P63" i="46"/>
  <c r="Q63" i="46"/>
  <c r="U63" i="46"/>
  <c r="V63" i="46"/>
  <c r="W63" i="46"/>
  <c r="X63" i="46"/>
  <c r="Y63" i="46"/>
  <c r="Z63" i="46"/>
  <c r="AA63" i="46"/>
  <c r="AB63" i="46"/>
  <c r="AC63" i="46"/>
  <c r="AD63" i="46"/>
  <c r="AE63" i="46"/>
  <c r="AF63" i="46"/>
  <c r="AG63" i="46"/>
  <c r="D64" i="46"/>
  <c r="O64" i="46"/>
  <c r="P64" i="46"/>
  <c r="Q64" i="46"/>
  <c r="U64" i="46"/>
  <c r="V64" i="46"/>
  <c r="W64" i="46"/>
  <c r="X64" i="46"/>
  <c r="Y64" i="46"/>
  <c r="Z64" i="46"/>
  <c r="AA64" i="46"/>
  <c r="AB64" i="46"/>
  <c r="AC64" i="46"/>
  <c r="AD64" i="46"/>
  <c r="AE64" i="46"/>
  <c r="AF64" i="46"/>
  <c r="AG64" i="46"/>
  <c r="D65" i="46"/>
  <c r="O65" i="46"/>
  <c r="P65" i="46"/>
  <c r="Q65" i="46"/>
  <c r="U65" i="46"/>
  <c r="V65" i="46"/>
  <c r="W65" i="46"/>
  <c r="X65" i="46"/>
  <c r="Y65" i="46"/>
  <c r="Z65" i="46"/>
  <c r="AA65" i="46"/>
  <c r="AB65" i="46"/>
  <c r="AC65" i="46"/>
  <c r="AD65" i="46"/>
  <c r="AE65" i="46"/>
  <c r="AF65" i="46"/>
  <c r="AG65" i="46"/>
  <c r="D66" i="46"/>
  <c r="O66" i="46"/>
  <c r="P66" i="46"/>
  <c r="Q66" i="46"/>
  <c r="U66" i="46"/>
  <c r="V66" i="46"/>
  <c r="W66" i="46"/>
  <c r="X66" i="46"/>
  <c r="Y66" i="46"/>
  <c r="Z66" i="46"/>
  <c r="AA66" i="46"/>
  <c r="AB66" i="46"/>
  <c r="AC66" i="46"/>
  <c r="AD66" i="46"/>
  <c r="AE66" i="46"/>
  <c r="AF66" i="46"/>
  <c r="AG66" i="46"/>
  <c r="D67" i="46"/>
  <c r="O67" i="46"/>
  <c r="P67" i="46"/>
  <c r="Q67" i="46"/>
  <c r="U67" i="46"/>
  <c r="V67" i="46"/>
  <c r="W67" i="46"/>
  <c r="X67" i="46"/>
  <c r="Y67" i="46"/>
  <c r="Z67" i="46"/>
  <c r="AA67" i="46"/>
  <c r="AB67" i="46"/>
  <c r="AC67" i="46"/>
  <c r="AD67" i="46"/>
  <c r="AE67" i="46"/>
  <c r="AF67" i="46"/>
  <c r="AG67" i="46"/>
  <c r="D68" i="46"/>
  <c r="O68" i="46"/>
  <c r="P68" i="46"/>
  <c r="Q68" i="46"/>
  <c r="U68" i="46"/>
  <c r="V68" i="46"/>
  <c r="W68" i="46"/>
  <c r="X68" i="46"/>
  <c r="Y68" i="46"/>
  <c r="Z68" i="46"/>
  <c r="AA68" i="46"/>
  <c r="AB68" i="46"/>
  <c r="AC68" i="46"/>
  <c r="AD68" i="46"/>
  <c r="AE68" i="46"/>
  <c r="AF68" i="46"/>
  <c r="AG68" i="46"/>
  <c r="D69" i="46"/>
  <c r="O69" i="46"/>
  <c r="P69" i="46"/>
  <c r="Q69" i="46"/>
  <c r="U69" i="46"/>
  <c r="V69" i="46"/>
  <c r="W69" i="46"/>
  <c r="X69" i="46"/>
  <c r="Y69" i="46"/>
  <c r="Z69" i="46"/>
  <c r="AA69" i="46"/>
  <c r="AB69" i="46"/>
  <c r="AC69" i="46"/>
  <c r="AD69" i="46"/>
  <c r="AE69" i="46"/>
  <c r="AF69" i="46"/>
  <c r="AG69" i="46"/>
  <c r="D70" i="46"/>
  <c r="O70" i="46"/>
  <c r="P70" i="46"/>
  <c r="Q70" i="46"/>
  <c r="U70" i="46"/>
  <c r="V70" i="46"/>
  <c r="W70" i="46"/>
  <c r="X70" i="46"/>
  <c r="Y70" i="46"/>
  <c r="Z70" i="46"/>
  <c r="AA70" i="46"/>
  <c r="AB70" i="46"/>
  <c r="AC70" i="46"/>
  <c r="AD70" i="46"/>
  <c r="AE70" i="46"/>
  <c r="AF70" i="46"/>
  <c r="AG70" i="46"/>
  <c r="D71" i="46"/>
  <c r="O71" i="46"/>
  <c r="P71" i="46"/>
  <c r="Q71" i="46"/>
  <c r="U71" i="46"/>
  <c r="V71" i="46"/>
  <c r="W71" i="46"/>
  <c r="X71" i="46"/>
  <c r="Y71" i="46"/>
  <c r="Z71" i="46"/>
  <c r="AA71" i="46"/>
  <c r="AB71" i="46"/>
  <c r="AC71" i="46"/>
  <c r="AD71" i="46"/>
  <c r="AE71" i="46"/>
  <c r="AF71" i="46"/>
  <c r="AG71" i="46"/>
  <c r="D72" i="46"/>
  <c r="O72" i="46"/>
  <c r="P72" i="46"/>
  <c r="Q72" i="46"/>
  <c r="U72" i="46"/>
  <c r="V72" i="46"/>
  <c r="W72" i="46"/>
  <c r="X72" i="46"/>
  <c r="Y72" i="46"/>
  <c r="Z72" i="46"/>
  <c r="AA72" i="46"/>
  <c r="AB72" i="46"/>
  <c r="AC72" i="46"/>
  <c r="AD72" i="46"/>
  <c r="AE72" i="46"/>
  <c r="AF72" i="46"/>
  <c r="AG72" i="46"/>
  <c r="D73" i="46"/>
  <c r="O73" i="46"/>
  <c r="P73" i="46"/>
  <c r="Q73" i="46"/>
  <c r="U73" i="46"/>
  <c r="V73" i="46"/>
  <c r="W73" i="46"/>
  <c r="X73" i="46"/>
  <c r="Y73" i="46"/>
  <c r="Z73" i="46"/>
  <c r="AA73" i="46"/>
  <c r="AB73" i="46"/>
  <c r="AC73" i="46"/>
  <c r="AD73" i="46"/>
  <c r="AE73" i="46"/>
  <c r="AF73" i="46"/>
  <c r="AG73" i="46"/>
  <c r="D74" i="46"/>
  <c r="O74" i="46"/>
  <c r="P74" i="46"/>
  <c r="Q74" i="46"/>
  <c r="U74" i="46"/>
  <c r="V74" i="46"/>
  <c r="W74" i="46"/>
  <c r="X74" i="46"/>
  <c r="Y74" i="46"/>
  <c r="Z74" i="46"/>
  <c r="AA74" i="46"/>
  <c r="AB74" i="46"/>
  <c r="AC74" i="46"/>
  <c r="AD74" i="46"/>
  <c r="AE74" i="46"/>
  <c r="AF74" i="46"/>
  <c r="AG74" i="46"/>
  <c r="D75" i="46"/>
  <c r="O75" i="46"/>
  <c r="P75" i="46"/>
  <c r="Q75" i="46"/>
  <c r="U75" i="46"/>
  <c r="V75" i="46"/>
  <c r="W75" i="46"/>
  <c r="X75" i="46"/>
  <c r="Y75" i="46"/>
  <c r="Z75" i="46"/>
  <c r="AA75" i="46"/>
  <c r="AB75" i="46"/>
  <c r="AC75" i="46"/>
  <c r="AD75" i="46"/>
  <c r="AE75" i="46"/>
  <c r="AF75" i="46"/>
  <c r="AG75" i="46"/>
  <c r="D76" i="46"/>
  <c r="O76" i="46"/>
  <c r="P76" i="46"/>
  <c r="Q76" i="46"/>
  <c r="U76" i="46"/>
  <c r="V76" i="46"/>
  <c r="W76" i="46"/>
  <c r="X76" i="46"/>
  <c r="Y76" i="46"/>
  <c r="Z76" i="46"/>
  <c r="AA76" i="46"/>
  <c r="AB76" i="46"/>
  <c r="AC76" i="46"/>
  <c r="AD76" i="46"/>
  <c r="AE76" i="46"/>
  <c r="AF76" i="46"/>
  <c r="AG76" i="46"/>
  <c r="D77" i="46"/>
  <c r="O77" i="46"/>
  <c r="P77" i="46"/>
  <c r="Q77" i="46"/>
  <c r="U77" i="46"/>
  <c r="V77" i="46"/>
  <c r="W77" i="46"/>
  <c r="X77" i="46"/>
  <c r="Y77" i="46"/>
  <c r="Z77" i="46"/>
  <c r="AA77" i="46"/>
  <c r="AB77" i="46"/>
  <c r="AC77" i="46"/>
  <c r="AD77" i="46"/>
  <c r="AE77" i="46"/>
  <c r="AF77" i="46"/>
  <c r="AG77" i="46"/>
  <c r="D78" i="46"/>
  <c r="O78" i="46"/>
  <c r="P78" i="46"/>
  <c r="Q78" i="46"/>
  <c r="U78" i="46"/>
  <c r="V78" i="46"/>
  <c r="W78" i="46"/>
  <c r="X78" i="46"/>
  <c r="Y78" i="46"/>
  <c r="Z78" i="46"/>
  <c r="AA78" i="46"/>
  <c r="AB78" i="46"/>
  <c r="AC78" i="46"/>
  <c r="AD78" i="46"/>
  <c r="AE78" i="46"/>
  <c r="AF78" i="46"/>
  <c r="AG78" i="46"/>
  <c r="D79" i="46"/>
  <c r="O79" i="46"/>
  <c r="P79" i="46"/>
  <c r="Q79" i="46"/>
  <c r="U79" i="46"/>
  <c r="V79" i="46"/>
  <c r="W79" i="46"/>
  <c r="X79" i="46"/>
  <c r="Y79" i="46"/>
  <c r="Z79" i="46"/>
  <c r="AA79" i="46"/>
  <c r="AB79" i="46"/>
  <c r="AC79" i="46"/>
  <c r="AD79" i="46"/>
  <c r="AE79" i="46"/>
  <c r="AF79" i="46"/>
  <c r="AG79" i="46"/>
  <c r="D80" i="46"/>
  <c r="O80" i="46"/>
  <c r="P80" i="46"/>
  <c r="Q80" i="46"/>
  <c r="U80" i="46"/>
  <c r="V80" i="46"/>
  <c r="W80" i="46"/>
  <c r="X80" i="46"/>
  <c r="Y80" i="46"/>
  <c r="Z80" i="46"/>
  <c r="AA80" i="46"/>
  <c r="AB80" i="46"/>
  <c r="AC80" i="46"/>
  <c r="AD80" i="46"/>
  <c r="AE80" i="46"/>
  <c r="AF80" i="46"/>
  <c r="AG80" i="46"/>
  <c r="D81" i="46"/>
  <c r="O81" i="46"/>
  <c r="P81" i="46"/>
  <c r="Q81" i="46"/>
  <c r="U81" i="46"/>
  <c r="V81" i="46"/>
  <c r="W81" i="46"/>
  <c r="X81" i="46"/>
  <c r="Y81" i="46"/>
  <c r="Z81" i="46"/>
  <c r="AA81" i="46"/>
  <c r="AB81" i="46"/>
  <c r="AC81" i="46"/>
  <c r="AD81" i="46"/>
  <c r="AE81" i="46"/>
  <c r="AF81" i="46"/>
  <c r="AG81" i="46"/>
  <c r="D82" i="46"/>
  <c r="O82" i="46"/>
  <c r="P82" i="46"/>
  <c r="Q82" i="46"/>
  <c r="U82" i="46"/>
  <c r="V82" i="46"/>
  <c r="W82" i="46"/>
  <c r="X82" i="46"/>
  <c r="Y82" i="46"/>
  <c r="Z82" i="46"/>
  <c r="AA82" i="46"/>
  <c r="AB82" i="46"/>
  <c r="AC82" i="46"/>
  <c r="AD82" i="46"/>
  <c r="AE82" i="46"/>
  <c r="AF82" i="46"/>
  <c r="AG82" i="46"/>
  <c r="D83" i="46"/>
  <c r="O83" i="46"/>
  <c r="P83" i="46"/>
  <c r="Q83" i="46"/>
  <c r="U83" i="46"/>
  <c r="V83" i="46"/>
  <c r="W83" i="46"/>
  <c r="X83" i="46"/>
  <c r="Y83" i="46"/>
  <c r="Z83" i="46"/>
  <c r="AA83" i="46"/>
  <c r="AB83" i="46"/>
  <c r="AC83" i="46"/>
  <c r="AD83" i="46"/>
  <c r="AE83" i="46"/>
  <c r="AF83" i="46"/>
  <c r="AG83" i="46"/>
  <c r="D84" i="46"/>
  <c r="O84" i="46"/>
  <c r="P84" i="46"/>
  <c r="Q84" i="46"/>
  <c r="U84" i="46"/>
  <c r="V84" i="46"/>
  <c r="W84" i="46"/>
  <c r="X84" i="46"/>
  <c r="Y84" i="46"/>
  <c r="Z84" i="46"/>
  <c r="AA84" i="46"/>
  <c r="AB84" i="46"/>
  <c r="AC84" i="46"/>
  <c r="AD84" i="46"/>
  <c r="AE84" i="46"/>
  <c r="AF84" i="46"/>
  <c r="AG84" i="46"/>
  <c r="D85" i="46"/>
  <c r="O85" i="46"/>
  <c r="P85" i="46"/>
  <c r="Q85" i="46"/>
  <c r="U85" i="46"/>
  <c r="V85" i="46"/>
  <c r="W85" i="46"/>
  <c r="X85" i="46"/>
  <c r="Y85" i="46"/>
  <c r="Z85" i="46"/>
  <c r="AA85" i="46"/>
  <c r="AB85" i="46"/>
  <c r="AC85" i="46"/>
  <c r="AD85" i="46"/>
  <c r="AE85" i="46"/>
  <c r="AF85" i="46"/>
  <c r="AG85" i="46"/>
  <c r="D86" i="46"/>
  <c r="O86" i="46"/>
  <c r="P86" i="46"/>
  <c r="Q86" i="46"/>
  <c r="U86" i="46"/>
  <c r="V86" i="46"/>
  <c r="W86" i="46"/>
  <c r="X86" i="46"/>
  <c r="Y86" i="46"/>
  <c r="Z86" i="46"/>
  <c r="AA86" i="46"/>
  <c r="AB86" i="46"/>
  <c r="AC86" i="46"/>
  <c r="AD86" i="46"/>
  <c r="AE86" i="46"/>
  <c r="AF86" i="46"/>
  <c r="AG86" i="46"/>
  <c r="D87" i="46"/>
  <c r="O87" i="46"/>
  <c r="P87" i="46"/>
  <c r="Q87" i="46"/>
  <c r="U87" i="46"/>
  <c r="V87" i="46"/>
  <c r="W87" i="46"/>
  <c r="X87" i="46"/>
  <c r="Y87" i="46"/>
  <c r="Z87" i="46"/>
  <c r="AA87" i="46"/>
  <c r="AB87" i="46"/>
  <c r="AC87" i="46"/>
  <c r="AD87" i="46"/>
  <c r="AE87" i="46"/>
  <c r="AF87" i="46"/>
  <c r="AG87" i="46"/>
  <c r="D88" i="46"/>
  <c r="O88" i="46"/>
  <c r="P88" i="46"/>
  <c r="Q88" i="46"/>
  <c r="U88" i="46"/>
  <c r="V88" i="46"/>
  <c r="W88" i="46"/>
  <c r="X88" i="46"/>
  <c r="Y88" i="46"/>
  <c r="Z88" i="46"/>
  <c r="AA88" i="46"/>
  <c r="AB88" i="46"/>
  <c r="AC88" i="46"/>
  <c r="AD88" i="46"/>
  <c r="AE88" i="46"/>
  <c r="AF88" i="46"/>
  <c r="AG88" i="46"/>
  <c r="D89" i="46"/>
  <c r="O89" i="46"/>
  <c r="P89" i="46"/>
  <c r="Q89" i="46"/>
  <c r="U89" i="46"/>
  <c r="V89" i="46"/>
  <c r="W89" i="46"/>
  <c r="X89" i="46"/>
  <c r="Y89" i="46"/>
  <c r="Z89" i="46"/>
  <c r="AA89" i="46"/>
  <c r="AB89" i="46"/>
  <c r="AC89" i="46"/>
  <c r="AD89" i="46"/>
  <c r="AE89" i="46"/>
  <c r="AF89" i="46"/>
  <c r="AG89" i="46"/>
  <c r="D90" i="46"/>
  <c r="O90" i="46"/>
  <c r="P90" i="46"/>
  <c r="Q90" i="46"/>
  <c r="U90" i="46"/>
  <c r="V90" i="46"/>
  <c r="W90" i="46"/>
  <c r="X90" i="46"/>
  <c r="Y90" i="46"/>
  <c r="Z90" i="46"/>
  <c r="AA90" i="46"/>
  <c r="AB90" i="46"/>
  <c r="AC90" i="46"/>
  <c r="AD90" i="46"/>
  <c r="AE90" i="46"/>
  <c r="AF90" i="46"/>
  <c r="AG90" i="46"/>
  <c r="D91" i="46"/>
  <c r="O91" i="46"/>
  <c r="P91" i="46"/>
  <c r="Q91" i="46"/>
  <c r="U91" i="46"/>
  <c r="V91" i="46"/>
  <c r="W91" i="46"/>
  <c r="X91" i="46"/>
  <c r="Y91" i="46"/>
  <c r="Z91" i="46"/>
  <c r="AA91" i="46"/>
  <c r="AB91" i="46"/>
  <c r="AC91" i="46"/>
  <c r="AD91" i="46"/>
  <c r="AE91" i="46"/>
  <c r="AF91" i="46"/>
  <c r="AG91" i="46"/>
  <c r="D92" i="46"/>
  <c r="O92" i="46"/>
  <c r="P92" i="46"/>
  <c r="Q92" i="46"/>
  <c r="U92" i="46"/>
  <c r="V92" i="46"/>
  <c r="W92" i="46"/>
  <c r="X92" i="46"/>
  <c r="Y92" i="46"/>
  <c r="Z92" i="46"/>
  <c r="AA92" i="46"/>
  <c r="AB92" i="46"/>
  <c r="AC92" i="46"/>
  <c r="AD92" i="46"/>
  <c r="AE92" i="46"/>
  <c r="AF92" i="46"/>
  <c r="AG92" i="46"/>
  <c r="D93" i="46"/>
  <c r="O93" i="46"/>
  <c r="P93" i="46"/>
  <c r="Q93" i="46"/>
  <c r="U93" i="46"/>
  <c r="V93" i="46"/>
  <c r="W93" i="46"/>
  <c r="X93" i="46"/>
  <c r="Y93" i="46"/>
  <c r="Z93" i="46"/>
  <c r="AA93" i="46"/>
  <c r="AB93" i="46"/>
  <c r="AC93" i="46"/>
  <c r="AD93" i="46"/>
  <c r="AE93" i="46"/>
  <c r="AF93" i="46"/>
  <c r="AG93" i="46"/>
  <c r="D94" i="46"/>
  <c r="O94" i="46"/>
  <c r="P94" i="46"/>
  <c r="Q94" i="46"/>
  <c r="U94" i="46"/>
  <c r="V94" i="46"/>
  <c r="W94" i="46"/>
  <c r="X94" i="46"/>
  <c r="Y94" i="46"/>
  <c r="Z94" i="46"/>
  <c r="AA94" i="46"/>
  <c r="AB94" i="46"/>
  <c r="AC94" i="46"/>
  <c r="AD94" i="46"/>
  <c r="AE94" i="46"/>
  <c r="AF94" i="46"/>
  <c r="AG94" i="46"/>
  <c r="D95" i="46"/>
  <c r="O95" i="46"/>
  <c r="P95" i="46"/>
  <c r="Q95" i="46"/>
  <c r="U95" i="46"/>
  <c r="V95" i="46"/>
  <c r="W95" i="46"/>
  <c r="X95" i="46"/>
  <c r="Y95" i="46"/>
  <c r="Z95" i="46"/>
  <c r="AA95" i="46"/>
  <c r="AB95" i="46"/>
  <c r="AC95" i="46"/>
  <c r="AD95" i="46"/>
  <c r="AE95" i="46"/>
  <c r="AF95" i="46"/>
  <c r="AG95" i="46"/>
  <c r="D96" i="46"/>
  <c r="O96" i="46"/>
  <c r="P96" i="46"/>
  <c r="Q96" i="46"/>
  <c r="U96" i="46"/>
  <c r="V96" i="46"/>
  <c r="W96" i="46"/>
  <c r="X96" i="46"/>
  <c r="Y96" i="46"/>
  <c r="Z96" i="46"/>
  <c r="AA96" i="46"/>
  <c r="AB96" i="46"/>
  <c r="AC96" i="46"/>
  <c r="AD96" i="46"/>
  <c r="AE96" i="46"/>
  <c r="AF96" i="46"/>
  <c r="AG96" i="46"/>
  <c r="D97" i="46"/>
  <c r="O97" i="46"/>
  <c r="P97" i="46"/>
  <c r="Q97" i="46"/>
  <c r="U97" i="46"/>
  <c r="V97" i="46"/>
  <c r="W97" i="46"/>
  <c r="X97" i="46"/>
  <c r="Y97" i="46"/>
  <c r="Z97" i="46"/>
  <c r="AA97" i="46"/>
  <c r="AB97" i="46"/>
  <c r="AC97" i="46"/>
  <c r="AD97" i="46"/>
  <c r="AE97" i="46"/>
  <c r="AF97" i="46"/>
  <c r="AG97" i="46"/>
  <c r="D98" i="46"/>
  <c r="O98" i="46"/>
  <c r="P98" i="46"/>
  <c r="Q98" i="46"/>
  <c r="U98" i="46"/>
  <c r="V98" i="46"/>
  <c r="W98" i="46"/>
  <c r="X98" i="46"/>
  <c r="Y98" i="46"/>
  <c r="Z98" i="46"/>
  <c r="AA98" i="46"/>
  <c r="AB98" i="46"/>
  <c r="AC98" i="46"/>
  <c r="AD98" i="46"/>
  <c r="AE98" i="46"/>
  <c r="AF98" i="46"/>
  <c r="AG98" i="46"/>
  <c r="D99" i="46"/>
  <c r="O99" i="46"/>
  <c r="P99" i="46"/>
  <c r="Q99" i="46"/>
  <c r="U99" i="46"/>
  <c r="V99" i="46"/>
  <c r="W99" i="46"/>
  <c r="X99" i="46"/>
  <c r="Y99" i="46"/>
  <c r="Z99" i="46"/>
  <c r="AA99" i="46"/>
  <c r="AB99" i="46"/>
  <c r="AC99" i="46"/>
  <c r="AD99" i="46"/>
  <c r="AE99" i="46"/>
  <c r="AF99" i="46"/>
  <c r="AG99" i="46"/>
  <c r="D100" i="46"/>
  <c r="O100" i="46"/>
  <c r="P100" i="46"/>
  <c r="Q100" i="46"/>
  <c r="U100" i="46"/>
  <c r="V100" i="46"/>
  <c r="W100" i="46"/>
  <c r="X100" i="46"/>
  <c r="Y100" i="46"/>
  <c r="Z100" i="46"/>
  <c r="AA100" i="46"/>
  <c r="AB100" i="46"/>
  <c r="AC100" i="46"/>
  <c r="AD100" i="46"/>
  <c r="AE100" i="46"/>
  <c r="AF100" i="46"/>
  <c r="AG100" i="46"/>
  <c r="D101" i="46"/>
  <c r="O101" i="46"/>
  <c r="P101" i="46"/>
  <c r="Q101" i="46"/>
  <c r="U101" i="46"/>
  <c r="V101" i="46"/>
  <c r="W101" i="46"/>
  <c r="X101" i="46"/>
  <c r="Y101" i="46"/>
  <c r="Z101" i="46"/>
  <c r="AA101" i="46"/>
  <c r="AB101" i="46"/>
  <c r="AC101" i="46"/>
  <c r="AD101" i="46"/>
  <c r="AE101" i="46"/>
  <c r="AF101" i="46"/>
  <c r="AG101" i="46"/>
  <c r="D102" i="46"/>
  <c r="O102" i="46"/>
  <c r="P102" i="46"/>
  <c r="Q102" i="46"/>
  <c r="U102" i="46"/>
  <c r="V102" i="46"/>
  <c r="W102" i="46"/>
  <c r="X102" i="46"/>
  <c r="Y102" i="46"/>
  <c r="Z102" i="46"/>
  <c r="AA102" i="46"/>
  <c r="AB102" i="46"/>
  <c r="AC102" i="46"/>
  <c r="AD102" i="46"/>
  <c r="AE102" i="46"/>
  <c r="AF102" i="46"/>
  <c r="AG102" i="46"/>
  <c r="D103" i="46"/>
  <c r="O103" i="46"/>
  <c r="P103" i="46"/>
  <c r="Q103" i="46"/>
  <c r="U103" i="46"/>
  <c r="V103" i="46"/>
  <c r="W103" i="46"/>
  <c r="X103" i="46"/>
  <c r="Y103" i="46"/>
  <c r="Z103" i="46"/>
  <c r="AA103" i="46"/>
  <c r="AB103" i="46"/>
  <c r="AC103" i="46"/>
  <c r="AD103" i="46"/>
  <c r="AE103" i="46"/>
  <c r="AF103" i="46"/>
  <c r="AG103" i="46"/>
  <c r="D104" i="46"/>
  <c r="O104" i="46"/>
  <c r="P104" i="46"/>
  <c r="Q104" i="46"/>
  <c r="U104" i="46"/>
  <c r="V104" i="46"/>
  <c r="W104" i="46"/>
  <c r="X104" i="46"/>
  <c r="Y104" i="46"/>
  <c r="Z104" i="46"/>
  <c r="AA104" i="46"/>
  <c r="AB104" i="46"/>
  <c r="AC104" i="46"/>
  <c r="AD104" i="46"/>
  <c r="AE104" i="46"/>
  <c r="AF104" i="46"/>
  <c r="AG104" i="46"/>
  <c r="D105" i="46"/>
  <c r="O105" i="46"/>
  <c r="P105" i="46"/>
  <c r="Q105" i="46"/>
  <c r="U105" i="46"/>
  <c r="V105" i="46"/>
  <c r="W105" i="46"/>
  <c r="X105" i="46"/>
  <c r="Y105" i="46"/>
  <c r="Z105" i="46"/>
  <c r="AA105" i="46"/>
  <c r="AB105" i="46"/>
  <c r="AC105" i="46"/>
  <c r="AD105" i="46"/>
  <c r="AE105" i="46"/>
  <c r="AF105" i="46"/>
  <c r="AG105" i="46"/>
  <c r="D106" i="46"/>
  <c r="O106" i="46"/>
  <c r="P106" i="46"/>
  <c r="Q106" i="46"/>
  <c r="U106" i="46"/>
  <c r="V106" i="46"/>
  <c r="W106" i="46"/>
  <c r="X106" i="46"/>
  <c r="Y106" i="46"/>
  <c r="Z106" i="46"/>
  <c r="AA106" i="46"/>
  <c r="AB106" i="46"/>
  <c r="AC106" i="46"/>
  <c r="AD106" i="46"/>
  <c r="AE106" i="46"/>
  <c r="AF106" i="46"/>
  <c r="AG106" i="46"/>
  <c r="D107" i="46"/>
  <c r="O107" i="46"/>
  <c r="P107" i="46"/>
  <c r="Q107" i="46"/>
  <c r="U107" i="46"/>
  <c r="V107" i="46"/>
  <c r="W107" i="46"/>
  <c r="X107" i="46"/>
  <c r="Y107" i="46"/>
  <c r="Z107" i="46"/>
  <c r="AA107" i="46"/>
  <c r="AB107" i="46"/>
  <c r="AC107" i="46"/>
  <c r="AD107" i="46"/>
  <c r="AE107" i="46"/>
  <c r="AF107" i="46"/>
  <c r="AG107" i="46"/>
  <c r="D108" i="46"/>
  <c r="O108" i="46"/>
  <c r="P108" i="46"/>
  <c r="Q108" i="46"/>
  <c r="U108" i="46"/>
  <c r="V108" i="46"/>
  <c r="W108" i="46"/>
  <c r="X108" i="46"/>
  <c r="Y108" i="46"/>
  <c r="Z108" i="46"/>
  <c r="AA108" i="46"/>
  <c r="AB108" i="46"/>
  <c r="AC108" i="46"/>
  <c r="AD108" i="46"/>
  <c r="AE108" i="46"/>
  <c r="AF108" i="46"/>
  <c r="AG108" i="46"/>
  <c r="D109" i="46"/>
  <c r="O109" i="46"/>
  <c r="P109" i="46"/>
  <c r="Q109" i="46"/>
  <c r="U109" i="46"/>
  <c r="V109" i="46"/>
  <c r="W109" i="46"/>
  <c r="X109" i="46"/>
  <c r="Y109" i="46"/>
  <c r="Z109" i="46"/>
  <c r="AA109" i="46"/>
  <c r="AB109" i="46"/>
  <c r="AC109" i="46"/>
  <c r="AD109" i="46"/>
  <c r="AE109" i="46"/>
  <c r="AF109" i="46"/>
  <c r="AG109" i="46"/>
  <c r="D110" i="46"/>
  <c r="O110" i="46"/>
  <c r="P110" i="46"/>
  <c r="Q110" i="46"/>
  <c r="U110" i="46"/>
  <c r="V110" i="46"/>
  <c r="W110" i="46"/>
  <c r="X110" i="46"/>
  <c r="Y110" i="46"/>
  <c r="Z110" i="46"/>
  <c r="AA110" i="46"/>
  <c r="AB110" i="46"/>
  <c r="AC110" i="46"/>
  <c r="AD110" i="46"/>
  <c r="AE110" i="46"/>
  <c r="AF110" i="46"/>
  <c r="AG110" i="46"/>
  <c r="D111" i="46"/>
  <c r="O111" i="46"/>
  <c r="P111" i="46"/>
  <c r="Q111" i="46"/>
  <c r="U111" i="46"/>
  <c r="V111" i="46"/>
  <c r="W111" i="46"/>
  <c r="X111" i="46"/>
  <c r="Y111" i="46"/>
  <c r="Z111" i="46"/>
  <c r="AA111" i="46"/>
  <c r="AB111" i="46"/>
  <c r="AC111" i="46"/>
  <c r="AD111" i="46"/>
  <c r="AE111" i="46"/>
  <c r="AF111" i="46"/>
  <c r="AG111" i="46"/>
  <c r="D112" i="46"/>
  <c r="O112" i="46"/>
  <c r="P112" i="46"/>
  <c r="Q112" i="46"/>
  <c r="U112" i="46"/>
  <c r="V112" i="46"/>
  <c r="W112" i="46"/>
  <c r="X112" i="46"/>
  <c r="Y112" i="46"/>
  <c r="Z112" i="46"/>
  <c r="AA112" i="46"/>
  <c r="AB112" i="46"/>
  <c r="AC112" i="46"/>
  <c r="AD112" i="46"/>
  <c r="AE112" i="46"/>
  <c r="AF112" i="46"/>
  <c r="AG112" i="46"/>
  <c r="D113" i="46"/>
  <c r="O113" i="46"/>
  <c r="P113" i="46"/>
  <c r="Q113" i="46"/>
  <c r="U113" i="46"/>
  <c r="V113" i="46"/>
  <c r="W113" i="46"/>
  <c r="X113" i="46"/>
  <c r="Y113" i="46"/>
  <c r="Z113" i="46"/>
  <c r="AA113" i="46"/>
  <c r="AB113" i="46"/>
  <c r="AC113" i="46"/>
  <c r="AD113" i="46"/>
  <c r="AE113" i="46"/>
  <c r="AF113" i="46"/>
  <c r="AG113" i="46"/>
  <c r="D114" i="46"/>
  <c r="O114" i="46"/>
  <c r="P114" i="46"/>
  <c r="Q114" i="46"/>
  <c r="U114" i="46"/>
  <c r="V114" i="46"/>
  <c r="W114" i="46"/>
  <c r="X114" i="46"/>
  <c r="Y114" i="46"/>
  <c r="Z114" i="46"/>
  <c r="AA114" i="46"/>
  <c r="AB114" i="46"/>
  <c r="AC114" i="46"/>
  <c r="AD114" i="46"/>
  <c r="AE114" i="46"/>
  <c r="AF114" i="46"/>
  <c r="AG114" i="46"/>
  <c r="D115" i="46"/>
  <c r="O115" i="46"/>
  <c r="P115" i="46"/>
  <c r="Q115" i="46"/>
  <c r="U115" i="46"/>
  <c r="V115" i="46"/>
  <c r="W115" i="46"/>
  <c r="X115" i="46"/>
  <c r="Y115" i="46"/>
  <c r="Z115" i="46"/>
  <c r="AA115" i="46"/>
  <c r="AB115" i="46"/>
  <c r="AC115" i="46"/>
  <c r="AD115" i="46"/>
  <c r="AE115" i="46"/>
  <c r="AF115" i="46"/>
  <c r="AG115" i="46"/>
  <c r="D116" i="46"/>
  <c r="O116" i="46"/>
  <c r="P116" i="46"/>
  <c r="Q116" i="46"/>
  <c r="U116" i="46"/>
  <c r="V116" i="46"/>
  <c r="W116" i="46"/>
  <c r="X116" i="46"/>
  <c r="Y116" i="46"/>
  <c r="Z116" i="46"/>
  <c r="AA116" i="46"/>
  <c r="AB116" i="46"/>
  <c r="AC116" i="46"/>
  <c r="AD116" i="46"/>
  <c r="AE116" i="46"/>
  <c r="AF116" i="46"/>
  <c r="AG116" i="46"/>
  <c r="D117" i="46"/>
  <c r="O117" i="46"/>
  <c r="P117" i="46"/>
  <c r="Q117" i="46"/>
  <c r="U117" i="46"/>
  <c r="V117" i="46"/>
  <c r="W117" i="46"/>
  <c r="X117" i="46"/>
  <c r="Y117" i="46"/>
  <c r="Z117" i="46"/>
  <c r="AA117" i="46"/>
  <c r="AB117" i="46"/>
  <c r="AC117" i="46"/>
  <c r="AD117" i="46"/>
  <c r="AE117" i="46"/>
  <c r="AF117" i="46"/>
  <c r="AG117" i="46"/>
  <c r="D118" i="46"/>
  <c r="O118" i="46"/>
  <c r="P118" i="46"/>
  <c r="Q118" i="46"/>
  <c r="U118" i="46"/>
  <c r="V118" i="46"/>
  <c r="W118" i="46"/>
  <c r="X118" i="46"/>
  <c r="Y118" i="46"/>
  <c r="Z118" i="46"/>
  <c r="AA118" i="46"/>
  <c r="AB118" i="46"/>
  <c r="AC118" i="46"/>
  <c r="AD118" i="46"/>
  <c r="AE118" i="46"/>
  <c r="AF118" i="46"/>
  <c r="AG118" i="46"/>
  <c r="D119" i="46"/>
  <c r="O119" i="46"/>
  <c r="P119" i="46"/>
  <c r="Q119" i="46"/>
  <c r="U119" i="46"/>
  <c r="V119" i="46"/>
  <c r="W119" i="46"/>
  <c r="X119" i="46"/>
  <c r="Y119" i="46"/>
  <c r="Z119" i="46"/>
  <c r="AA119" i="46"/>
  <c r="AB119" i="46"/>
  <c r="AC119" i="46"/>
  <c r="AD119" i="46"/>
  <c r="AE119" i="46"/>
  <c r="AF119" i="46"/>
  <c r="AG119" i="46"/>
  <c r="D120" i="46"/>
  <c r="O120" i="46"/>
  <c r="P120" i="46"/>
  <c r="Q120" i="46"/>
  <c r="U120" i="46"/>
  <c r="V120" i="46"/>
  <c r="W120" i="46"/>
  <c r="X120" i="46"/>
  <c r="Y120" i="46"/>
  <c r="Z120" i="46"/>
  <c r="AA120" i="46"/>
  <c r="AB120" i="46"/>
  <c r="AC120" i="46"/>
  <c r="AD120" i="46"/>
  <c r="AE120" i="46"/>
  <c r="AF120" i="46"/>
  <c r="AG120" i="46"/>
  <c r="D121" i="46"/>
  <c r="O121" i="46"/>
  <c r="P121" i="46"/>
  <c r="Q121" i="46"/>
  <c r="U121" i="46"/>
  <c r="V121" i="46"/>
  <c r="W121" i="46"/>
  <c r="X121" i="46"/>
  <c r="Y121" i="46"/>
  <c r="Z121" i="46"/>
  <c r="AA121" i="46"/>
  <c r="AB121" i="46"/>
  <c r="AC121" i="46"/>
  <c r="AD121" i="46"/>
  <c r="AE121" i="46"/>
  <c r="AF121" i="46"/>
  <c r="AG121" i="46"/>
  <c r="D122" i="46"/>
  <c r="O122" i="46"/>
  <c r="P122" i="46"/>
  <c r="Q122" i="46"/>
  <c r="U122" i="46"/>
  <c r="V122" i="46"/>
  <c r="W122" i="46"/>
  <c r="X122" i="46"/>
  <c r="Y122" i="46"/>
  <c r="Z122" i="46"/>
  <c r="AA122" i="46"/>
  <c r="AB122" i="46"/>
  <c r="AC122" i="46"/>
  <c r="AD122" i="46"/>
  <c r="AE122" i="46"/>
  <c r="AF122" i="46"/>
  <c r="AG122" i="46"/>
  <c r="D123" i="46"/>
  <c r="O123" i="46"/>
  <c r="P123" i="46"/>
  <c r="Q123" i="46"/>
  <c r="U123" i="46"/>
  <c r="V123" i="46"/>
  <c r="W123" i="46"/>
  <c r="X123" i="46"/>
  <c r="Y123" i="46"/>
  <c r="Z123" i="46"/>
  <c r="AA123" i="46"/>
  <c r="AB123" i="46"/>
  <c r="AC123" i="46"/>
  <c r="AD123" i="46"/>
  <c r="AE123" i="46"/>
  <c r="AF123" i="46"/>
  <c r="AG123" i="46"/>
  <c r="D124" i="46"/>
  <c r="O124" i="46"/>
  <c r="P124" i="46"/>
  <c r="Q124" i="46"/>
  <c r="U124" i="46"/>
  <c r="V124" i="46"/>
  <c r="W124" i="46"/>
  <c r="X124" i="46"/>
  <c r="Y124" i="46"/>
  <c r="Z124" i="46"/>
  <c r="AA124" i="46"/>
  <c r="AB124" i="46"/>
  <c r="AC124" i="46"/>
  <c r="AD124" i="46"/>
  <c r="AE124" i="46"/>
  <c r="AF124" i="46"/>
  <c r="AG124" i="46"/>
  <c r="D23" i="48"/>
  <c r="O23" i="48"/>
  <c r="P23" i="48"/>
  <c r="Q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D24" i="48"/>
  <c r="O24" i="48"/>
  <c r="P24" i="48"/>
  <c r="Q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D25" i="48"/>
  <c r="O25" i="48"/>
  <c r="P25" i="48"/>
  <c r="Q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D26" i="48"/>
  <c r="O26" i="48"/>
  <c r="P26" i="48"/>
  <c r="Q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D27" i="48"/>
  <c r="O27" i="48"/>
  <c r="P27" i="48"/>
  <c r="Q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D28" i="48"/>
  <c r="O28" i="48"/>
  <c r="P28" i="48"/>
  <c r="Q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D29" i="48"/>
  <c r="O29" i="48"/>
  <c r="P29" i="48"/>
  <c r="Q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D30" i="48"/>
  <c r="O30" i="48"/>
  <c r="P30" i="48"/>
  <c r="Q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D31" i="48"/>
  <c r="O31" i="48"/>
  <c r="P31" i="48"/>
  <c r="Q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D32" i="48"/>
  <c r="O32" i="48"/>
  <c r="P32" i="48"/>
  <c r="Q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D33" i="48"/>
  <c r="O33" i="48"/>
  <c r="P33" i="48"/>
  <c r="Q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D34" i="48"/>
  <c r="O34" i="48"/>
  <c r="P34" i="48"/>
  <c r="Q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D35" i="48"/>
  <c r="O35" i="48"/>
  <c r="P35" i="48"/>
  <c r="Q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D36" i="48"/>
  <c r="O36" i="48"/>
  <c r="P36" i="48"/>
  <c r="Q36" i="48"/>
  <c r="U36" i="48"/>
  <c r="V36" i="48"/>
  <c r="W36" i="48"/>
  <c r="X36" i="48"/>
  <c r="Y36" i="48"/>
  <c r="Z36" i="48"/>
  <c r="AA36" i="48"/>
  <c r="AB36" i="48"/>
  <c r="AC36" i="48"/>
  <c r="AD36" i="48"/>
  <c r="AE36" i="48"/>
  <c r="AF36" i="48"/>
  <c r="AG36" i="48"/>
  <c r="D37" i="48"/>
  <c r="O37" i="48"/>
  <c r="P37" i="48"/>
  <c r="Q37" i="48"/>
  <c r="U37" i="48"/>
  <c r="V37" i="48"/>
  <c r="W37" i="48"/>
  <c r="X37" i="48"/>
  <c r="Y37" i="48"/>
  <c r="Z37" i="48"/>
  <c r="AA37" i="48"/>
  <c r="AB37" i="48"/>
  <c r="AC37" i="48"/>
  <c r="AD37" i="48"/>
  <c r="AE37" i="48"/>
  <c r="AF37" i="48"/>
  <c r="AG37" i="48"/>
  <c r="D38" i="48"/>
  <c r="O38" i="48"/>
  <c r="P38" i="48"/>
  <c r="Q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D39" i="48"/>
  <c r="O39" i="48"/>
  <c r="P39" i="48"/>
  <c r="Q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D40" i="48"/>
  <c r="O40" i="48"/>
  <c r="P40" i="48"/>
  <c r="Q40" i="48"/>
  <c r="U40" i="48"/>
  <c r="V40" i="48"/>
  <c r="W40" i="48"/>
  <c r="X40" i="48"/>
  <c r="Y40" i="48"/>
  <c r="Z40" i="48"/>
  <c r="AA40" i="48"/>
  <c r="AB40" i="48"/>
  <c r="AC40" i="48"/>
  <c r="AD40" i="48"/>
  <c r="AE40" i="48"/>
  <c r="AF40" i="48"/>
  <c r="AG40" i="48"/>
  <c r="D41" i="48"/>
  <c r="O41" i="48"/>
  <c r="P41" i="48"/>
  <c r="Q41" i="48"/>
  <c r="U41" i="48"/>
  <c r="V41" i="48"/>
  <c r="W41" i="48"/>
  <c r="X41" i="48"/>
  <c r="Y41" i="48"/>
  <c r="Z41" i="48"/>
  <c r="AA41" i="48"/>
  <c r="AB41" i="48"/>
  <c r="AC41" i="48"/>
  <c r="AD41" i="48"/>
  <c r="AE41" i="48"/>
  <c r="AF41" i="48"/>
  <c r="AG41" i="48"/>
  <c r="D42" i="48"/>
  <c r="O42" i="48"/>
  <c r="P42" i="48"/>
  <c r="Q42" i="48"/>
  <c r="U42" i="48"/>
  <c r="V42" i="48"/>
  <c r="W42" i="48"/>
  <c r="X42" i="48"/>
  <c r="Y42" i="48"/>
  <c r="Z42" i="48"/>
  <c r="AA42" i="48"/>
  <c r="AB42" i="48"/>
  <c r="AC42" i="48"/>
  <c r="AD42" i="48"/>
  <c r="AE42" i="48"/>
  <c r="AF42" i="48"/>
  <c r="AG42" i="48"/>
  <c r="D43" i="48"/>
  <c r="O43" i="48"/>
  <c r="P43" i="48"/>
  <c r="Q43" i="48"/>
  <c r="U43" i="48"/>
  <c r="V43" i="48"/>
  <c r="W43" i="48"/>
  <c r="X43" i="48"/>
  <c r="Y43" i="48"/>
  <c r="Z43" i="48"/>
  <c r="AA43" i="48"/>
  <c r="AB43" i="48"/>
  <c r="AC43" i="48"/>
  <c r="AD43" i="48"/>
  <c r="AE43" i="48"/>
  <c r="AF43" i="48"/>
  <c r="AG43" i="48"/>
  <c r="D44" i="48"/>
  <c r="O44" i="48"/>
  <c r="P44" i="48"/>
  <c r="Q44" i="48"/>
  <c r="U44" i="48"/>
  <c r="V44" i="48"/>
  <c r="W44" i="48"/>
  <c r="X44" i="48"/>
  <c r="Y44" i="48"/>
  <c r="Z44" i="48"/>
  <c r="AA44" i="48"/>
  <c r="AB44" i="48"/>
  <c r="AC44" i="48"/>
  <c r="AD44" i="48"/>
  <c r="AE44" i="48"/>
  <c r="AF44" i="48"/>
  <c r="AG44" i="48"/>
  <c r="D45" i="48"/>
  <c r="O45" i="48"/>
  <c r="P45" i="48"/>
  <c r="Q45" i="48"/>
  <c r="U45" i="48"/>
  <c r="V45" i="48"/>
  <c r="W45" i="48"/>
  <c r="X45" i="48"/>
  <c r="Y45" i="48"/>
  <c r="Z45" i="48"/>
  <c r="AA45" i="48"/>
  <c r="AB45" i="48"/>
  <c r="AC45" i="48"/>
  <c r="AD45" i="48"/>
  <c r="AE45" i="48"/>
  <c r="AF45" i="48"/>
  <c r="AG45" i="48"/>
  <c r="D46" i="48"/>
  <c r="O46" i="48"/>
  <c r="P46" i="48"/>
  <c r="Q46" i="48"/>
  <c r="U46" i="48"/>
  <c r="V46" i="48"/>
  <c r="W46" i="48"/>
  <c r="X46" i="48"/>
  <c r="Y46" i="48"/>
  <c r="Z46" i="48"/>
  <c r="AA46" i="48"/>
  <c r="AB46" i="48"/>
  <c r="AC46" i="48"/>
  <c r="AD46" i="48"/>
  <c r="AE46" i="48"/>
  <c r="AF46" i="48"/>
  <c r="AG46" i="48"/>
  <c r="D47" i="48"/>
  <c r="O47" i="48"/>
  <c r="P47" i="48"/>
  <c r="Q47" i="48"/>
  <c r="U47" i="48"/>
  <c r="V47" i="48"/>
  <c r="W47" i="48"/>
  <c r="X47" i="48"/>
  <c r="Y47" i="48"/>
  <c r="Z47" i="48"/>
  <c r="AA47" i="48"/>
  <c r="AB47" i="48"/>
  <c r="AC47" i="48"/>
  <c r="AD47" i="48"/>
  <c r="AE47" i="48"/>
  <c r="AF47" i="48"/>
  <c r="AG47" i="48"/>
  <c r="D48" i="48"/>
  <c r="O48" i="48"/>
  <c r="P48" i="48"/>
  <c r="Q48" i="48"/>
  <c r="U48" i="48"/>
  <c r="V48" i="48"/>
  <c r="W48" i="48"/>
  <c r="X48" i="48"/>
  <c r="Y48" i="48"/>
  <c r="Z48" i="48"/>
  <c r="AA48" i="48"/>
  <c r="AB48" i="48"/>
  <c r="AC48" i="48"/>
  <c r="AD48" i="48"/>
  <c r="AE48" i="48"/>
  <c r="AF48" i="48"/>
  <c r="AG48" i="48"/>
  <c r="D49" i="48"/>
  <c r="O49" i="48"/>
  <c r="P49" i="48"/>
  <c r="Q49" i="48"/>
  <c r="U49" i="48"/>
  <c r="V49" i="48"/>
  <c r="W49" i="48"/>
  <c r="X49" i="48"/>
  <c r="Y49" i="48"/>
  <c r="Z49" i="48"/>
  <c r="AA49" i="48"/>
  <c r="AB49" i="48"/>
  <c r="AC49" i="48"/>
  <c r="AD49" i="48"/>
  <c r="AE49" i="48"/>
  <c r="AF49" i="48"/>
  <c r="AG49" i="48"/>
  <c r="D50" i="48"/>
  <c r="O50" i="48"/>
  <c r="P50" i="48"/>
  <c r="Q50" i="48"/>
  <c r="U50" i="48"/>
  <c r="V50" i="48"/>
  <c r="W50" i="48"/>
  <c r="X50" i="48"/>
  <c r="Y50" i="48"/>
  <c r="Z50" i="48"/>
  <c r="AA50" i="48"/>
  <c r="AB50" i="48"/>
  <c r="AC50" i="48"/>
  <c r="AD50" i="48"/>
  <c r="AE50" i="48"/>
  <c r="AF50" i="48"/>
  <c r="AG50" i="48"/>
  <c r="D51" i="48"/>
  <c r="O51" i="48"/>
  <c r="P51" i="48"/>
  <c r="Q51" i="48"/>
  <c r="U51" i="48"/>
  <c r="V51" i="48"/>
  <c r="W51" i="48"/>
  <c r="X51" i="48"/>
  <c r="Y51" i="48"/>
  <c r="Z51" i="48"/>
  <c r="AA51" i="48"/>
  <c r="AB51" i="48"/>
  <c r="AC51" i="48"/>
  <c r="AD51" i="48"/>
  <c r="AE51" i="48"/>
  <c r="AF51" i="48"/>
  <c r="AG51" i="48"/>
  <c r="D52" i="48"/>
  <c r="O52" i="48"/>
  <c r="P52" i="48"/>
  <c r="Q52" i="48"/>
  <c r="U52" i="48"/>
  <c r="V52" i="48"/>
  <c r="W52" i="48"/>
  <c r="X52" i="48"/>
  <c r="Y52" i="48"/>
  <c r="Z52" i="48"/>
  <c r="AA52" i="48"/>
  <c r="AB52" i="48"/>
  <c r="AC52" i="48"/>
  <c r="AD52" i="48"/>
  <c r="AE52" i="48"/>
  <c r="AF52" i="48"/>
  <c r="AG52" i="48"/>
  <c r="D53" i="48"/>
  <c r="O53" i="48"/>
  <c r="P53" i="48"/>
  <c r="Q53" i="48"/>
  <c r="U53" i="48"/>
  <c r="V53" i="48"/>
  <c r="W53" i="48"/>
  <c r="X53" i="48"/>
  <c r="Y53" i="48"/>
  <c r="Z53" i="48"/>
  <c r="AA53" i="48"/>
  <c r="AB53" i="48"/>
  <c r="AC53" i="48"/>
  <c r="AD53" i="48"/>
  <c r="AE53" i="48"/>
  <c r="AF53" i="48"/>
  <c r="AG53" i="48"/>
  <c r="D54" i="48"/>
  <c r="O54" i="48"/>
  <c r="P54" i="48"/>
  <c r="Q54" i="48"/>
  <c r="U54" i="48"/>
  <c r="V54" i="48"/>
  <c r="W54" i="48"/>
  <c r="X54" i="48"/>
  <c r="Y54" i="48"/>
  <c r="Z54" i="48"/>
  <c r="AA54" i="48"/>
  <c r="AB54" i="48"/>
  <c r="AC54" i="48"/>
  <c r="AD54" i="48"/>
  <c r="AE54" i="48"/>
  <c r="AF54" i="48"/>
  <c r="AG54" i="48"/>
  <c r="D55" i="48"/>
  <c r="O55" i="48"/>
  <c r="P55" i="48"/>
  <c r="Q55" i="48"/>
  <c r="U55" i="48"/>
  <c r="V55" i="48"/>
  <c r="W55" i="48"/>
  <c r="X55" i="48"/>
  <c r="Y55" i="48"/>
  <c r="Z55" i="48"/>
  <c r="AA55" i="48"/>
  <c r="AB55" i="48"/>
  <c r="AC55" i="48"/>
  <c r="AD55" i="48"/>
  <c r="AE55" i="48"/>
  <c r="AF55" i="48"/>
  <c r="AG55" i="48"/>
  <c r="D56" i="48"/>
  <c r="O56" i="48"/>
  <c r="P56" i="48"/>
  <c r="Q56" i="48"/>
  <c r="U56" i="48"/>
  <c r="V56" i="48"/>
  <c r="W56" i="48"/>
  <c r="X56" i="48"/>
  <c r="Y56" i="48"/>
  <c r="Z56" i="48"/>
  <c r="AA56" i="48"/>
  <c r="AB56" i="48"/>
  <c r="AC56" i="48"/>
  <c r="AD56" i="48"/>
  <c r="AE56" i="48"/>
  <c r="AF56" i="48"/>
  <c r="AG56" i="48"/>
  <c r="D57" i="48"/>
  <c r="O57" i="48"/>
  <c r="P57" i="48"/>
  <c r="Q57" i="48"/>
  <c r="U57" i="48"/>
  <c r="V57" i="48"/>
  <c r="W57" i="48"/>
  <c r="X57" i="48"/>
  <c r="Y57" i="48"/>
  <c r="Z57" i="48"/>
  <c r="AA57" i="48"/>
  <c r="AB57" i="48"/>
  <c r="AC57" i="48"/>
  <c r="AD57" i="48"/>
  <c r="AE57" i="48"/>
  <c r="AF57" i="48"/>
  <c r="AG57" i="48"/>
  <c r="D58" i="48"/>
  <c r="O58" i="48"/>
  <c r="P58" i="48"/>
  <c r="Q58" i="48"/>
  <c r="U58" i="48"/>
  <c r="V58" i="48"/>
  <c r="W58" i="48"/>
  <c r="X58" i="48"/>
  <c r="Y58" i="48"/>
  <c r="Z58" i="48"/>
  <c r="AA58" i="48"/>
  <c r="AB58" i="48"/>
  <c r="AC58" i="48"/>
  <c r="AD58" i="48"/>
  <c r="AE58" i="48"/>
  <c r="AF58" i="48"/>
  <c r="AG58" i="48"/>
  <c r="D59" i="48"/>
  <c r="O59" i="48"/>
  <c r="P59" i="48"/>
  <c r="Q59" i="48"/>
  <c r="U59" i="48"/>
  <c r="V59" i="48"/>
  <c r="W59" i="48"/>
  <c r="X59" i="48"/>
  <c r="Y59" i="48"/>
  <c r="Z59" i="48"/>
  <c r="AA59" i="48"/>
  <c r="AB59" i="48"/>
  <c r="AC59" i="48"/>
  <c r="AD59" i="48"/>
  <c r="AE59" i="48"/>
  <c r="AF59" i="48"/>
  <c r="AG59" i="48"/>
  <c r="D60" i="48"/>
  <c r="O60" i="48"/>
  <c r="P60" i="48"/>
  <c r="Q60" i="48"/>
  <c r="U60" i="48"/>
  <c r="V60" i="48"/>
  <c r="W60" i="48"/>
  <c r="X60" i="48"/>
  <c r="Y60" i="48"/>
  <c r="Z60" i="48"/>
  <c r="AA60" i="48"/>
  <c r="AB60" i="48"/>
  <c r="AC60" i="48"/>
  <c r="AD60" i="48"/>
  <c r="AE60" i="48"/>
  <c r="AF60" i="48"/>
  <c r="AG60" i="48"/>
  <c r="D61" i="48"/>
  <c r="O61" i="48"/>
  <c r="P61" i="48"/>
  <c r="Q61" i="48"/>
  <c r="U61" i="48"/>
  <c r="V61" i="48"/>
  <c r="W61" i="48"/>
  <c r="X61" i="48"/>
  <c r="Y61" i="48"/>
  <c r="Z61" i="48"/>
  <c r="AA61" i="48"/>
  <c r="AB61" i="48"/>
  <c r="AC61" i="48"/>
  <c r="AD61" i="48"/>
  <c r="AE61" i="48"/>
  <c r="AF61" i="48"/>
  <c r="AG61" i="48"/>
  <c r="D62" i="48"/>
  <c r="O62" i="48"/>
  <c r="P62" i="48"/>
  <c r="Q62" i="48"/>
  <c r="U62" i="48"/>
  <c r="V62" i="48"/>
  <c r="W62" i="48"/>
  <c r="X62" i="48"/>
  <c r="Y62" i="48"/>
  <c r="Z62" i="48"/>
  <c r="AA62" i="48"/>
  <c r="AB62" i="48"/>
  <c r="AC62" i="48"/>
  <c r="AD62" i="48"/>
  <c r="AE62" i="48"/>
  <c r="AF62" i="48"/>
  <c r="AG62" i="48"/>
  <c r="D63" i="48"/>
  <c r="O63" i="48"/>
  <c r="P63" i="48"/>
  <c r="Q63" i="48"/>
  <c r="U63" i="48"/>
  <c r="V63" i="48"/>
  <c r="W63" i="48"/>
  <c r="X63" i="48"/>
  <c r="Y63" i="48"/>
  <c r="Z63" i="48"/>
  <c r="AA63" i="48"/>
  <c r="AB63" i="48"/>
  <c r="AC63" i="48"/>
  <c r="AD63" i="48"/>
  <c r="AE63" i="48"/>
  <c r="AF63" i="48"/>
  <c r="AG63" i="48"/>
  <c r="D64" i="48"/>
  <c r="O64" i="48"/>
  <c r="P64" i="48"/>
  <c r="Q64" i="48"/>
  <c r="U64" i="48"/>
  <c r="V64" i="48"/>
  <c r="W64" i="48"/>
  <c r="X64" i="48"/>
  <c r="Y64" i="48"/>
  <c r="Z64" i="48"/>
  <c r="AA64" i="48"/>
  <c r="AB64" i="48"/>
  <c r="AC64" i="48"/>
  <c r="AD64" i="48"/>
  <c r="AE64" i="48"/>
  <c r="AF64" i="48"/>
  <c r="AG64" i="48"/>
  <c r="D65" i="48"/>
  <c r="O65" i="48"/>
  <c r="P65" i="48"/>
  <c r="Q65" i="48"/>
  <c r="U65" i="48"/>
  <c r="V65" i="48"/>
  <c r="W65" i="48"/>
  <c r="X65" i="48"/>
  <c r="Y65" i="48"/>
  <c r="Z65" i="48"/>
  <c r="AA65" i="48"/>
  <c r="AB65" i="48"/>
  <c r="AC65" i="48"/>
  <c r="AD65" i="48"/>
  <c r="AE65" i="48"/>
  <c r="AF65" i="48"/>
  <c r="AG65" i="48"/>
  <c r="D66" i="48"/>
  <c r="O66" i="48"/>
  <c r="P66" i="48"/>
  <c r="Q66" i="48"/>
  <c r="U66" i="48"/>
  <c r="V66" i="48"/>
  <c r="W66" i="48"/>
  <c r="X66" i="48"/>
  <c r="Y66" i="48"/>
  <c r="Z66" i="48"/>
  <c r="AA66" i="48"/>
  <c r="AB66" i="48"/>
  <c r="AC66" i="48"/>
  <c r="AD66" i="48"/>
  <c r="AE66" i="48"/>
  <c r="AF66" i="48"/>
  <c r="AG66" i="48"/>
  <c r="D67" i="48"/>
  <c r="O67" i="48"/>
  <c r="P67" i="48"/>
  <c r="Q67" i="48"/>
  <c r="U67" i="48"/>
  <c r="V67" i="48"/>
  <c r="W67" i="48"/>
  <c r="X67" i="48"/>
  <c r="Y67" i="48"/>
  <c r="Z67" i="48"/>
  <c r="AA67" i="48"/>
  <c r="AB67" i="48"/>
  <c r="AC67" i="48"/>
  <c r="AD67" i="48"/>
  <c r="AE67" i="48"/>
  <c r="AF67" i="48"/>
  <c r="AG67" i="48"/>
  <c r="D68" i="48"/>
  <c r="O68" i="48"/>
  <c r="P68" i="48"/>
  <c r="Q68" i="48"/>
  <c r="U68" i="48"/>
  <c r="V68" i="48"/>
  <c r="W68" i="48"/>
  <c r="X68" i="48"/>
  <c r="Y68" i="48"/>
  <c r="Z68" i="48"/>
  <c r="AA68" i="48"/>
  <c r="AB68" i="48"/>
  <c r="AC68" i="48"/>
  <c r="AD68" i="48"/>
  <c r="AE68" i="48"/>
  <c r="AF68" i="48"/>
  <c r="AG68" i="48"/>
  <c r="D69" i="48"/>
  <c r="O69" i="48"/>
  <c r="P69" i="48"/>
  <c r="Q69" i="48"/>
  <c r="U69" i="48"/>
  <c r="V69" i="48"/>
  <c r="W69" i="48"/>
  <c r="X69" i="48"/>
  <c r="Y69" i="48"/>
  <c r="Z69" i="48"/>
  <c r="AA69" i="48"/>
  <c r="AB69" i="48"/>
  <c r="AC69" i="48"/>
  <c r="AD69" i="48"/>
  <c r="AE69" i="48"/>
  <c r="AF69" i="48"/>
  <c r="AG69" i="48"/>
  <c r="D70" i="48"/>
  <c r="O70" i="48"/>
  <c r="P70" i="48"/>
  <c r="Q70" i="48"/>
  <c r="U70" i="48"/>
  <c r="V70" i="48"/>
  <c r="W70" i="48"/>
  <c r="X70" i="48"/>
  <c r="Y70" i="48"/>
  <c r="Z70" i="48"/>
  <c r="AA70" i="48"/>
  <c r="AB70" i="48"/>
  <c r="AC70" i="48"/>
  <c r="AD70" i="48"/>
  <c r="AE70" i="48"/>
  <c r="AF70" i="48"/>
  <c r="AG70" i="48"/>
  <c r="D71" i="48"/>
  <c r="O71" i="48"/>
  <c r="P71" i="48"/>
  <c r="Q71" i="48"/>
  <c r="U71" i="48"/>
  <c r="V71" i="48"/>
  <c r="W71" i="48"/>
  <c r="X71" i="48"/>
  <c r="Y71" i="48"/>
  <c r="Z71" i="48"/>
  <c r="AA71" i="48"/>
  <c r="AB71" i="48"/>
  <c r="AC71" i="48"/>
  <c r="AD71" i="48"/>
  <c r="AE71" i="48"/>
  <c r="AF71" i="48"/>
  <c r="AG71" i="48"/>
  <c r="D72" i="48"/>
  <c r="O72" i="48"/>
  <c r="P72" i="48"/>
  <c r="Q72" i="48"/>
  <c r="U72" i="48"/>
  <c r="V72" i="48"/>
  <c r="W72" i="48"/>
  <c r="X72" i="48"/>
  <c r="Y72" i="48"/>
  <c r="Z72" i="48"/>
  <c r="AA72" i="48"/>
  <c r="AB72" i="48"/>
  <c r="AC72" i="48"/>
  <c r="AD72" i="48"/>
  <c r="AE72" i="48"/>
  <c r="AF72" i="48"/>
  <c r="AG72" i="48"/>
  <c r="D73" i="48"/>
  <c r="O73" i="48"/>
  <c r="P73" i="48"/>
  <c r="Q73" i="48"/>
  <c r="U73" i="48"/>
  <c r="V73" i="48"/>
  <c r="W73" i="48"/>
  <c r="X73" i="48"/>
  <c r="Y73" i="48"/>
  <c r="Z73" i="48"/>
  <c r="AA73" i="48"/>
  <c r="AB73" i="48"/>
  <c r="AC73" i="48"/>
  <c r="AD73" i="48"/>
  <c r="AE73" i="48"/>
  <c r="AF73" i="48"/>
  <c r="AG73" i="48"/>
  <c r="D74" i="48"/>
  <c r="O74" i="48"/>
  <c r="P74" i="48"/>
  <c r="Q74" i="48"/>
  <c r="U74" i="48"/>
  <c r="V74" i="48"/>
  <c r="W74" i="48"/>
  <c r="X74" i="48"/>
  <c r="Y74" i="48"/>
  <c r="Z74" i="48"/>
  <c r="AA74" i="48"/>
  <c r="AB74" i="48"/>
  <c r="AC74" i="48"/>
  <c r="AD74" i="48"/>
  <c r="AE74" i="48"/>
  <c r="AF74" i="48"/>
  <c r="AG74" i="48"/>
  <c r="D75" i="48"/>
  <c r="O75" i="48"/>
  <c r="P75" i="48"/>
  <c r="Q75" i="48"/>
  <c r="U75" i="48"/>
  <c r="V75" i="48"/>
  <c r="W75" i="48"/>
  <c r="X75" i="48"/>
  <c r="Y75" i="48"/>
  <c r="Z75" i="48"/>
  <c r="AA75" i="48"/>
  <c r="AB75" i="48"/>
  <c r="AC75" i="48"/>
  <c r="AD75" i="48"/>
  <c r="AE75" i="48"/>
  <c r="AF75" i="48"/>
  <c r="AG75" i="48"/>
  <c r="D76" i="48"/>
  <c r="O76" i="48"/>
  <c r="P76" i="48"/>
  <c r="Q76" i="48"/>
  <c r="U76" i="48"/>
  <c r="V76" i="48"/>
  <c r="W76" i="48"/>
  <c r="X76" i="48"/>
  <c r="Y76" i="48"/>
  <c r="Z76" i="48"/>
  <c r="AA76" i="48"/>
  <c r="AB76" i="48"/>
  <c r="AC76" i="48"/>
  <c r="AD76" i="48"/>
  <c r="AE76" i="48"/>
  <c r="AF76" i="48"/>
  <c r="AG76" i="48"/>
  <c r="D77" i="48"/>
  <c r="O77" i="48"/>
  <c r="P77" i="48"/>
  <c r="Q77" i="48"/>
  <c r="U77" i="48"/>
  <c r="V77" i="48"/>
  <c r="W77" i="48"/>
  <c r="X77" i="48"/>
  <c r="Y77" i="48"/>
  <c r="Z77" i="48"/>
  <c r="AA77" i="48"/>
  <c r="AB77" i="48"/>
  <c r="AC77" i="48"/>
  <c r="AD77" i="48"/>
  <c r="AE77" i="48"/>
  <c r="AF77" i="48"/>
  <c r="AG77" i="48"/>
  <c r="D78" i="48"/>
  <c r="O78" i="48"/>
  <c r="P78" i="48"/>
  <c r="Q78" i="48"/>
  <c r="U78" i="48"/>
  <c r="V78" i="48"/>
  <c r="W78" i="48"/>
  <c r="X78" i="48"/>
  <c r="Y78" i="48"/>
  <c r="Z78" i="48"/>
  <c r="AA78" i="48"/>
  <c r="AB78" i="48"/>
  <c r="AC78" i="48"/>
  <c r="AD78" i="48"/>
  <c r="AE78" i="48"/>
  <c r="AF78" i="48"/>
  <c r="AG78" i="48"/>
  <c r="D79" i="48"/>
  <c r="O79" i="48"/>
  <c r="P79" i="48"/>
  <c r="Q79" i="48"/>
  <c r="U79" i="48"/>
  <c r="V79" i="48"/>
  <c r="W79" i="48"/>
  <c r="X79" i="48"/>
  <c r="Y79" i="48"/>
  <c r="Z79" i="48"/>
  <c r="AA79" i="48"/>
  <c r="AB79" i="48"/>
  <c r="AC79" i="48"/>
  <c r="AD79" i="48"/>
  <c r="AE79" i="48"/>
  <c r="AF79" i="48"/>
  <c r="AG79" i="48"/>
  <c r="D80" i="48"/>
  <c r="O80" i="48"/>
  <c r="P80" i="48"/>
  <c r="Q80" i="48"/>
  <c r="U80" i="48"/>
  <c r="V80" i="48"/>
  <c r="W80" i="48"/>
  <c r="X80" i="48"/>
  <c r="Y80" i="48"/>
  <c r="Z80" i="48"/>
  <c r="AA80" i="48"/>
  <c r="AB80" i="48"/>
  <c r="AC80" i="48"/>
  <c r="AD80" i="48"/>
  <c r="AE80" i="48"/>
  <c r="AF80" i="48"/>
  <c r="AG80" i="48"/>
  <c r="D81" i="48"/>
  <c r="O81" i="48"/>
  <c r="P81" i="48"/>
  <c r="Q81" i="48"/>
  <c r="U81" i="48"/>
  <c r="V81" i="48"/>
  <c r="W81" i="48"/>
  <c r="X81" i="48"/>
  <c r="Y81" i="48"/>
  <c r="Z81" i="48"/>
  <c r="AA81" i="48"/>
  <c r="AB81" i="48"/>
  <c r="AC81" i="48"/>
  <c r="AD81" i="48"/>
  <c r="AE81" i="48"/>
  <c r="AF81" i="48"/>
  <c r="AG81" i="48"/>
  <c r="D82" i="48"/>
  <c r="O82" i="48"/>
  <c r="P82" i="48"/>
  <c r="Q82" i="48"/>
  <c r="U82" i="48"/>
  <c r="V82" i="48"/>
  <c r="W82" i="48"/>
  <c r="X82" i="48"/>
  <c r="Y82" i="48"/>
  <c r="Z82" i="48"/>
  <c r="AA82" i="48"/>
  <c r="AB82" i="48"/>
  <c r="AC82" i="48"/>
  <c r="AD82" i="48"/>
  <c r="AE82" i="48"/>
  <c r="AF82" i="48"/>
  <c r="AG82" i="48"/>
  <c r="D83" i="48"/>
  <c r="O83" i="48"/>
  <c r="P83" i="48"/>
  <c r="Q83" i="48"/>
  <c r="U83" i="48"/>
  <c r="V83" i="48"/>
  <c r="W83" i="48"/>
  <c r="X83" i="48"/>
  <c r="Y83" i="48"/>
  <c r="Z83" i="48"/>
  <c r="AA83" i="48"/>
  <c r="AB83" i="48"/>
  <c r="AC83" i="48"/>
  <c r="AD83" i="48"/>
  <c r="AE83" i="48"/>
  <c r="AF83" i="48"/>
  <c r="AG83" i="48"/>
  <c r="D84" i="48"/>
  <c r="O84" i="48"/>
  <c r="P84" i="48"/>
  <c r="Q84" i="48"/>
  <c r="U84" i="48"/>
  <c r="V84" i="48"/>
  <c r="W84" i="48"/>
  <c r="X84" i="48"/>
  <c r="Y84" i="48"/>
  <c r="Z84" i="48"/>
  <c r="AA84" i="48"/>
  <c r="AB84" i="48"/>
  <c r="AC84" i="48"/>
  <c r="AD84" i="48"/>
  <c r="AE84" i="48"/>
  <c r="AF84" i="48"/>
  <c r="AG84" i="48"/>
  <c r="D85" i="48"/>
  <c r="O85" i="48"/>
  <c r="P85" i="48"/>
  <c r="Q85" i="48"/>
  <c r="U85" i="48"/>
  <c r="V85" i="48"/>
  <c r="W85" i="48"/>
  <c r="X85" i="48"/>
  <c r="Y85" i="48"/>
  <c r="Z85" i="48"/>
  <c r="AA85" i="48"/>
  <c r="AB85" i="48"/>
  <c r="AC85" i="48"/>
  <c r="AD85" i="48"/>
  <c r="AE85" i="48"/>
  <c r="AF85" i="48"/>
  <c r="AG85" i="48"/>
  <c r="D86" i="48"/>
  <c r="O86" i="48"/>
  <c r="P86" i="48"/>
  <c r="Q86" i="48"/>
  <c r="U86" i="48"/>
  <c r="V86" i="48"/>
  <c r="W86" i="48"/>
  <c r="X86" i="48"/>
  <c r="Y86" i="48"/>
  <c r="Z86" i="48"/>
  <c r="AA86" i="48"/>
  <c r="AB86" i="48"/>
  <c r="AC86" i="48"/>
  <c r="AD86" i="48"/>
  <c r="AE86" i="48"/>
  <c r="AF86" i="48"/>
  <c r="AG86" i="48"/>
  <c r="D87" i="48"/>
  <c r="O87" i="48"/>
  <c r="P87" i="48"/>
  <c r="Q87" i="48"/>
  <c r="U87" i="48"/>
  <c r="V87" i="48"/>
  <c r="W87" i="48"/>
  <c r="X87" i="48"/>
  <c r="Y87" i="48"/>
  <c r="Z87" i="48"/>
  <c r="AA87" i="48"/>
  <c r="AB87" i="48"/>
  <c r="AC87" i="48"/>
  <c r="AD87" i="48"/>
  <c r="AE87" i="48"/>
  <c r="AF87" i="48"/>
  <c r="AG87" i="48"/>
  <c r="D88" i="48"/>
  <c r="O88" i="48"/>
  <c r="P88" i="48"/>
  <c r="Q88" i="48"/>
  <c r="U88" i="48"/>
  <c r="V88" i="48"/>
  <c r="W88" i="48"/>
  <c r="X88" i="48"/>
  <c r="Y88" i="48"/>
  <c r="Z88" i="48"/>
  <c r="AA88" i="48"/>
  <c r="AB88" i="48"/>
  <c r="AC88" i="48"/>
  <c r="AD88" i="48"/>
  <c r="AE88" i="48"/>
  <c r="AF88" i="48"/>
  <c r="AG88" i="48"/>
  <c r="D89" i="48"/>
  <c r="O89" i="48"/>
  <c r="P89" i="48"/>
  <c r="Q89" i="48"/>
  <c r="U89" i="48"/>
  <c r="V89" i="48"/>
  <c r="W89" i="48"/>
  <c r="X89" i="48"/>
  <c r="Y89" i="48"/>
  <c r="Z89" i="48"/>
  <c r="AA89" i="48"/>
  <c r="AB89" i="48"/>
  <c r="AC89" i="48"/>
  <c r="AD89" i="48"/>
  <c r="AE89" i="48"/>
  <c r="AF89" i="48"/>
  <c r="AG89" i="48"/>
  <c r="D90" i="48"/>
  <c r="O90" i="48"/>
  <c r="P90" i="48"/>
  <c r="Q90" i="48"/>
  <c r="U90" i="48"/>
  <c r="V90" i="48"/>
  <c r="W90" i="48"/>
  <c r="X90" i="48"/>
  <c r="Y90" i="48"/>
  <c r="Z90" i="48"/>
  <c r="AA90" i="48"/>
  <c r="AB90" i="48"/>
  <c r="AC90" i="48"/>
  <c r="AD90" i="48"/>
  <c r="AE90" i="48"/>
  <c r="AF90" i="48"/>
  <c r="AG90" i="48"/>
  <c r="D91" i="48"/>
  <c r="O91" i="48"/>
  <c r="P91" i="48"/>
  <c r="Q91" i="48"/>
  <c r="U91" i="48"/>
  <c r="V91" i="48"/>
  <c r="W91" i="48"/>
  <c r="X91" i="48"/>
  <c r="Y91" i="48"/>
  <c r="Z91" i="48"/>
  <c r="AA91" i="48"/>
  <c r="AB91" i="48"/>
  <c r="AC91" i="48"/>
  <c r="AD91" i="48"/>
  <c r="AE91" i="48"/>
  <c r="AF91" i="48"/>
  <c r="AG91" i="48"/>
  <c r="D92" i="48"/>
  <c r="O92" i="48"/>
  <c r="P92" i="48"/>
  <c r="Q92" i="48"/>
  <c r="U92" i="48"/>
  <c r="V92" i="48"/>
  <c r="W92" i="48"/>
  <c r="X92" i="48"/>
  <c r="Y92" i="48"/>
  <c r="Z92" i="48"/>
  <c r="AA92" i="48"/>
  <c r="AB92" i="48"/>
  <c r="AC92" i="48"/>
  <c r="AD92" i="48"/>
  <c r="AE92" i="48"/>
  <c r="AF92" i="48"/>
  <c r="AG92" i="48"/>
  <c r="D93" i="48"/>
  <c r="O93" i="48"/>
  <c r="P93" i="48"/>
  <c r="Q93" i="48"/>
  <c r="U93" i="48"/>
  <c r="V93" i="48"/>
  <c r="W93" i="48"/>
  <c r="X93" i="48"/>
  <c r="Y93" i="48"/>
  <c r="Z93" i="48"/>
  <c r="AA93" i="48"/>
  <c r="AB93" i="48"/>
  <c r="AC93" i="48"/>
  <c r="AD93" i="48"/>
  <c r="AE93" i="48"/>
  <c r="AF93" i="48"/>
  <c r="AG93" i="48"/>
  <c r="D94" i="48"/>
  <c r="O94" i="48"/>
  <c r="P94" i="48"/>
  <c r="Q94" i="48"/>
  <c r="U94" i="48"/>
  <c r="V94" i="48"/>
  <c r="W94" i="48"/>
  <c r="X94" i="48"/>
  <c r="Y94" i="48"/>
  <c r="Z94" i="48"/>
  <c r="AA94" i="48"/>
  <c r="AB94" i="48"/>
  <c r="AC94" i="48"/>
  <c r="AD94" i="48"/>
  <c r="AE94" i="48"/>
  <c r="AF94" i="48"/>
  <c r="AG94" i="48"/>
  <c r="D95" i="48"/>
  <c r="O95" i="48"/>
  <c r="P95" i="48"/>
  <c r="Q95" i="48"/>
  <c r="U95" i="48"/>
  <c r="V95" i="48"/>
  <c r="W95" i="48"/>
  <c r="X95" i="48"/>
  <c r="Y95" i="48"/>
  <c r="Z95" i="48"/>
  <c r="AA95" i="48"/>
  <c r="AB95" i="48"/>
  <c r="AC95" i="48"/>
  <c r="AD95" i="48"/>
  <c r="AE95" i="48"/>
  <c r="AF95" i="48"/>
  <c r="AG95" i="48"/>
  <c r="D96" i="48"/>
  <c r="O96" i="48"/>
  <c r="P96" i="48"/>
  <c r="Q96" i="48"/>
  <c r="U96" i="48"/>
  <c r="V96" i="48"/>
  <c r="W96" i="48"/>
  <c r="X96" i="48"/>
  <c r="Y96" i="48"/>
  <c r="Z96" i="48"/>
  <c r="AA96" i="48"/>
  <c r="AB96" i="48"/>
  <c r="AC96" i="48"/>
  <c r="AD96" i="48"/>
  <c r="AE96" i="48"/>
  <c r="AF96" i="48"/>
  <c r="AG96" i="48"/>
  <c r="D97" i="48"/>
  <c r="O97" i="48"/>
  <c r="P97" i="48"/>
  <c r="Q97" i="48"/>
  <c r="U97" i="48"/>
  <c r="V97" i="48"/>
  <c r="W97" i="48"/>
  <c r="X97" i="48"/>
  <c r="Y97" i="48"/>
  <c r="Z97" i="48"/>
  <c r="AA97" i="48"/>
  <c r="AB97" i="48"/>
  <c r="AC97" i="48"/>
  <c r="AD97" i="48"/>
  <c r="AE97" i="48"/>
  <c r="AF97" i="48"/>
  <c r="AG97" i="48"/>
  <c r="D98" i="48"/>
  <c r="O98" i="48"/>
  <c r="P98" i="48"/>
  <c r="Q98" i="48"/>
  <c r="U98" i="48"/>
  <c r="V98" i="48"/>
  <c r="W98" i="48"/>
  <c r="X98" i="48"/>
  <c r="Y98" i="48"/>
  <c r="Z98" i="48"/>
  <c r="AA98" i="48"/>
  <c r="AB98" i="48"/>
  <c r="AC98" i="48"/>
  <c r="AD98" i="48"/>
  <c r="AE98" i="48"/>
  <c r="AF98" i="48"/>
  <c r="AG98" i="48"/>
  <c r="D99" i="48"/>
  <c r="O99" i="48"/>
  <c r="P99" i="48"/>
  <c r="Q99" i="48"/>
  <c r="U99" i="48"/>
  <c r="V99" i="48"/>
  <c r="W99" i="48"/>
  <c r="X99" i="48"/>
  <c r="Y99" i="48"/>
  <c r="Z99" i="48"/>
  <c r="AA99" i="48"/>
  <c r="AB99" i="48"/>
  <c r="AC99" i="48"/>
  <c r="AD99" i="48"/>
  <c r="AE99" i="48"/>
  <c r="AF99" i="48"/>
  <c r="AG99" i="48"/>
  <c r="D100" i="48"/>
  <c r="O100" i="48"/>
  <c r="P100" i="48"/>
  <c r="Q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F100" i="48"/>
  <c r="AG100" i="48"/>
  <c r="D101" i="48"/>
  <c r="O101" i="48"/>
  <c r="P101" i="48"/>
  <c r="Q101" i="48"/>
  <c r="U101" i="48"/>
  <c r="V101" i="48"/>
  <c r="W101" i="48"/>
  <c r="X101" i="48"/>
  <c r="Y101" i="48"/>
  <c r="Z101" i="48"/>
  <c r="AA101" i="48"/>
  <c r="AB101" i="48"/>
  <c r="AC101" i="48"/>
  <c r="AD101" i="48"/>
  <c r="AE101" i="48"/>
  <c r="AF101" i="48"/>
  <c r="AG101" i="48"/>
  <c r="D102" i="48"/>
  <c r="O102" i="48"/>
  <c r="P102" i="48"/>
  <c r="Q102" i="48"/>
  <c r="U102" i="48"/>
  <c r="V102" i="48"/>
  <c r="W102" i="48"/>
  <c r="X102" i="48"/>
  <c r="Y102" i="48"/>
  <c r="Z102" i="48"/>
  <c r="AA102" i="48"/>
  <c r="AB102" i="48"/>
  <c r="AC102" i="48"/>
  <c r="AD102" i="48"/>
  <c r="AE102" i="48"/>
  <c r="AF102" i="48"/>
  <c r="AG102" i="48"/>
  <c r="D103" i="48"/>
  <c r="O103" i="48"/>
  <c r="P103" i="48"/>
  <c r="Q103" i="48"/>
  <c r="U103" i="48"/>
  <c r="V103" i="48"/>
  <c r="W103" i="48"/>
  <c r="X103" i="48"/>
  <c r="Y103" i="48"/>
  <c r="Z103" i="48"/>
  <c r="AA103" i="48"/>
  <c r="AB103" i="48"/>
  <c r="AC103" i="48"/>
  <c r="AD103" i="48"/>
  <c r="AE103" i="48"/>
  <c r="AF103" i="48"/>
  <c r="AG103" i="48"/>
  <c r="D104" i="48"/>
  <c r="O104" i="48"/>
  <c r="P104" i="48"/>
  <c r="Q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F104" i="48"/>
  <c r="AG104" i="48"/>
  <c r="D105" i="48"/>
  <c r="O105" i="48"/>
  <c r="P105" i="48"/>
  <c r="Q105" i="48"/>
  <c r="U105" i="48"/>
  <c r="V105" i="48"/>
  <c r="W105" i="48"/>
  <c r="X105" i="48"/>
  <c r="Y105" i="48"/>
  <c r="Z105" i="48"/>
  <c r="AA105" i="48"/>
  <c r="AB105" i="48"/>
  <c r="AC105" i="48"/>
  <c r="AD105" i="48"/>
  <c r="AE105" i="48"/>
  <c r="AF105" i="48"/>
  <c r="AG105" i="48"/>
  <c r="D106" i="48"/>
  <c r="O106" i="48"/>
  <c r="P106" i="48"/>
  <c r="Q106" i="48"/>
  <c r="U106" i="48"/>
  <c r="V106" i="48"/>
  <c r="W106" i="48"/>
  <c r="X106" i="48"/>
  <c r="Y106" i="48"/>
  <c r="Z106" i="48"/>
  <c r="AA106" i="48"/>
  <c r="AB106" i="48"/>
  <c r="AC106" i="48"/>
  <c r="AD106" i="48"/>
  <c r="AE106" i="48"/>
  <c r="AF106" i="48"/>
  <c r="AG106" i="48"/>
  <c r="D107" i="48"/>
  <c r="O107" i="48"/>
  <c r="P107" i="48"/>
  <c r="Q107" i="48"/>
  <c r="U107" i="48"/>
  <c r="V107" i="48"/>
  <c r="W107" i="48"/>
  <c r="X107" i="48"/>
  <c r="Y107" i="48"/>
  <c r="Z107" i="48"/>
  <c r="AA107" i="48"/>
  <c r="AB107" i="48"/>
  <c r="AC107" i="48"/>
  <c r="AD107" i="48"/>
  <c r="AE107" i="48"/>
  <c r="AF107" i="48"/>
  <c r="AG107" i="48"/>
  <c r="D108" i="48"/>
  <c r="O108" i="48"/>
  <c r="P108" i="48"/>
  <c r="Q108" i="48"/>
  <c r="U108" i="48"/>
  <c r="V108" i="48"/>
  <c r="W108" i="48"/>
  <c r="X108" i="48"/>
  <c r="Y108" i="48"/>
  <c r="Z108" i="48"/>
  <c r="AA108" i="48"/>
  <c r="AB108" i="48"/>
  <c r="AC108" i="48"/>
  <c r="AD108" i="48"/>
  <c r="AE108" i="48"/>
  <c r="AF108" i="48"/>
  <c r="AG108" i="48"/>
  <c r="D109" i="48"/>
  <c r="O109" i="48"/>
  <c r="P109" i="48"/>
  <c r="Q109" i="48"/>
  <c r="U109" i="48"/>
  <c r="V109" i="48"/>
  <c r="W109" i="48"/>
  <c r="X109" i="48"/>
  <c r="Y109" i="48"/>
  <c r="Z109" i="48"/>
  <c r="AA109" i="48"/>
  <c r="AB109" i="48"/>
  <c r="AC109" i="48"/>
  <c r="AD109" i="48"/>
  <c r="AE109" i="48"/>
  <c r="AF109" i="48"/>
  <c r="AG109" i="48"/>
  <c r="D110" i="48"/>
  <c r="O110" i="48"/>
  <c r="P110" i="48"/>
  <c r="Q110" i="48"/>
  <c r="U110" i="48"/>
  <c r="V110" i="48"/>
  <c r="W110" i="48"/>
  <c r="X110" i="48"/>
  <c r="Y110" i="48"/>
  <c r="Z110" i="48"/>
  <c r="AA110" i="48"/>
  <c r="AB110" i="48"/>
  <c r="AC110" i="48"/>
  <c r="AD110" i="48"/>
  <c r="AE110" i="48"/>
  <c r="AF110" i="48"/>
  <c r="AG110" i="48"/>
  <c r="D111" i="48"/>
  <c r="O111" i="48"/>
  <c r="P111" i="48"/>
  <c r="Q111" i="48"/>
  <c r="U111" i="48"/>
  <c r="V111" i="48"/>
  <c r="W111" i="48"/>
  <c r="X111" i="48"/>
  <c r="Y111" i="48"/>
  <c r="Z111" i="48"/>
  <c r="AA111" i="48"/>
  <c r="AB111" i="48"/>
  <c r="AC111" i="48"/>
  <c r="AD111" i="48"/>
  <c r="AE111" i="48"/>
  <c r="AF111" i="48"/>
  <c r="AG111" i="48"/>
  <c r="D112" i="48"/>
  <c r="O112" i="48"/>
  <c r="P112" i="48"/>
  <c r="Q112" i="48"/>
  <c r="U112" i="48"/>
  <c r="V112" i="48"/>
  <c r="W112" i="48"/>
  <c r="X112" i="48"/>
  <c r="Y112" i="48"/>
  <c r="Z112" i="48"/>
  <c r="AA112" i="48"/>
  <c r="AB112" i="48"/>
  <c r="AC112" i="48"/>
  <c r="AD112" i="48"/>
  <c r="AE112" i="48"/>
  <c r="AF112" i="48"/>
  <c r="AG112" i="48"/>
  <c r="D113" i="48"/>
  <c r="O113" i="48"/>
  <c r="P113" i="48"/>
  <c r="Q113" i="48"/>
  <c r="U113" i="48"/>
  <c r="V113" i="48"/>
  <c r="W113" i="48"/>
  <c r="X113" i="48"/>
  <c r="Y113" i="48"/>
  <c r="Z113" i="48"/>
  <c r="AA113" i="48"/>
  <c r="AB113" i="48"/>
  <c r="AC113" i="48"/>
  <c r="AD113" i="48"/>
  <c r="AE113" i="48"/>
  <c r="AF113" i="48"/>
  <c r="AG113" i="48"/>
  <c r="D114" i="48"/>
  <c r="O114" i="48"/>
  <c r="P114" i="48"/>
  <c r="Q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F114" i="48"/>
  <c r="AG114" i="48"/>
  <c r="D115" i="48"/>
  <c r="O115" i="48"/>
  <c r="P115" i="48"/>
  <c r="Q115" i="48"/>
  <c r="U115" i="48"/>
  <c r="V115" i="48"/>
  <c r="W115" i="48"/>
  <c r="X115" i="48"/>
  <c r="Y115" i="48"/>
  <c r="Z115" i="48"/>
  <c r="AA115" i="48"/>
  <c r="AB115" i="48"/>
  <c r="AC115" i="48"/>
  <c r="AD115" i="48"/>
  <c r="AE115" i="48"/>
  <c r="AF115" i="48"/>
  <c r="AG115" i="48"/>
  <c r="D116" i="48"/>
  <c r="O116" i="48"/>
  <c r="P116" i="48"/>
  <c r="Q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D117" i="48"/>
  <c r="O117" i="48"/>
  <c r="P117" i="48"/>
  <c r="Q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D118" i="48"/>
  <c r="O118" i="48"/>
  <c r="P118" i="48"/>
  <c r="Q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D119" i="48"/>
  <c r="O119" i="48"/>
  <c r="P119" i="48"/>
  <c r="Q119" i="48"/>
  <c r="U119" i="48"/>
  <c r="V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D120" i="48"/>
  <c r="O120" i="48"/>
  <c r="P120" i="48"/>
  <c r="Q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D121" i="48"/>
  <c r="O121" i="48"/>
  <c r="P121" i="48"/>
  <c r="Q121" i="48"/>
  <c r="U121" i="48"/>
  <c r="V121" i="48"/>
  <c r="W121" i="48"/>
  <c r="X121" i="48"/>
  <c r="Y121" i="48"/>
  <c r="Z121" i="48"/>
  <c r="AA121" i="48"/>
  <c r="AB121" i="48"/>
  <c r="AC121" i="48"/>
  <c r="AD121" i="48"/>
  <c r="AE121" i="48"/>
  <c r="AF121" i="48"/>
  <c r="AG121" i="48"/>
  <c r="D122" i="48"/>
  <c r="O122" i="48"/>
  <c r="P122" i="48"/>
  <c r="Q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D123" i="48"/>
  <c r="O123" i="48"/>
  <c r="P123" i="48"/>
  <c r="Q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D124" i="48"/>
  <c r="O124" i="48"/>
  <c r="P124" i="48"/>
  <c r="Q124" i="48"/>
  <c r="U124" i="48"/>
  <c r="V124" i="48"/>
  <c r="W124" i="48"/>
  <c r="X124" i="48"/>
  <c r="Y124" i="48"/>
  <c r="Z124" i="48"/>
  <c r="AA124" i="48"/>
  <c r="AB124" i="48"/>
  <c r="AC124" i="48"/>
  <c r="AD124" i="48"/>
  <c r="AE124" i="48"/>
  <c r="AF124" i="48"/>
  <c r="AG124" i="48"/>
  <c r="D125" i="48"/>
  <c r="O125" i="48"/>
  <c r="P125" i="48"/>
  <c r="Q125" i="48"/>
  <c r="U125" i="48"/>
  <c r="V125" i="48"/>
  <c r="W125" i="48"/>
  <c r="X125" i="48"/>
  <c r="Y125" i="48"/>
  <c r="Z125" i="48"/>
  <c r="AA125" i="48"/>
  <c r="AB125" i="48"/>
  <c r="AC125" i="48"/>
  <c r="AD125" i="48"/>
  <c r="AE125" i="48"/>
  <c r="AF125" i="48"/>
  <c r="AG125" i="48"/>
  <c r="D126" i="48"/>
  <c r="O126" i="48"/>
  <c r="P126" i="48"/>
  <c r="Q126" i="48"/>
  <c r="U126" i="48"/>
  <c r="V126" i="48"/>
  <c r="W126" i="48"/>
  <c r="X126" i="48"/>
  <c r="Y126" i="48"/>
  <c r="Z126" i="48"/>
  <c r="AA126" i="48"/>
  <c r="AB126" i="48"/>
  <c r="AC126" i="48"/>
  <c r="AD126" i="48"/>
  <c r="AE126" i="48"/>
  <c r="AF126" i="48"/>
  <c r="AG126" i="48"/>
  <c r="D127" i="48"/>
  <c r="O127" i="48"/>
  <c r="P127" i="48"/>
  <c r="Q127" i="48"/>
  <c r="U127" i="48"/>
  <c r="V127" i="48"/>
  <c r="W127" i="48"/>
  <c r="X127" i="48"/>
  <c r="Y127" i="48"/>
  <c r="Z127" i="48"/>
  <c r="AA127" i="48"/>
  <c r="AB127" i="48"/>
  <c r="AC127" i="48"/>
  <c r="AD127" i="48"/>
  <c r="AE127" i="48"/>
  <c r="AF127" i="48"/>
  <c r="AG127" i="48"/>
  <c r="D128" i="48"/>
  <c r="O128" i="48"/>
  <c r="P128" i="48"/>
  <c r="Q128" i="48"/>
  <c r="U128" i="48"/>
  <c r="V128" i="48"/>
  <c r="W128" i="48"/>
  <c r="X128" i="48"/>
  <c r="Y128" i="48"/>
  <c r="Z128" i="48"/>
  <c r="AA128" i="48"/>
  <c r="AB128" i="48"/>
  <c r="AC128" i="48"/>
  <c r="AD128" i="48"/>
  <c r="AE128" i="48"/>
  <c r="AF128" i="48"/>
  <c r="AG128" i="48"/>
  <c r="D129" i="48"/>
  <c r="O129" i="48"/>
  <c r="P129" i="48"/>
  <c r="Q129" i="48"/>
  <c r="U129" i="48"/>
  <c r="V129" i="48"/>
  <c r="W129" i="48"/>
  <c r="X129" i="48"/>
  <c r="Y129" i="48"/>
  <c r="Z129" i="48"/>
  <c r="AA129" i="48"/>
  <c r="AB129" i="48"/>
  <c r="AC129" i="48"/>
  <c r="AD129" i="48"/>
  <c r="AE129" i="48"/>
  <c r="AF129" i="48"/>
  <c r="AG129" i="48"/>
  <c r="D130" i="48"/>
  <c r="O130" i="48"/>
  <c r="P130" i="48"/>
  <c r="Q130" i="48"/>
  <c r="U130" i="48"/>
  <c r="V130" i="48"/>
  <c r="W130" i="48"/>
  <c r="X130" i="48"/>
  <c r="Y130" i="48"/>
  <c r="Z130" i="48"/>
  <c r="AA130" i="48"/>
  <c r="AB130" i="48"/>
  <c r="AC130" i="48"/>
  <c r="AD130" i="48"/>
  <c r="AE130" i="48"/>
  <c r="AF130" i="48"/>
  <c r="AG130" i="48"/>
  <c r="D131" i="48"/>
  <c r="O131" i="48"/>
  <c r="P131" i="48"/>
  <c r="Q131" i="48"/>
  <c r="U131" i="48"/>
  <c r="V131" i="48"/>
  <c r="W131" i="48"/>
  <c r="X131" i="48"/>
  <c r="Y131" i="48"/>
  <c r="Z131" i="48"/>
  <c r="AA131" i="48"/>
  <c r="AB131" i="48"/>
  <c r="AC131" i="48"/>
  <c r="AD131" i="48"/>
  <c r="AE131" i="48"/>
  <c r="AF131" i="48"/>
  <c r="AG131" i="48"/>
  <c r="D132" i="48"/>
  <c r="O132" i="48"/>
  <c r="P132" i="48"/>
  <c r="Q132" i="48"/>
  <c r="U132" i="48"/>
  <c r="V132" i="48"/>
  <c r="W132" i="48"/>
  <c r="X132" i="48"/>
  <c r="Y132" i="48"/>
  <c r="Z132" i="48"/>
  <c r="AA132" i="48"/>
  <c r="AB132" i="48"/>
  <c r="AC132" i="48"/>
  <c r="AD132" i="48"/>
  <c r="AE132" i="48"/>
  <c r="AF132" i="48"/>
  <c r="AG132" i="48"/>
  <c r="D133" i="48"/>
  <c r="O133" i="48"/>
  <c r="P133" i="48"/>
  <c r="Q133" i="48"/>
  <c r="U133" i="48"/>
  <c r="V133" i="48"/>
  <c r="W133" i="48"/>
  <c r="X133" i="48"/>
  <c r="Y133" i="48"/>
  <c r="Z133" i="48"/>
  <c r="AA133" i="48"/>
  <c r="AB133" i="48"/>
  <c r="AC133" i="48"/>
  <c r="AD133" i="48"/>
  <c r="AE133" i="48"/>
  <c r="AF133" i="48"/>
  <c r="AG133" i="48"/>
  <c r="D134" i="48"/>
  <c r="O134" i="48"/>
  <c r="P134" i="48"/>
  <c r="Q134" i="48"/>
  <c r="U134" i="48"/>
  <c r="V134" i="48"/>
  <c r="W134" i="48"/>
  <c r="X134" i="48"/>
  <c r="Y134" i="48"/>
  <c r="Z134" i="48"/>
  <c r="AA134" i="48"/>
  <c r="AB134" i="48"/>
  <c r="AC134" i="48"/>
  <c r="AD134" i="48"/>
  <c r="AE134" i="48"/>
  <c r="AF134" i="48"/>
  <c r="AG134" i="48"/>
  <c r="D135" i="48"/>
  <c r="O135" i="48"/>
  <c r="P135" i="48"/>
  <c r="Q135" i="48"/>
  <c r="U135" i="48"/>
  <c r="V135" i="48"/>
  <c r="W135" i="48"/>
  <c r="X135" i="48"/>
  <c r="Y135" i="48"/>
  <c r="Z135" i="48"/>
  <c r="AA135" i="48"/>
  <c r="AB135" i="48"/>
  <c r="AC135" i="48"/>
  <c r="AD135" i="48"/>
  <c r="AE135" i="48"/>
  <c r="AF135" i="48"/>
  <c r="AG135" i="48"/>
  <c r="D136" i="48"/>
  <c r="O136" i="48"/>
  <c r="P136" i="48"/>
  <c r="Q136" i="48"/>
  <c r="U136" i="48"/>
  <c r="V136" i="48"/>
  <c r="W136" i="48"/>
  <c r="X136" i="48"/>
  <c r="Y136" i="48"/>
  <c r="Z136" i="48"/>
  <c r="AA136" i="48"/>
  <c r="AB136" i="48"/>
  <c r="AC136" i="48"/>
  <c r="AD136" i="48"/>
  <c r="AE136" i="48"/>
  <c r="AF136" i="48"/>
  <c r="AG136" i="48"/>
  <c r="D137" i="48"/>
  <c r="O137" i="48"/>
  <c r="P137" i="48"/>
  <c r="Q137" i="48"/>
  <c r="U137" i="48"/>
  <c r="V137" i="48"/>
  <c r="W137" i="48"/>
  <c r="X137" i="48"/>
  <c r="Y137" i="48"/>
  <c r="Z137" i="48"/>
  <c r="AA137" i="48"/>
  <c r="AB137" i="48"/>
  <c r="AC137" i="48"/>
  <c r="AD137" i="48"/>
  <c r="AE137" i="48"/>
  <c r="AF137" i="48"/>
  <c r="AG137" i="48"/>
  <c r="D138" i="48"/>
  <c r="O138" i="48"/>
  <c r="P138" i="48"/>
  <c r="Q138" i="48"/>
  <c r="U138" i="48"/>
  <c r="V138" i="48"/>
  <c r="W138" i="48"/>
  <c r="X138" i="48"/>
  <c r="Y138" i="48"/>
  <c r="Z138" i="48"/>
  <c r="AA138" i="48"/>
  <c r="AB138" i="48"/>
  <c r="AC138" i="48"/>
  <c r="AD138" i="48"/>
  <c r="AE138" i="48"/>
  <c r="AF138" i="48"/>
  <c r="AG138" i="48"/>
  <c r="D139" i="48"/>
  <c r="O139" i="48"/>
  <c r="P139" i="48"/>
  <c r="Q139" i="48"/>
  <c r="U139" i="48"/>
  <c r="V139" i="48"/>
  <c r="W139" i="48"/>
  <c r="X139" i="48"/>
  <c r="Y139" i="48"/>
  <c r="Z139" i="48"/>
  <c r="AA139" i="48"/>
  <c r="AB139" i="48"/>
  <c r="AC139" i="48"/>
  <c r="AD139" i="48"/>
  <c r="AE139" i="48"/>
  <c r="AF139" i="48"/>
  <c r="AG139" i="48"/>
  <c r="D140" i="48"/>
  <c r="O140" i="48"/>
  <c r="P140" i="48"/>
  <c r="Q140" i="48"/>
  <c r="U140" i="48"/>
  <c r="V140" i="48"/>
  <c r="W140" i="48"/>
  <c r="X140" i="48"/>
  <c r="Y140" i="48"/>
  <c r="Z140" i="48"/>
  <c r="AA140" i="48"/>
  <c r="AB140" i="48"/>
  <c r="AC140" i="48"/>
  <c r="AD140" i="48"/>
  <c r="AE140" i="48"/>
  <c r="AF140" i="48"/>
  <c r="AG140" i="48"/>
  <c r="D141" i="48"/>
  <c r="O141" i="48"/>
  <c r="P141" i="48"/>
  <c r="Q141" i="48"/>
  <c r="U141" i="48"/>
  <c r="V141" i="48"/>
  <c r="W141" i="48"/>
  <c r="X141" i="48"/>
  <c r="Y141" i="48"/>
  <c r="Z141" i="48"/>
  <c r="AA141" i="48"/>
  <c r="AB141" i="48"/>
  <c r="AC141" i="48"/>
  <c r="AD141" i="48"/>
  <c r="AE141" i="48"/>
  <c r="AF141" i="48"/>
  <c r="AG141" i="48"/>
  <c r="D142" i="48"/>
  <c r="O142" i="48"/>
  <c r="P142" i="48"/>
  <c r="Q142" i="48"/>
  <c r="U142" i="48"/>
  <c r="V142" i="48"/>
  <c r="W142" i="48"/>
  <c r="X142" i="48"/>
  <c r="Y142" i="48"/>
  <c r="Z142" i="48"/>
  <c r="AA142" i="48"/>
  <c r="AB142" i="48"/>
  <c r="AC142" i="48"/>
  <c r="AD142" i="48"/>
  <c r="AE142" i="48"/>
  <c r="AF142" i="48"/>
  <c r="AG142" i="48"/>
  <c r="D143" i="48"/>
  <c r="O143" i="48"/>
  <c r="P143" i="48"/>
  <c r="Q143" i="48"/>
  <c r="U143" i="48"/>
  <c r="V143" i="48"/>
  <c r="W143" i="48"/>
  <c r="X143" i="48"/>
  <c r="Y143" i="48"/>
  <c r="Z143" i="48"/>
  <c r="AA143" i="48"/>
  <c r="AB143" i="48"/>
  <c r="AC143" i="48"/>
  <c r="AD143" i="48"/>
  <c r="AE143" i="48"/>
  <c r="AF143" i="48"/>
  <c r="AG143" i="48"/>
  <c r="D144" i="48"/>
  <c r="O144" i="48"/>
  <c r="P144" i="48"/>
  <c r="Q144" i="48"/>
  <c r="U144" i="48"/>
  <c r="V144" i="48"/>
  <c r="W144" i="48"/>
  <c r="X144" i="48"/>
  <c r="Y144" i="48"/>
  <c r="Z144" i="48"/>
  <c r="AA144" i="48"/>
  <c r="AB144" i="48"/>
  <c r="AC144" i="48"/>
  <c r="AD144" i="48"/>
  <c r="AE144" i="48"/>
  <c r="AF144" i="48"/>
  <c r="AG144" i="48"/>
  <c r="D145" i="48"/>
  <c r="O145" i="48"/>
  <c r="P145" i="48"/>
  <c r="Q145" i="48"/>
  <c r="U145" i="48"/>
  <c r="V145" i="48"/>
  <c r="W145" i="48"/>
  <c r="X145" i="48"/>
  <c r="Y145" i="48"/>
  <c r="Z145" i="48"/>
  <c r="AA145" i="48"/>
  <c r="AB145" i="48"/>
  <c r="AC145" i="48"/>
  <c r="AD145" i="48"/>
  <c r="AE145" i="48"/>
  <c r="AF145" i="48"/>
  <c r="AG145" i="48"/>
  <c r="D146" i="48"/>
  <c r="O146" i="48"/>
  <c r="P146" i="48"/>
  <c r="Q146" i="48"/>
  <c r="U146" i="48"/>
  <c r="V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D147" i="48"/>
  <c r="O147" i="48"/>
  <c r="P147" i="48"/>
  <c r="Q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D148" i="48"/>
  <c r="O148" i="48"/>
  <c r="P148" i="48"/>
  <c r="Q148" i="48"/>
  <c r="U148" i="48"/>
  <c r="V148" i="48"/>
  <c r="W148" i="48"/>
  <c r="X148" i="48"/>
  <c r="Y148" i="48"/>
  <c r="Z148" i="48"/>
  <c r="AA148" i="48"/>
  <c r="AB148" i="48"/>
  <c r="AC148" i="48"/>
  <c r="AD148" i="48"/>
  <c r="AE148" i="48"/>
  <c r="AF148" i="48"/>
  <c r="AG148" i="48"/>
  <c r="D149" i="48"/>
  <c r="O149" i="48"/>
  <c r="P149" i="48"/>
  <c r="Q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D150" i="48"/>
  <c r="O150" i="48"/>
  <c r="P150" i="48"/>
  <c r="Q150" i="48"/>
  <c r="U150" i="48"/>
  <c r="V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D151" i="48"/>
  <c r="O151" i="48"/>
  <c r="P151" i="48"/>
  <c r="Q151" i="48"/>
  <c r="U151" i="48"/>
  <c r="V151" i="48"/>
  <c r="W151" i="48"/>
  <c r="X151" i="48"/>
  <c r="Y151" i="48"/>
  <c r="Z151" i="48"/>
  <c r="AA151" i="48"/>
  <c r="AB151" i="48"/>
  <c r="AC151" i="48"/>
  <c r="AD151" i="48"/>
  <c r="AE151" i="48"/>
  <c r="AF151" i="48"/>
  <c r="AG151" i="48"/>
  <c r="D152" i="48"/>
  <c r="O152" i="48"/>
  <c r="P152" i="48"/>
  <c r="Q152" i="48"/>
  <c r="U152" i="48"/>
  <c r="V152" i="48"/>
  <c r="W152" i="48"/>
  <c r="X152" i="48"/>
  <c r="Y152" i="48"/>
  <c r="Z152" i="48"/>
  <c r="AA152" i="48"/>
  <c r="AB152" i="48"/>
  <c r="AC152" i="48"/>
  <c r="AD152" i="48"/>
  <c r="AE152" i="48"/>
  <c r="AF152" i="48"/>
  <c r="AG152" i="48"/>
  <c r="D153" i="48"/>
  <c r="O153" i="48"/>
  <c r="P153" i="48"/>
  <c r="Q153" i="48"/>
  <c r="U153" i="48"/>
  <c r="V153" i="48"/>
  <c r="W153" i="48"/>
  <c r="X153" i="48"/>
  <c r="Y153" i="48"/>
  <c r="Z153" i="48"/>
  <c r="AA153" i="48"/>
  <c r="AB153" i="48"/>
  <c r="AC153" i="48"/>
  <c r="AD153" i="48"/>
  <c r="AE153" i="48"/>
  <c r="AF153" i="48"/>
  <c r="AG153" i="48"/>
  <c r="D154" i="48"/>
  <c r="O154" i="48"/>
  <c r="P154" i="48"/>
  <c r="Q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D155" i="48"/>
  <c r="O155" i="48"/>
  <c r="P155" i="48"/>
  <c r="Q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D156" i="48"/>
  <c r="O156" i="48"/>
  <c r="P156" i="48"/>
  <c r="Q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D157" i="48"/>
  <c r="O157" i="48"/>
  <c r="P157" i="48"/>
  <c r="Q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D158" i="48"/>
  <c r="O158" i="48"/>
  <c r="P158" i="48"/>
  <c r="Q158" i="48"/>
  <c r="U158" i="48"/>
  <c r="V158" i="48"/>
  <c r="W158" i="48"/>
  <c r="X158" i="48"/>
  <c r="Y158" i="48"/>
  <c r="Z158" i="48"/>
  <c r="AA158" i="48"/>
  <c r="AB158" i="48"/>
  <c r="AC158" i="48"/>
  <c r="AD158" i="48"/>
  <c r="AE158" i="48"/>
  <c r="AF158" i="48"/>
  <c r="AG158" i="48"/>
  <c r="D159" i="48"/>
  <c r="O159" i="48"/>
  <c r="P159" i="48"/>
  <c r="Q159" i="48"/>
  <c r="U159" i="48"/>
  <c r="V159" i="48"/>
  <c r="W159" i="48"/>
  <c r="X159" i="48"/>
  <c r="Y159" i="48"/>
  <c r="Z159" i="48"/>
  <c r="AA159" i="48"/>
  <c r="AB159" i="48"/>
  <c r="AC159" i="48"/>
  <c r="AD159" i="48"/>
  <c r="AE159" i="48"/>
  <c r="AF159" i="48"/>
  <c r="AG159" i="48"/>
  <c r="D160" i="48"/>
  <c r="O160" i="48"/>
  <c r="P160" i="48"/>
  <c r="Q160" i="48"/>
  <c r="U160" i="48"/>
  <c r="V160" i="48"/>
  <c r="W160" i="48"/>
  <c r="X160" i="48"/>
  <c r="Y160" i="48"/>
  <c r="Z160" i="48"/>
  <c r="AA160" i="48"/>
  <c r="AB160" i="48"/>
  <c r="AC160" i="48"/>
  <c r="AD160" i="48"/>
  <c r="AE160" i="48"/>
  <c r="AF160" i="48"/>
  <c r="AG160" i="48"/>
  <c r="D161" i="48"/>
  <c r="O161" i="48"/>
  <c r="P161" i="48"/>
  <c r="Q161" i="48"/>
  <c r="U161" i="48"/>
  <c r="V161" i="48"/>
  <c r="W161" i="48"/>
  <c r="X161" i="48"/>
  <c r="Y161" i="48"/>
  <c r="Z161" i="48"/>
  <c r="AA161" i="48"/>
  <c r="AB161" i="48"/>
  <c r="AC161" i="48"/>
  <c r="AD161" i="48"/>
  <c r="AE161" i="48"/>
  <c r="AF161" i="48"/>
  <c r="AG161" i="48"/>
  <c r="D162" i="48"/>
  <c r="O162" i="48"/>
  <c r="P162" i="48"/>
  <c r="Q162" i="48"/>
  <c r="U162" i="48"/>
  <c r="V162" i="48"/>
  <c r="W162" i="48"/>
  <c r="X162" i="48"/>
  <c r="Y162" i="48"/>
  <c r="Z162" i="48"/>
  <c r="AA162" i="48"/>
  <c r="AB162" i="48"/>
  <c r="AC162" i="48"/>
  <c r="AD162" i="48"/>
  <c r="AE162" i="48"/>
  <c r="AF162" i="48"/>
  <c r="AG162" i="48"/>
  <c r="D163" i="48"/>
  <c r="O163" i="48"/>
  <c r="P163" i="48"/>
  <c r="Q163" i="48"/>
  <c r="U163" i="48"/>
  <c r="V163" i="48"/>
  <c r="W163" i="48"/>
  <c r="X163" i="48"/>
  <c r="Y163" i="48"/>
  <c r="Z163" i="48"/>
  <c r="AA163" i="48"/>
  <c r="AB163" i="48"/>
  <c r="AC163" i="48"/>
  <c r="AD163" i="48"/>
  <c r="AE163" i="48"/>
  <c r="AF163" i="48"/>
  <c r="AG163" i="48"/>
  <c r="D164" i="48"/>
  <c r="O164" i="48"/>
  <c r="P164" i="48"/>
  <c r="Q164" i="48"/>
  <c r="U164" i="48"/>
  <c r="V164" i="48"/>
  <c r="W164" i="48"/>
  <c r="X164" i="48"/>
  <c r="Y164" i="48"/>
  <c r="Z164" i="48"/>
  <c r="AA164" i="48"/>
  <c r="AB164" i="48"/>
  <c r="AC164" i="48"/>
  <c r="AD164" i="48"/>
  <c r="AE164" i="48"/>
  <c r="AF164" i="48"/>
  <c r="AG164" i="48"/>
  <c r="D165" i="48"/>
  <c r="O165" i="48"/>
  <c r="P165" i="48"/>
  <c r="Q165" i="48"/>
  <c r="U165" i="48"/>
  <c r="V165" i="48"/>
  <c r="W165" i="48"/>
  <c r="X165" i="48"/>
  <c r="Y165" i="48"/>
  <c r="Z165" i="48"/>
  <c r="AA165" i="48"/>
  <c r="AB165" i="48"/>
  <c r="AC165" i="48"/>
  <c r="AD165" i="48"/>
  <c r="AE165" i="48"/>
  <c r="AF165" i="48"/>
  <c r="AG165" i="48"/>
  <c r="D166" i="48"/>
  <c r="O166" i="48"/>
  <c r="P166" i="48"/>
  <c r="Q166" i="48"/>
  <c r="U166" i="48"/>
  <c r="V166" i="48"/>
  <c r="W166" i="48"/>
  <c r="X166" i="48"/>
  <c r="Y166" i="48"/>
  <c r="Z166" i="48"/>
  <c r="AA166" i="48"/>
  <c r="AB166" i="48"/>
  <c r="AC166" i="48"/>
  <c r="AD166" i="48"/>
  <c r="AE166" i="48"/>
  <c r="AF166" i="48"/>
  <c r="AG166" i="48"/>
  <c r="D167" i="48"/>
  <c r="O167" i="48"/>
  <c r="P167" i="48"/>
  <c r="Q167" i="48"/>
  <c r="U167" i="48"/>
  <c r="V167" i="48"/>
  <c r="W167" i="48"/>
  <c r="X167" i="48"/>
  <c r="Y167" i="48"/>
  <c r="Z167" i="48"/>
  <c r="AA167" i="48"/>
  <c r="AB167" i="48"/>
  <c r="AC167" i="48"/>
  <c r="AD167" i="48"/>
  <c r="AE167" i="48"/>
  <c r="AF167" i="48"/>
  <c r="AG167" i="48"/>
  <c r="D168" i="48"/>
  <c r="O168" i="48"/>
  <c r="P168" i="48"/>
  <c r="Q168" i="48"/>
  <c r="U168" i="48"/>
  <c r="V168" i="48"/>
  <c r="W168" i="48"/>
  <c r="X168" i="48"/>
  <c r="Y168" i="48"/>
  <c r="Z168" i="48"/>
  <c r="AA168" i="48"/>
  <c r="AB168" i="48"/>
  <c r="AC168" i="48"/>
  <c r="AD168" i="48"/>
  <c r="AE168" i="48"/>
  <c r="AF168" i="48"/>
  <c r="AG168" i="48"/>
  <c r="D169" i="48"/>
  <c r="O169" i="48"/>
  <c r="P169" i="48"/>
  <c r="Q169" i="48"/>
  <c r="U169" i="48"/>
  <c r="V169" i="48"/>
  <c r="W169" i="48"/>
  <c r="X169" i="48"/>
  <c r="Y169" i="48"/>
  <c r="Z169" i="48"/>
  <c r="AA169" i="48"/>
  <c r="AB169" i="48"/>
  <c r="AC169" i="48"/>
  <c r="AD169" i="48"/>
  <c r="AE169" i="48"/>
  <c r="AF169" i="48"/>
  <c r="AG169" i="48"/>
  <c r="D170" i="48"/>
  <c r="O170" i="48"/>
  <c r="P170" i="48"/>
  <c r="Q170" i="48"/>
  <c r="U170" i="48"/>
  <c r="V170" i="48"/>
  <c r="W170" i="48"/>
  <c r="X170" i="48"/>
  <c r="Y170" i="48"/>
  <c r="Z170" i="48"/>
  <c r="AA170" i="48"/>
  <c r="AB170" i="48"/>
  <c r="AC170" i="48"/>
  <c r="AD170" i="48"/>
  <c r="AE170" i="48"/>
  <c r="AF170" i="48"/>
  <c r="AG170" i="48"/>
  <c r="D171" i="48"/>
  <c r="O171" i="48"/>
  <c r="P171" i="48"/>
  <c r="Q171" i="48"/>
  <c r="U171" i="48"/>
  <c r="V171" i="48"/>
  <c r="W171" i="48"/>
  <c r="X171" i="48"/>
  <c r="Y171" i="48"/>
  <c r="Z171" i="48"/>
  <c r="AA171" i="48"/>
  <c r="AB171" i="48"/>
  <c r="AC171" i="48"/>
  <c r="AD171" i="48"/>
  <c r="AE171" i="48"/>
  <c r="AF171" i="48"/>
  <c r="AG171" i="48"/>
  <c r="D172" i="48"/>
  <c r="O172" i="48"/>
  <c r="P172" i="48"/>
  <c r="Q172" i="48"/>
  <c r="U172" i="48"/>
  <c r="V172" i="48"/>
  <c r="W172" i="48"/>
  <c r="X172" i="48"/>
  <c r="Y172" i="48"/>
  <c r="Z172" i="48"/>
  <c r="AA172" i="48"/>
  <c r="AB172" i="48"/>
  <c r="AC172" i="48"/>
  <c r="AD172" i="48"/>
  <c r="AE172" i="48"/>
  <c r="AF172" i="48"/>
  <c r="AG172" i="48"/>
  <c r="D173" i="48"/>
  <c r="O173" i="48"/>
  <c r="P173" i="48"/>
  <c r="Q173" i="48"/>
  <c r="U173" i="48"/>
  <c r="V173" i="48"/>
  <c r="W173" i="48"/>
  <c r="X173" i="48"/>
  <c r="Y173" i="48"/>
  <c r="Z173" i="48"/>
  <c r="AA173" i="48"/>
  <c r="AB173" i="48"/>
  <c r="AC173" i="48"/>
  <c r="AD173" i="48"/>
  <c r="AE173" i="48"/>
  <c r="AF173" i="48"/>
  <c r="AG173" i="48"/>
  <c r="D174" i="48"/>
  <c r="O174" i="48"/>
  <c r="P174" i="48"/>
  <c r="Q174" i="48"/>
  <c r="U174" i="48"/>
  <c r="V174" i="48"/>
  <c r="W174" i="48"/>
  <c r="X174" i="48"/>
  <c r="Y174" i="48"/>
  <c r="Z174" i="48"/>
  <c r="AA174" i="48"/>
  <c r="AB174" i="48"/>
  <c r="AC174" i="48"/>
  <c r="AD174" i="48"/>
  <c r="AE174" i="48"/>
  <c r="AF174" i="48"/>
  <c r="AG174" i="48"/>
  <c r="D175" i="48"/>
  <c r="O175" i="48"/>
  <c r="P175" i="48"/>
  <c r="Q175" i="48"/>
  <c r="U175" i="48"/>
  <c r="V175" i="48"/>
  <c r="W175" i="48"/>
  <c r="X175" i="48"/>
  <c r="Y175" i="48"/>
  <c r="Z175" i="48"/>
  <c r="AA175" i="48"/>
  <c r="AB175" i="48"/>
  <c r="AC175" i="48"/>
  <c r="AD175" i="48"/>
  <c r="AE175" i="48"/>
  <c r="AF175" i="48"/>
  <c r="AG175" i="48"/>
  <c r="D176" i="48"/>
  <c r="O176" i="48"/>
  <c r="P176" i="48"/>
  <c r="Q176" i="48"/>
  <c r="U176" i="48"/>
  <c r="V176" i="48"/>
  <c r="W176" i="48"/>
  <c r="X176" i="48"/>
  <c r="Y176" i="48"/>
  <c r="Z176" i="48"/>
  <c r="AA176" i="48"/>
  <c r="AB176" i="48"/>
  <c r="AC176" i="48"/>
  <c r="AD176" i="48"/>
  <c r="AE176" i="48"/>
  <c r="AF176" i="48"/>
  <c r="AG176" i="48"/>
  <c r="D177" i="48"/>
  <c r="O177" i="48"/>
  <c r="P177" i="48"/>
  <c r="Q177" i="48"/>
  <c r="U177" i="48"/>
  <c r="V177" i="48"/>
  <c r="W177" i="48"/>
  <c r="X177" i="48"/>
  <c r="Y177" i="48"/>
  <c r="Z177" i="48"/>
  <c r="AA177" i="48"/>
  <c r="AB177" i="48"/>
  <c r="AC177" i="48"/>
  <c r="AD177" i="48"/>
  <c r="AE177" i="48"/>
  <c r="AF177" i="48"/>
  <c r="AG177" i="48"/>
  <c r="D178" i="48"/>
  <c r="O178" i="48"/>
  <c r="P178" i="48"/>
  <c r="Q178" i="48"/>
  <c r="U178" i="48"/>
  <c r="V178" i="48"/>
  <c r="W178" i="48"/>
  <c r="X178" i="48"/>
  <c r="Y178" i="48"/>
  <c r="Z178" i="48"/>
  <c r="AA178" i="48"/>
  <c r="AB178" i="48"/>
  <c r="AC178" i="48"/>
  <c r="AD178" i="48"/>
  <c r="AE178" i="48"/>
  <c r="AF178" i="48"/>
  <c r="AG178" i="48"/>
  <c r="D179" i="48"/>
  <c r="O179" i="48"/>
  <c r="P179" i="48"/>
  <c r="Q179" i="48"/>
  <c r="U179" i="48"/>
  <c r="V179" i="48"/>
  <c r="W179" i="48"/>
  <c r="X179" i="48"/>
  <c r="Y179" i="48"/>
  <c r="Z179" i="48"/>
  <c r="AA179" i="48"/>
  <c r="AB179" i="48"/>
  <c r="AC179" i="48"/>
  <c r="AD179" i="48"/>
  <c r="AE179" i="48"/>
  <c r="AF179" i="48"/>
  <c r="AG179" i="48"/>
  <c r="D180" i="48"/>
  <c r="O180" i="48"/>
  <c r="P180" i="48"/>
  <c r="Q180" i="48"/>
  <c r="U180" i="48"/>
  <c r="V180" i="48"/>
  <c r="W180" i="48"/>
  <c r="X180" i="48"/>
  <c r="Y180" i="48"/>
  <c r="Z180" i="48"/>
  <c r="AA180" i="48"/>
  <c r="AB180" i="48"/>
  <c r="AC180" i="48"/>
  <c r="AD180" i="48"/>
  <c r="AE180" i="48"/>
  <c r="AF180" i="48"/>
  <c r="AG180" i="48"/>
  <c r="D181" i="48"/>
  <c r="O181" i="48"/>
  <c r="P181" i="48"/>
  <c r="Q181" i="48"/>
  <c r="U181" i="48"/>
  <c r="V181" i="48"/>
  <c r="W181" i="48"/>
  <c r="X181" i="48"/>
  <c r="Y181" i="48"/>
  <c r="Z181" i="48"/>
  <c r="AA181" i="48"/>
  <c r="AB181" i="48"/>
  <c r="AC181" i="48"/>
  <c r="AD181" i="48"/>
  <c r="AE181" i="48"/>
  <c r="AF181" i="48"/>
  <c r="AG181" i="48"/>
  <c r="D182" i="48"/>
  <c r="O182" i="48"/>
  <c r="P182" i="48"/>
  <c r="Q182" i="48"/>
  <c r="U182" i="48"/>
  <c r="V182" i="48"/>
  <c r="W182" i="48"/>
  <c r="X182" i="48"/>
  <c r="Y182" i="48"/>
  <c r="Z182" i="48"/>
  <c r="AA182" i="48"/>
  <c r="AB182" i="48"/>
  <c r="AC182" i="48"/>
  <c r="AD182" i="48"/>
  <c r="AE182" i="48"/>
  <c r="AF182" i="48"/>
  <c r="AG182" i="48"/>
  <c r="D183" i="48"/>
  <c r="O183" i="48"/>
  <c r="P183" i="48"/>
  <c r="Q183" i="48"/>
  <c r="U183" i="48"/>
  <c r="V183" i="48"/>
  <c r="W183" i="48"/>
  <c r="X183" i="48"/>
  <c r="Y183" i="48"/>
  <c r="Z183" i="48"/>
  <c r="AA183" i="48"/>
  <c r="AB183" i="48"/>
  <c r="AC183" i="48"/>
  <c r="AD183" i="48"/>
  <c r="AE183" i="48"/>
  <c r="AF183" i="48"/>
  <c r="AG183" i="48"/>
  <c r="D184" i="48"/>
  <c r="O184" i="48"/>
  <c r="P184" i="48"/>
  <c r="Q184" i="48"/>
  <c r="U184" i="48"/>
  <c r="V184" i="48"/>
  <c r="W184" i="48"/>
  <c r="X184" i="48"/>
  <c r="Y184" i="48"/>
  <c r="Z184" i="48"/>
  <c r="AA184" i="48"/>
  <c r="AB184" i="48"/>
  <c r="AC184" i="48"/>
  <c r="AD184" i="48"/>
  <c r="AE184" i="48"/>
  <c r="AF184" i="48"/>
  <c r="AG184" i="48"/>
  <c r="D185" i="48"/>
  <c r="O185" i="48"/>
  <c r="P185" i="48"/>
  <c r="Q185" i="48"/>
  <c r="U185" i="48"/>
  <c r="V185" i="48"/>
  <c r="W185" i="48"/>
  <c r="X185" i="48"/>
  <c r="Y185" i="48"/>
  <c r="Z185" i="48"/>
  <c r="AA185" i="48"/>
  <c r="AB185" i="48"/>
  <c r="AC185" i="48"/>
  <c r="AD185" i="48"/>
  <c r="AE185" i="48"/>
  <c r="AF185" i="48"/>
  <c r="AG185" i="48"/>
  <c r="D186" i="48"/>
  <c r="O186" i="48"/>
  <c r="P186" i="48"/>
  <c r="Q186" i="48"/>
  <c r="U186" i="48"/>
  <c r="V186" i="48"/>
  <c r="W186" i="48"/>
  <c r="X186" i="48"/>
  <c r="Y186" i="48"/>
  <c r="Z186" i="48"/>
  <c r="AA186" i="48"/>
  <c r="AB186" i="48"/>
  <c r="AC186" i="48"/>
  <c r="AD186" i="48"/>
  <c r="AE186" i="48"/>
  <c r="AF186" i="48"/>
  <c r="AG186" i="48"/>
  <c r="D187" i="48"/>
  <c r="O187" i="48"/>
  <c r="P187" i="48"/>
  <c r="Q187" i="48"/>
  <c r="U187" i="48"/>
  <c r="V187" i="48"/>
  <c r="W187" i="48"/>
  <c r="X187" i="48"/>
  <c r="Y187" i="48"/>
  <c r="Z187" i="48"/>
  <c r="AA187" i="48"/>
  <c r="AB187" i="48"/>
  <c r="AC187" i="48"/>
  <c r="AD187" i="48"/>
  <c r="AE187" i="48"/>
  <c r="AF187" i="48"/>
  <c r="AG187" i="48"/>
  <c r="D21" i="47"/>
  <c r="O21" i="47"/>
  <c r="P21" i="47"/>
  <c r="Q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D22" i="47"/>
  <c r="O22" i="47"/>
  <c r="P22" i="47"/>
  <c r="Q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D23" i="47"/>
  <c r="O23" i="47"/>
  <c r="P23" i="47"/>
  <c r="Q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D24" i="47"/>
  <c r="O24" i="47"/>
  <c r="P24" i="47"/>
  <c r="Q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D25" i="47"/>
  <c r="O25" i="47"/>
  <c r="P25" i="47"/>
  <c r="Q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D26" i="47"/>
  <c r="O26" i="47"/>
  <c r="P26" i="47"/>
  <c r="Q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D27" i="47"/>
  <c r="O27" i="47"/>
  <c r="P27" i="47"/>
  <c r="Q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D28" i="47"/>
  <c r="O28" i="47"/>
  <c r="P28" i="47"/>
  <c r="Q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D29" i="47"/>
  <c r="O29" i="47"/>
  <c r="P29" i="47"/>
  <c r="Q29" i="47"/>
  <c r="U29" i="47"/>
  <c r="V29" i="47"/>
  <c r="W29" i="47"/>
  <c r="X29" i="47"/>
  <c r="Y29" i="47"/>
  <c r="Z29" i="47"/>
  <c r="AA29" i="47"/>
  <c r="AB29" i="47"/>
  <c r="AC29" i="47"/>
  <c r="AD29" i="47"/>
  <c r="AE29" i="47"/>
  <c r="AF29" i="47"/>
  <c r="AG29" i="47"/>
  <c r="D30" i="47"/>
  <c r="O30" i="47"/>
  <c r="P30" i="47"/>
  <c r="Q30" i="47"/>
  <c r="U30" i="47"/>
  <c r="V30" i="47"/>
  <c r="W30" i="47"/>
  <c r="X30" i="47"/>
  <c r="Y30" i="47"/>
  <c r="Z30" i="47"/>
  <c r="AA30" i="47"/>
  <c r="AB30" i="47"/>
  <c r="AC30" i="47"/>
  <c r="AD30" i="47"/>
  <c r="AE30" i="47"/>
  <c r="AF30" i="47"/>
  <c r="AG30" i="47"/>
  <c r="D31" i="47"/>
  <c r="O31" i="47"/>
  <c r="P31" i="47"/>
  <c r="Q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D32" i="47"/>
  <c r="O32" i="47"/>
  <c r="P32" i="47"/>
  <c r="Q32" i="47"/>
  <c r="U32" i="47"/>
  <c r="V32" i="47"/>
  <c r="W32" i="47"/>
  <c r="X32" i="47"/>
  <c r="Y32" i="47"/>
  <c r="Z32" i="47"/>
  <c r="AA32" i="47"/>
  <c r="AB32" i="47"/>
  <c r="AC32" i="47"/>
  <c r="AD32" i="47"/>
  <c r="AE32" i="47"/>
  <c r="AF32" i="47"/>
  <c r="AG32" i="47"/>
  <c r="D33" i="47"/>
  <c r="O33" i="47"/>
  <c r="P33" i="47"/>
  <c r="Q33" i="47"/>
  <c r="U33" i="47"/>
  <c r="V33" i="47"/>
  <c r="W33" i="47"/>
  <c r="X33" i="47"/>
  <c r="Y33" i="47"/>
  <c r="Z33" i="47"/>
  <c r="AA33" i="47"/>
  <c r="AB33" i="47"/>
  <c r="AC33" i="47"/>
  <c r="AD33" i="47"/>
  <c r="AE33" i="47"/>
  <c r="AF33" i="47"/>
  <c r="AG33" i="47"/>
  <c r="D34" i="47"/>
  <c r="O34" i="47"/>
  <c r="P34" i="47"/>
  <c r="Q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D35" i="47"/>
  <c r="O35" i="47"/>
  <c r="P35" i="47"/>
  <c r="Q35" i="47"/>
  <c r="U35" i="47"/>
  <c r="V35" i="47"/>
  <c r="W35" i="47"/>
  <c r="X35" i="47"/>
  <c r="Y35" i="47"/>
  <c r="Z35" i="47"/>
  <c r="AA35" i="47"/>
  <c r="AB35" i="47"/>
  <c r="AC35" i="47"/>
  <c r="AD35" i="47"/>
  <c r="AE35" i="47"/>
  <c r="AF35" i="47"/>
  <c r="AG35" i="47"/>
  <c r="D36" i="47"/>
  <c r="O36" i="47"/>
  <c r="P36" i="47"/>
  <c r="Q36" i="47"/>
  <c r="U36" i="47"/>
  <c r="V36" i="47"/>
  <c r="W36" i="47"/>
  <c r="X36" i="47"/>
  <c r="Y36" i="47"/>
  <c r="Z36" i="47"/>
  <c r="AA36" i="47"/>
  <c r="AB36" i="47"/>
  <c r="AC36" i="47"/>
  <c r="AD36" i="47"/>
  <c r="AE36" i="47"/>
  <c r="AF36" i="47"/>
  <c r="AG36" i="47"/>
  <c r="D37" i="47"/>
  <c r="O37" i="47"/>
  <c r="P37" i="47"/>
  <c r="Q37" i="47"/>
  <c r="U37" i="47"/>
  <c r="V37" i="47"/>
  <c r="W37" i="47"/>
  <c r="X37" i="47"/>
  <c r="Y37" i="47"/>
  <c r="Z37" i="47"/>
  <c r="AA37" i="47"/>
  <c r="AB37" i="47"/>
  <c r="AC37" i="47"/>
  <c r="AD37" i="47"/>
  <c r="AE37" i="47"/>
  <c r="AF37" i="47"/>
  <c r="AG37" i="47"/>
  <c r="D38" i="47"/>
  <c r="O38" i="47"/>
  <c r="P38" i="47"/>
  <c r="Q38" i="47"/>
  <c r="U38" i="47"/>
  <c r="V38" i="47"/>
  <c r="W38" i="47"/>
  <c r="X38" i="47"/>
  <c r="Y38" i="47"/>
  <c r="Z38" i="47"/>
  <c r="AA38" i="47"/>
  <c r="AB38" i="47"/>
  <c r="AC38" i="47"/>
  <c r="AD38" i="47"/>
  <c r="AE38" i="47"/>
  <c r="AF38" i="47"/>
  <c r="AG38" i="47"/>
  <c r="D39" i="47"/>
  <c r="O39" i="47"/>
  <c r="P39" i="47"/>
  <c r="Q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D40" i="47"/>
  <c r="O40" i="47"/>
  <c r="P40" i="47"/>
  <c r="Q40" i="47"/>
  <c r="U40" i="47"/>
  <c r="V40" i="47"/>
  <c r="W40" i="47"/>
  <c r="X40" i="47"/>
  <c r="Y40" i="47"/>
  <c r="Z40" i="47"/>
  <c r="AA40" i="47"/>
  <c r="AB40" i="47"/>
  <c r="AC40" i="47"/>
  <c r="AD40" i="47"/>
  <c r="AE40" i="47"/>
  <c r="AF40" i="47"/>
  <c r="AG40" i="47"/>
  <c r="D41" i="47"/>
  <c r="O41" i="47"/>
  <c r="P41" i="47"/>
  <c r="Q41" i="47"/>
  <c r="U41" i="47"/>
  <c r="V41" i="47"/>
  <c r="W41" i="47"/>
  <c r="X41" i="47"/>
  <c r="Y41" i="47"/>
  <c r="Z41" i="47"/>
  <c r="AA41" i="47"/>
  <c r="AB41" i="47"/>
  <c r="AC41" i="47"/>
  <c r="AD41" i="47"/>
  <c r="AE41" i="47"/>
  <c r="AF41" i="47"/>
  <c r="AG41" i="47"/>
  <c r="D42" i="47"/>
  <c r="O42" i="47"/>
  <c r="P42" i="47"/>
  <c r="Q42" i="47"/>
  <c r="U42" i="47"/>
  <c r="V42" i="47"/>
  <c r="W42" i="47"/>
  <c r="X42" i="47"/>
  <c r="Y42" i="47"/>
  <c r="Z42" i="47"/>
  <c r="AA42" i="47"/>
  <c r="AB42" i="47"/>
  <c r="AC42" i="47"/>
  <c r="AD42" i="47"/>
  <c r="AE42" i="47"/>
  <c r="AF42" i="47"/>
  <c r="AG42" i="47"/>
  <c r="D43" i="47"/>
  <c r="O43" i="47"/>
  <c r="P43" i="47"/>
  <c r="Q43" i="47"/>
  <c r="U43" i="47"/>
  <c r="V43" i="47"/>
  <c r="W43" i="47"/>
  <c r="X43" i="47"/>
  <c r="Y43" i="47"/>
  <c r="Z43" i="47"/>
  <c r="AA43" i="47"/>
  <c r="AB43" i="47"/>
  <c r="AC43" i="47"/>
  <c r="AD43" i="47"/>
  <c r="AE43" i="47"/>
  <c r="AF43" i="47"/>
  <c r="AG43" i="47"/>
  <c r="D44" i="47"/>
  <c r="O44" i="47"/>
  <c r="P44" i="47"/>
  <c r="Q44" i="47"/>
  <c r="U44" i="47"/>
  <c r="V44" i="47"/>
  <c r="W44" i="47"/>
  <c r="X44" i="47"/>
  <c r="Y44" i="47"/>
  <c r="Z44" i="47"/>
  <c r="AA44" i="47"/>
  <c r="AB44" i="47"/>
  <c r="AC44" i="47"/>
  <c r="AD44" i="47"/>
  <c r="AE44" i="47"/>
  <c r="AF44" i="47"/>
  <c r="AG44" i="47"/>
  <c r="D45" i="47"/>
  <c r="O45" i="47"/>
  <c r="P45" i="47"/>
  <c r="Q45" i="47"/>
  <c r="U45" i="47"/>
  <c r="V45" i="47"/>
  <c r="W45" i="47"/>
  <c r="X45" i="47"/>
  <c r="Y45" i="47"/>
  <c r="Z45" i="47"/>
  <c r="AA45" i="47"/>
  <c r="AB45" i="47"/>
  <c r="AC45" i="47"/>
  <c r="AD45" i="47"/>
  <c r="AE45" i="47"/>
  <c r="AF45" i="47"/>
  <c r="AG45" i="47"/>
  <c r="D46" i="47"/>
  <c r="O46" i="47"/>
  <c r="P46" i="47"/>
  <c r="Q46" i="47"/>
  <c r="U46" i="47"/>
  <c r="V46" i="47"/>
  <c r="W46" i="47"/>
  <c r="X46" i="47"/>
  <c r="Y46" i="47"/>
  <c r="Z46" i="47"/>
  <c r="AA46" i="47"/>
  <c r="AB46" i="47"/>
  <c r="AC46" i="47"/>
  <c r="AD46" i="47"/>
  <c r="AE46" i="47"/>
  <c r="AF46" i="47"/>
  <c r="AG46" i="47"/>
  <c r="D47" i="47"/>
  <c r="O47" i="47"/>
  <c r="P47" i="47"/>
  <c r="Q47" i="47"/>
  <c r="U47" i="47"/>
  <c r="V47" i="47"/>
  <c r="W47" i="47"/>
  <c r="X47" i="47"/>
  <c r="Y47" i="47"/>
  <c r="Z47" i="47"/>
  <c r="AA47" i="47"/>
  <c r="AB47" i="47"/>
  <c r="AC47" i="47"/>
  <c r="AD47" i="47"/>
  <c r="AE47" i="47"/>
  <c r="AF47" i="47"/>
  <c r="AG47" i="47"/>
  <c r="D48" i="47"/>
  <c r="O48" i="47"/>
  <c r="P48" i="47"/>
  <c r="Q48" i="47"/>
  <c r="U48" i="47"/>
  <c r="V48" i="47"/>
  <c r="W48" i="47"/>
  <c r="X48" i="47"/>
  <c r="Y48" i="47"/>
  <c r="Z48" i="47"/>
  <c r="AA48" i="47"/>
  <c r="AB48" i="47"/>
  <c r="AC48" i="47"/>
  <c r="AD48" i="47"/>
  <c r="AE48" i="47"/>
  <c r="AF48" i="47"/>
  <c r="AG48" i="47"/>
  <c r="D49" i="47"/>
  <c r="O49" i="47"/>
  <c r="P49" i="47"/>
  <c r="Q49" i="47"/>
  <c r="U49" i="47"/>
  <c r="V49" i="47"/>
  <c r="W49" i="47"/>
  <c r="X49" i="47"/>
  <c r="Y49" i="47"/>
  <c r="Z49" i="47"/>
  <c r="AA49" i="47"/>
  <c r="AB49" i="47"/>
  <c r="AC49" i="47"/>
  <c r="AD49" i="47"/>
  <c r="AE49" i="47"/>
  <c r="AF49" i="47"/>
  <c r="AG49" i="47"/>
  <c r="D50" i="47"/>
  <c r="O50" i="47"/>
  <c r="P50" i="47"/>
  <c r="Q50" i="47"/>
  <c r="U50" i="47"/>
  <c r="V50" i="47"/>
  <c r="W50" i="47"/>
  <c r="X50" i="47"/>
  <c r="Y50" i="47"/>
  <c r="Z50" i="47"/>
  <c r="AA50" i="47"/>
  <c r="AB50" i="47"/>
  <c r="AC50" i="47"/>
  <c r="AD50" i="47"/>
  <c r="AE50" i="47"/>
  <c r="AF50" i="47"/>
  <c r="AG50" i="47"/>
  <c r="D51" i="47"/>
  <c r="O51" i="47"/>
  <c r="P51" i="47"/>
  <c r="Q51" i="47"/>
  <c r="U51" i="47"/>
  <c r="V51" i="47"/>
  <c r="W51" i="47"/>
  <c r="X51" i="47"/>
  <c r="Y51" i="47"/>
  <c r="Z51" i="47"/>
  <c r="AA51" i="47"/>
  <c r="AB51" i="47"/>
  <c r="AC51" i="47"/>
  <c r="AD51" i="47"/>
  <c r="AE51" i="47"/>
  <c r="AF51" i="47"/>
  <c r="AG51" i="47"/>
  <c r="D52" i="47"/>
  <c r="O52" i="47"/>
  <c r="P52" i="47"/>
  <c r="Q52" i="47"/>
  <c r="U52" i="47"/>
  <c r="V52" i="47"/>
  <c r="W52" i="47"/>
  <c r="X52" i="47"/>
  <c r="Y52" i="47"/>
  <c r="Z52" i="47"/>
  <c r="AA52" i="47"/>
  <c r="AB52" i="47"/>
  <c r="AC52" i="47"/>
  <c r="AD52" i="47"/>
  <c r="AE52" i="47"/>
  <c r="AF52" i="47"/>
  <c r="AG52" i="47"/>
  <c r="D53" i="47"/>
  <c r="O53" i="47"/>
  <c r="P53" i="47"/>
  <c r="Q53" i="47"/>
  <c r="U53" i="47"/>
  <c r="V53" i="47"/>
  <c r="W53" i="47"/>
  <c r="X53" i="47"/>
  <c r="Y53" i="47"/>
  <c r="Z53" i="47"/>
  <c r="AA53" i="47"/>
  <c r="AB53" i="47"/>
  <c r="AC53" i="47"/>
  <c r="AD53" i="47"/>
  <c r="AE53" i="47"/>
  <c r="AF53" i="47"/>
  <c r="AG53" i="47"/>
  <c r="D54" i="47"/>
  <c r="O54" i="47"/>
  <c r="P54" i="47"/>
  <c r="Q54" i="47"/>
  <c r="U54" i="47"/>
  <c r="V54" i="47"/>
  <c r="W54" i="47"/>
  <c r="X54" i="47"/>
  <c r="Y54" i="47"/>
  <c r="Z54" i="47"/>
  <c r="AA54" i="47"/>
  <c r="AB54" i="47"/>
  <c r="AC54" i="47"/>
  <c r="AD54" i="47"/>
  <c r="AE54" i="47"/>
  <c r="AF54" i="47"/>
  <c r="AG54" i="47"/>
  <c r="D55" i="47"/>
  <c r="O55" i="47"/>
  <c r="P55" i="47"/>
  <c r="Q55" i="47"/>
  <c r="U55" i="47"/>
  <c r="V55" i="47"/>
  <c r="W55" i="47"/>
  <c r="X55" i="47"/>
  <c r="Y55" i="47"/>
  <c r="Z55" i="47"/>
  <c r="AA55" i="47"/>
  <c r="AB55" i="47"/>
  <c r="AC55" i="47"/>
  <c r="AD55" i="47"/>
  <c r="AE55" i="47"/>
  <c r="AF55" i="47"/>
  <c r="AG55" i="47"/>
  <c r="D56" i="47"/>
  <c r="O56" i="47"/>
  <c r="P56" i="47"/>
  <c r="Q56" i="47"/>
  <c r="U56" i="47"/>
  <c r="V56" i="47"/>
  <c r="W56" i="47"/>
  <c r="X56" i="47"/>
  <c r="Y56" i="47"/>
  <c r="Z56" i="47"/>
  <c r="AA56" i="47"/>
  <c r="AB56" i="47"/>
  <c r="AC56" i="47"/>
  <c r="AD56" i="47"/>
  <c r="AE56" i="47"/>
  <c r="AF56" i="47"/>
  <c r="AG56" i="47"/>
  <c r="D57" i="47"/>
  <c r="O57" i="47"/>
  <c r="P57" i="47"/>
  <c r="Q57" i="47"/>
  <c r="U57" i="47"/>
  <c r="V57" i="47"/>
  <c r="W57" i="47"/>
  <c r="X57" i="47"/>
  <c r="Y57" i="47"/>
  <c r="Z57" i="47"/>
  <c r="AA57" i="47"/>
  <c r="AB57" i="47"/>
  <c r="AC57" i="47"/>
  <c r="AD57" i="47"/>
  <c r="AE57" i="47"/>
  <c r="AF57" i="47"/>
  <c r="AG57" i="47"/>
  <c r="D58" i="47"/>
  <c r="O58" i="47"/>
  <c r="P58" i="47"/>
  <c r="Q58" i="47"/>
  <c r="U58" i="47"/>
  <c r="V58" i="47"/>
  <c r="W58" i="47"/>
  <c r="X58" i="47"/>
  <c r="Y58" i="47"/>
  <c r="Z58" i="47"/>
  <c r="AA58" i="47"/>
  <c r="AB58" i="47"/>
  <c r="AC58" i="47"/>
  <c r="AD58" i="47"/>
  <c r="AE58" i="47"/>
  <c r="AF58" i="47"/>
  <c r="AG58" i="47"/>
  <c r="D59" i="47"/>
  <c r="O59" i="47"/>
  <c r="P59" i="47"/>
  <c r="Q59" i="47"/>
  <c r="U59" i="47"/>
  <c r="V59" i="47"/>
  <c r="W59" i="47"/>
  <c r="X59" i="47"/>
  <c r="Y59" i="47"/>
  <c r="Z59" i="47"/>
  <c r="AA59" i="47"/>
  <c r="AB59" i="47"/>
  <c r="AC59" i="47"/>
  <c r="AD59" i="47"/>
  <c r="AE59" i="47"/>
  <c r="AF59" i="47"/>
  <c r="AG59" i="47"/>
  <c r="D60" i="47"/>
  <c r="O60" i="47"/>
  <c r="P60" i="47"/>
  <c r="Q60" i="47"/>
  <c r="U60" i="47"/>
  <c r="V60" i="47"/>
  <c r="W60" i="47"/>
  <c r="X60" i="47"/>
  <c r="Y60" i="47"/>
  <c r="Z60" i="47"/>
  <c r="AA60" i="47"/>
  <c r="AB60" i="47"/>
  <c r="AC60" i="47"/>
  <c r="AD60" i="47"/>
  <c r="AE60" i="47"/>
  <c r="AF60" i="47"/>
  <c r="AG60" i="47"/>
  <c r="D61" i="47"/>
  <c r="O61" i="47"/>
  <c r="P61" i="47"/>
  <c r="Q61" i="47"/>
  <c r="U61" i="47"/>
  <c r="V61" i="47"/>
  <c r="W61" i="47"/>
  <c r="X61" i="47"/>
  <c r="Y61" i="47"/>
  <c r="Z61" i="47"/>
  <c r="AA61" i="47"/>
  <c r="AB61" i="47"/>
  <c r="AC61" i="47"/>
  <c r="AD61" i="47"/>
  <c r="AE61" i="47"/>
  <c r="AF61" i="47"/>
  <c r="AG61" i="47"/>
  <c r="D62" i="47"/>
  <c r="O62" i="47"/>
  <c r="P62" i="47"/>
  <c r="Q62" i="47"/>
  <c r="U62" i="47"/>
  <c r="V62" i="47"/>
  <c r="W62" i="47"/>
  <c r="X62" i="47"/>
  <c r="Y62" i="47"/>
  <c r="Z62" i="47"/>
  <c r="AA62" i="47"/>
  <c r="AB62" i="47"/>
  <c r="AC62" i="47"/>
  <c r="AD62" i="47"/>
  <c r="AE62" i="47"/>
  <c r="AF62" i="47"/>
  <c r="AG62" i="47"/>
  <c r="D63" i="47"/>
  <c r="O63" i="47"/>
  <c r="P63" i="47"/>
  <c r="Q63" i="47"/>
  <c r="U63" i="47"/>
  <c r="V63" i="47"/>
  <c r="W63" i="47"/>
  <c r="X63" i="47"/>
  <c r="Y63" i="47"/>
  <c r="Z63" i="47"/>
  <c r="AA63" i="47"/>
  <c r="AB63" i="47"/>
  <c r="AC63" i="47"/>
  <c r="AD63" i="47"/>
  <c r="AE63" i="47"/>
  <c r="AF63" i="47"/>
  <c r="AG63" i="47"/>
  <c r="D64" i="47"/>
  <c r="O64" i="47"/>
  <c r="P64" i="47"/>
  <c r="Q64" i="47"/>
  <c r="U64" i="47"/>
  <c r="V64" i="47"/>
  <c r="W64" i="47"/>
  <c r="X64" i="47"/>
  <c r="Y64" i="47"/>
  <c r="Z64" i="47"/>
  <c r="AA64" i="47"/>
  <c r="AB64" i="47"/>
  <c r="AC64" i="47"/>
  <c r="AD64" i="47"/>
  <c r="AE64" i="47"/>
  <c r="AF64" i="47"/>
  <c r="AG64" i="47"/>
  <c r="D65" i="47"/>
  <c r="O65" i="47"/>
  <c r="P65" i="47"/>
  <c r="Q65" i="47"/>
  <c r="U65" i="47"/>
  <c r="V65" i="47"/>
  <c r="W65" i="47"/>
  <c r="X65" i="47"/>
  <c r="Y65" i="47"/>
  <c r="Z65" i="47"/>
  <c r="AA65" i="47"/>
  <c r="AB65" i="47"/>
  <c r="AC65" i="47"/>
  <c r="AD65" i="47"/>
  <c r="AE65" i="47"/>
  <c r="AF65" i="47"/>
  <c r="AG65" i="47"/>
  <c r="D66" i="47"/>
  <c r="O66" i="47"/>
  <c r="P66" i="47"/>
  <c r="Q66" i="47"/>
  <c r="U66" i="47"/>
  <c r="V66" i="47"/>
  <c r="W66" i="47"/>
  <c r="X66" i="47"/>
  <c r="Y66" i="47"/>
  <c r="Z66" i="47"/>
  <c r="AA66" i="47"/>
  <c r="AB66" i="47"/>
  <c r="AC66" i="47"/>
  <c r="AD66" i="47"/>
  <c r="AE66" i="47"/>
  <c r="AF66" i="47"/>
  <c r="AG66" i="47"/>
  <c r="D67" i="47"/>
  <c r="O67" i="47"/>
  <c r="P67" i="47"/>
  <c r="Q67" i="47"/>
  <c r="U67" i="47"/>
  <c r="V67" i="47"/>
  <c r="W67" i="47"/>
  <c r="X67" i="47"/>
  <c r="Y67" i="47"/>
  <c r="Z67" i="47"/>
  <c r="AA67" i="47"/>
  <c r="AB67" i="47"/>
  <c r="AC67" i="47"/>
  <c r="AD67" i="47"/>
  <c r="AE67" i="47"/>
  <c r="AF67" i="47"/>
  <c r="AG67" i="47"/>
  <c r="D68" i="47"/>
  <c r="O68" i="47"/>
  <c r="P68" i="47"/>
  <c r="Q68" i="47"/>
  <c r="U68" i="47"/>
  <c r="V68" i="47"/>
  <c r="W68" i="47"/>
  <c r="X68" i="47"/>
  <c r="Y68" i="47"/>
  <c r="Z68" i="47"/>
  <c r="AA68" i="47"/>
  <c r="AB68" i="47"/>
  <c r="AC68" i="47"/>
  <c r="AD68" i="47"/>
  <c r="AE68" i="47"/>
  <c r="AF68" i="47"/>
  <c r="AG68" i="47"/>
  <c r="D69" i="47"/>
  <c r="O69" i="47"/>
  <c r="P69" i="47"/>
  <c r="Q69" i="47"/>
  <c r="U69" i="47"/>
  <c r="V69" i="47"/>
  <c r="W69" i="47"/>
  <c r="X69" i="47"/>
  <c r="Y69" i="47"/>
  <c r="Z69" i="47"/>
  <c r="AA69" i="47"/>
  <c r="AB69" i="47"/>
  <c r="AC69" i="47"/>
  <c r="AD69" i="47"/>
  <c r="AE69" i="47"/>
  <c r="AF69" i="47"/>
  <c r="AG69" i="47"/>
  <c r="D70" i="47"/>
  <c r="O70" i="47"/>
  <c r="P70" i="47"/>
  <c r="Q70" i="47"/>
  <c r="U70" i="47"/>
  <c r="V70" i="47"/>
  <c r="W70" i="47"/>
  <c r="X70" i="47"/>
  <c r="Y70" i="47"/>
  <c r="Z70" i="47"/>
  <c r="AA70" i="47"/>
  <c r="AB70" i="47"/>
  <c r="AC70" i="47"/>
  <c r="AD70" i="47"/>
  <c r="AE70" i="47"/>
  <c r="AF70" i="47"/>
  <c r="AG70" i="47"/>
  <c r="D71" i="47"/>
  <c r="O71" i="47"/>
  <c r="P71" i="47"/>
  <c r="Q71" i="47"/>
  <c r="U71" i="47"/>
  <c r="V71" i="47"/>
  <c r="W71" i="47"/>
  <c r="X71" i="47"/>
  <c r="Y71" i="47"/>
  <c r="Z71" i="47"/>
  <c r="AA71" i="47"/>
  <c r="AB71" i="47"/>
  <c r="AC71" i="47"/>
  <c r="AD71" i="47"/>
  <c r="AE71" i="47"/>
  <c r="AF71" i="47"/>
  <c r="AG71" i="47"/>
  <c r="D72" i="47"/>
  <c r="O72" i="47"/>
  <c r="P72" i="47"/>
  <c r="Q72" i="47"/>
  <c r="U72" i="47"/>
  <c r="V72" i="47"/>
  <c r="W72" i="47"/>
  <c r="X72" i="47"/>
  <c r="Y72" i="47"/>
  <c r="Z72" i="47"/>
  <c r="AA72" i="47"/>
  <c r="AB72" i="47"/>
  <c r="AC72" i="47"/>
  <c r="AD72" i="47"/>
  <c r="AE72" i="47"/>
  <c r="AF72" i="47"/>
  <c r="AG72" i="47"/>
  <c r="D73" i="47"/>
  <c r="O73" i="47"/>
  <c r="P73" i="47"/>
  <c r="Q73" i="47"/>
  <c r="U73" i="47"/>
  <c r="V73" i="47"/>
  <c r="W73" i="47"/>
  <c r="X73" i="47"/>
  <c r="Y73" i="47"/>
  <c r="Z73" i="47"/>
  <c r="AA73" i="47"/>
  <c r="AB73" i="47"/>
  <c r="AC73" i="47"/>
  <c r="AD73" i="47"/>
  <c r="AE73" i="47"/>
  <c r="AF73" i="47"/>
  <c r="AG73" i="47"/>
  <c r="D74" i="47"/>
  <c r="O74" i="47"/>
  <c r="P74" i="47"/>
  <c r="Q74" i="47"/>
  <c r="U74" i="47"/>
  <c r="V74" i="47"/>
  <c r="W74" i="47"/>
  <c r="X74" i="47"/>
  <c r="Y74" i="47"/>
  <c r="Z74" i="47"/>
  <c r="AA74" i="47"/>
  <c r="AB74" i="47"/>
  <c r="AC74" i="47"/>
  <c r="AD74" i="47"/>
  <c r="AE74" i="47"/>
  <c r="AF74" i="47"/>
  <c r="AG74" i="47"/>
  <c r="D75" i="47"/>
  <c r="O75" i="47"/>
  <c r="P75" i="47"/>
  <c r="Q75" i="47"/>
  <c r="U75" i="47"/>
  <c r="V75" i="47"/>
  <c r="W75" i="47"/>
  <c r="X75" i="47"/>
  <c r="Y75" i="47"/>
  <c r="Z75" i="47"/>
  <c r="AA75" i="47"/>
  <c r="AB75" i="47"/>
  <c r="AC75" i="47"/>
  <c r="AD75" i="47"/>
  <c r="AE75" i="47"/>
  <c r="AF75" i="47"/>
  <c r="AG75" i="47"/>
  <c r="D76" i="47"/>
  <c r="O76" i="47"/>
  <c r="P76" i="47"/>
  <c r="Q76" i="47"/>
  <c r="U76" i="47"/>
  <c r="V76" i="47"/>
  <c r="W76" i="47"/>
  <c r="X76" i="47"/>
  <c r="Y76" i="47"/>
  <c r="Z76" i="47"/>
  <c r="AA76" i="47"/>
  <c r="AB76" i="47"/>
  <c r="AC76" i="47"/>
  <c r="AD76" i="47"/>
  <c r="AE76" i="47"/>
  <c r="AF76" i="47"/>
  <c r="AG76" i="47"/>
  <c r="D77" i="47"/>
  <c r="O77" i="47"/>
  <c r="P77" i="47"/>
  <c r="Q77" i="47"/>
  <c r="U77" i="47"/>
  <c r="V77" i="47"/>
  <c r="W77" i="47"/>
  <c r="X77" i="47"/>
  <c r="Y77" i="47"/>
  <c r="Z77" i="47"/>
  <c r="AA77" i="47"/>
  <c r="AB77" i="47"/>
  <c r="AC77" i="47"/>
  <c r="AD77" i="47"/>
  <c r="AE77" i="47"/>
  <c r="AF77" i="47"/>
  <c r="AG77" i="47"/>
  <c r="D78" i="47"/>
  <c r="O78" i="47"/>
  <c r="P78" i="47"/>
  <c r="Q78" i="47"/>
  <c r="U78" i="47"/>
  <c r="V78" i="47"/>
  <c r="W78" i="47"/>
  <c r="X78" i="47"/>
  <c r="Y78" i="47"/>
  <c r="Z78" i="47"/>
  <c r="AA78" i="47"/>
  <c r="AB78" i="47"/>
  <c r="AC78" i="47"/>
  <c r="AD78" i="47"/>
  <c r="AE78" i="47"/>
  <c r="AF78" i="47"/>
  <c r="AG78" i="47"/>
  <c r="D79" i="47"/>
  <c r="O79" i="47"/>
  <c r="P79" i="47"/>
  <c r="Q79" i="47"/>
  <c r="U79" i="47"/>
  <c r="V79" i="47"/>
  <c r="W79" i="47"/>
  <c r="X79" i="47"/>
  <c r="Y79" i="47"/>
  <c r="Z79" i="47"/>
  <c r="AA79" i="47"/>
  <c r="AB79" i="47"/>
  <c r="AC79" i="47"/>
  <c r="AD79" i="47"/>
  <c r="AE79" i="47"/>
  <c r="AF79" i="47"/>
  <c r="AG79" i="47"/>
  <c r="D80" i="47"/>
  <c r="O80" i="47"/>
  <c r="P80" i="47"/>
  <c r="Q80" i="47"/>
  <c r="U80" i="47"/>
  <c r="V80" i="47"/>
  <c r="W80" i="47"/>
  <c r="X80" i="47"/>
  <c r="Y80" i="47"/>
  <c r="Z80" i="47"/>
  <c r="AA80" i="47"/>
  <c r="AB80" i="47"/>
  <c r="AC80" i="47"/>
  <c r="AD80" i="47"/>
  <c r="AE80" i="47"/>
  <c r="AF80" i="47"/>
  <c r="AG80" i="47"/>
  <c r="D81" i="47"/>
  <c r="O81" i="47"/>
  <c r="P81" i="47"/>
  <c r="Q81" i="47"/>
  <c r="U81" i="47"/>
  <c r="V81" i="47"/>
  <c r="W81" i="47"/>
  <c r="X81" i="47"/>
  <c r="Y81" i="47"/>
  <c r="Z81" i="47"/>
  <c r="AA81" i="47"/>
  <c r="AB81" i="47"/>
  <c r="AC81" i="47"/>
  <c r="AD81" i="47"/>
  <c r="AE81" i="47"/>
  <c r="AF81" i="47"/>
  <c r="AG81" i="47"/>
  <c r="D82" i="47"/>
  <c r="O82" i="47"/>
  <c r="P82" i="47"/>
  <c r="Q82" i="47"/>
  <c r="U82" i="47"/>
  <c r="V82" i="47"/>
  <c r="W82" i="47"/>
  <c r="X82" i="47"/>
  <c r="Y82" i="47"/>
  <c r="Z82" i="47"/>
  <c r="AA82" i="47"/>
  <c r="AB82" i="47"/>
  <c r="AC82" i="47"/>
  <c r="AD82" i="47"/>
  <c r="AE82" i="47"/>
  <c r="AF82" i="47"/>
  <c r="AG82" i="47"/>
  <c r="D83" i="47"/>
  <c r="O83" i="47"/>
  <c r="P83" i="47"/>
  <c r="Q83" i="47"/>
  <c r="U83" i="47"/>
  <c r="V83" i="47"/>
  <c r="W83" i="47"/>
  <c r="X83" i="47"/>
  <c r="Y83" i="47"/>
  <c r="Z83" i="47"/>
  <c r="AA83" i="47"/>
  <c r="AB83" i="47"/>
  <c r="AC83" i="47"/>
  <c r="AD83" i="47"/>
  <c r="AE83" i="47"/>
  <c r="AF83" i="47"/>
  <c r="AG83" i="47"/>
  <c r="D84" i="47"/>
  <c r="O84" i="47"/>
  <c r="P84" i="47"/>
  <c r="Q84" i="47"/>
  <c r="U84" i="47"/>
  <c r="V84" i="47"/>
  <c r="W84" i="47"/>
  <c r="X84" i="47"/>
  <c r="Y84" i="47"/>
  <c r="Z84" i="47"/>
  <c r="AA84" i="47"/>
  <c r="AB84" i="47"/>
  <c r="AC84" i="47"/>
  <c r="AD84" i="47"/>
  <c r="AE84" i="47"/>
  <c r="AF84" i="47"/>
  <c r="AG84" i="47"/>
  <c r="D85" i="47"/>
  <c r="O85" i="47"/>
  <c r="P85" i="47"/>
  <c r="Q85" i="47"/>
  <c r="U85" i="47"/>
  <c r="V85" i="47"/>
  <c r="W85" i="47"/>
  <c r="X85" i="47"/>
  <c r="Y85" i="47"/>
  <c r="Z85" i="47"/>
  <c r="AA85" i="47"/>
  <c r="AB85" i="47"/>
  <c r="AC85" i="47"/>
  <c r="AD85" i="47"/>
  <c r="AE85" i="47"/>
  <c r="AF85" i="47"/>
  <c r="AG85" i="47"/>
  <c r="D86" i="47"/>
  <c r="O86" i="47"/>
  <c r="P86" i="47"/>
  <c r="Q86" i="47"/>
  <c r="U86" i="47"/>
  <c r="V86" i="47"/>
  <c r="W86" i="47"/>
  <c r="X86" i="47"/>
  <c r="Y86" i="47"/>
  <c r="Z86" i="47"/>
  <c r="AA86" i="47"/>
  <c r="AB86" i="47"/>
  <c r="AC86" i="47"/>
  <c r="AD86" i="47"/>
  <c r="AE86" i="47"/>
  <c r="AF86" i="47"/>
  <c r="AG86" i="47"/>
  <c r="D87" i="47"/>
  <c r="O87" i="47"/>
  <c r="P87" i="47"/>
  <c r="Q87" i="47"/>
  <c r="U87" i="47"/>
  <c r="V87" i="47"/>
  <c r="W87" i="47"/>
  <c r="X87" i="47"/>
  <c r="Y87" i="47"/>
  <c r="Z87" i="47"/>
  <c r="AA87" i="47"/>
  <c r="AB87" i="47"/>
  <c r="AC87" i="47"/>
  <c r="AD87" i="47"/>
  <c r="AE87" i="47"/>
  <c r="AF87" i="47"/>
  <c r="AG87" i="47"/>
  <c r="D88" i="47"/>
  <c r="O88" i="47"/>
  <c r="P88" i="47"/>
  <c r="Q88" i="47"/>
  <c r="U88" i="47"/>
  <c r="V88" i="47"/>
  <c r="W88" i="47"/>
  <c r="X88" i="47"/>
  <c r="Y88" i="47"/>
  <c r="Z88" i="47"/>
  <c r="AA88" i="47"/>
  <c r="AB88" i="47"/>
  <c r="AC88" i="47"/>
  <c r="AD88" i="47"/>
  <c r="AE88" i="47"/>
  <c r="AF88" i="47"/>
  <c r="AG88" i="47"/>
  <c r="D89" i="47"/>
  <c r="O89" i="47"/>
  <c r="P89" i="47"/>
  <c r="Q89" i="47"/>
  <c r="U89" i="47"/>
  <c r="V89" i="47"/>
  <c r="W89" i="47"/>
  <c r="X89" i="47"/>
  <c r="Y89" i="47"/>
  <c r="Z89" i="47"/>
  <c r="AA89" i="47"/>
  <c r="AB89" i="47"/>
  <c r="AC89" i="47"/>
  <c r="AD89" i="47"/>
  <c r="AE89" i="47"/>
  <c r="AF89" i="47"/>
  <c r="AG89" i="47"/>
  <c r="D90" i="47"/>
  <c r="O90" i="47"/>
  <c r="P90" i="47"/>
  <c r="Q90" i="47"/>
  <c r="U90" i="47"/>
  <c r="V90" i="47"/>
  <c r="W90" i="47"/>
  <c r="X90" i="47"/>
  <c r="Y90" i="47"/>
  <c r="Z90" i="47"/>
  <c r="AA90" i="47"/>
  <c r="AB90" i="47"/>
  <c r="AC90" i="47"/>
  <c r="AD90" i="47"/>
  <c r="AE90" i="47"/>
  <c r="AF90" i="47"/>
  <c r="AG90" i="47"/>
  <c r="D91" i="47"/>
  <c r="O91" i="47"/>
  <c r="P91" i="47"/>
  <c r="Q91" i="47"/>
  <c r="U91" i="47"/>
  <c r="V91" i="47"/>
  <c r="W91" i="47"/>
  <c r="X91" i="47"/>
  <c r="Y91" i="47"/>
  <c r="Z91" i="47"/>
  <c r="AA91" i="47"/>
  <c r="AB91" i="47"/>
  <c r="AC91" i="47"/>
  <c r="AD91" i="47"/>
  <c r="AE91" i="47"/>
  <c r="AF91" i="47"/>
  <c r="AG91" i="47"/>
  <c r="D92" i="47"/>
  <c r="O92" i="47"/>
  <c r="P92" i="47"/>
  <c r="Q92" i="47"/>
  <c r="U92" i="47"/>
  <c r="V92" i="47"/>
  <c r="W92" i="47"/>
  <c r="X92" i="47"/>
  <c r="Y92" i="47"/>
  <c r="Z92" i="47"/>
  <c r="AA92" i="47"/>
  <c r="AB92" i="47"/>
  <c r="AC92" i="47"/>
  <c r="AD92" i="47"/>
  <c r="AE92" i="47"/>
  <c r="AF92" i="47"/>
  <c r="AG92" i="47"/>
  <c r="D93" i="47"/>
  <c r="O93" i="47"/>
  <c r="P93" i="47"/>
  <c r="Q93" i="47"/>
  <c r="U93" i="47"/>
  <c r="V93" i="47"/>
  <c r="W93" i="47"/>
  <c r="X93" i="47"/>
  <c r="Y93" i="47"/>
  <c r="Z93" i="47"/>
  <c r="AA93" i="47"/>
  <c r="AB93" i="47"/>
  <c r="AC93" i="47"/>
  <c r="AD93" i="47"/>
  <c r="AE93" i="47"/>
  <c r="AF93" i="47"/>
  <c r="AG93" i="47"/>
  <c r="D94" i="47"/>
  <c r="O94" i="47"/>
  <c r="P94" i="47"/>
  <c r="Q94" i="47"/>
  <c r="U94" i="47"/>
  <c r="V94" i="47"/>
  <c r="W94" i="47"/>
  <c r="X94" i="47"/>
  <c r="Y94" i="47"/>
  <c r="Z94" i="47"/>
  <c r="AA94" i="47"/>
  <c r="AB94" i="47"/>
  <c r="AC94" i="47"/>
  <c r="AD94" i="47"/>
  <c r="AE94" i="47"/>
  <c r="AF94" i="47"/>
  <c r="AG94" i="47"/>
  <c r="D95" i="47"/>
  <c r="O95" i="47"/>
  <c r="P95" i="47"/>
  <c r="Q95" i="47"/>
  <c r="U95" i="47"/>
  <c r="V95" i="47"/>
  <c r="W95" i="47"/>
  <c r="X95" i="47"/>
  <c r="Y95" i="47"/>
  <c r="Z95" i="47"/>
  <c r="AA95" i="47"/>
  <c r="AB95" i="47"/>
  <c r="AC95" i="47"/>
  <c r="AD95" i="47"/>
  <c r="AE95" i="47"/>
  <c r="AF95" i="47"/>
  <c r="AG95" i="47"/>
  <c r="D96" i="47"/>
  <c r="O96" i="47"/>
  <c r="P96" i="47"/>
  <c r="Q96" i="47"/>
  <c r="U96" i="47"/>
  <c r="V96" i="47"/>
  <c r="W96" i="47"/>
  <c r="X96" i="47"/>
  <c r="Y96" i="47"/>
  <c r="Z96" i="47"/>
  <c r="AA96" i="47"/>
  <c r="AB96" i="47"/>
  <c r="AC96" i="47"/>
  <c r="AD96" i="47"/>
  <c r="AE96" i="47"/>
  <c r="AF96" i="47"/>
  <c r="AG96" i="47"/>
  <c r="D97" i="47"/>
  <c r="O97" i="47"/>
  <c r="P97" i="47"/>
  <c r="Q97" i="47"/>
  <c r="U97" i="47"/>
  <c r="V97" i="47"/>
  <c r="W97" i="47"/>
  <c r="X97" i="47"/>
  <c r="Y97" i="47"/>
  <c r="Z97" i="47"/>
  <c r="AA97" i="47"/>
  <c r="AB97" i="47"/>
  <c r="AC97" i="47"/>
  <c r="AD97" i="47"/>
  <c r="AE97" i="47"/>
  <c r="AF97" i="47"/>
  <c r="AG97" i="47"/>
  <c r="D98" i="47"/>
  <c r="O98" i="47"/>
  <c r="P98" i="47"/>
  <c r="Q98" i="47"/>
  <c r="U98" i="47"/>
  <c r="V98" i="47"/>
  <c r="W98" i="47"/>
  <c r="X98" i="47"/>
  <c r="Y98" i="47"/>
  <c r="Z98" i="47"/>
  <c r="AA98" i="47"/>
  <c r="AB98" i="47"/>
  <c r="AC98" i="47"/>
  <c r="AD98" i="47"/>
  <c r="AE98" i="47"/>
  <c r="AF98" i="47"/>
  <c r="AG98" i="47"/>
  <c r="D99" i="47"/>
  <c r="O99" i="47"/>
  <c r="P99" i="47"/>
  <c r="Q99" i="47"/>
  <c r="U99" i="47"/>
  <c r="V99" i="47"/>
  <c r="W99" i="47"/>
  <c r="X99" i="47"/>
  <c r="Y99" i="47"/>
  <c r="Z99" i="47"/>
  <c r="AA99" i="47"/>
  <c r="AB99" i="47"/>
  <c r="AC99" i="47"/>
  <c r="AD99" i="47"/>
  <c r="AE99" i="47"/>
  <c r="AF99" i="47"/>
  <c r="AG99" i="47"/>
  <c r="D100" i="47"/>
  <c r="O100" i="47"/>
  <c r="P100" i="47"/>
  <c r="Q100" i="47"/>
  <c r="U100" i="47"/>
  <c r="V100" i="47"/>
  <c r="W100" i="47"/>
  <c r="X100" i="47"/>
  <c r="Y100" i="47"/>
  <c r="Z100" i="47"/>
  <c r="AA100" i="47"/>
  <c r="AB100" i="47"/>
  <c r="AC100" i="47"/>
  <c r="AD100" i="47"/>
  <c r="AE100" i="47"/>
  <c r="AF100" i="47"/>
  <c r="AG100" i="47"/>
  <c r="D101" i="47"/>
  <c r="O101" i="47"/>
  <c r="P101" i="47"/>
  <c r="Q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D102" i="47"/>
  <c r="O102" i="47"/>
  <c r="P102" i="47"/>
  <c r="Q102" i="47"/>
  <c r="U102" i="47"/>
  <c r="V102" i="47"/>
  <c r="W102" i="47"/>
  <c r="X102" i="47"/>
  <c r="Y102" i="47"/>
  <c r="Z102" i="47"/>
  <c r="AA102" i="47"/>
  <c r="AB102" i="47"/>
  <c r="AC102" i="47"/>
  <c r="AD102" i="47"/>
  <c r="AE102" i="47"/>
  <c r="AF102" i="47"/>
  <c r="AG102" i="47"/>
  <c r="D103" i="47"/>
  <c r="O103" i="47"/>
  <c r="P103" i="47"/>
  <c r="Q103" i="47"/>
  <c r="U103" i="47"/>
  <c r="V103" i="47"/>
  <c r="W103" i="47"/>
  <c r="X103" i="47"/>
  <c r="Y103" i="47"/>
  <c r="Z103" i="47"/>
  <c r="AA103" i="47"/>
  <c r="AB103" i="47"/>
  <c r="AC103" i="47"/>
  <c r="AD103" i="47"/>
  <c r="AE103" i="47"/>
  <c r="AF103" i="47"/>
  <c r="AG103" i="47"/>
  <c r="D104" i="47"/>
  <c r="O104" i="47"/>
  <c r="P104" i="47"/>
  <c r="Q104" i="47"/>
  <c r="U104" i="47"/>
  <c r="V104" i="47"/>
  <c r="W104" i="47"/>
  <c r="X104" i="47"/>
  <c r="Y104" i="47"/>
  <c r="Z104" i="47"/>
  <c r="AA104" i="47"/>
  <c r="AB104" i="47"/>
  <c r="AC104" i="47"/>
  <c r="AD104" i="47"/>
  <c r="AE104" i="47"/>
  <c r="AF104" i="47"/>
  <c r="AG104" i="47"/>
  <c r="D105" i="47"/>
  <c r="O105" i="47"/>
  <c r="P105" i="47"/>
  <c r="Q105" i="47"/>
  <c r="U105" i="47"/>
  <c r="V105" i="47"/>
  <c r="W105" i="47"/>
  <c r="X105" i="47"/>
  <c r="Y105" i="47"/>
  <c r="Z105" i="47"/>
  <c r="AA105" i="47"/>
  <c r="AB105" i="47"/>
  <c r="AC105" i="47"/>
  <c r="AD105" i="47"/>
  <c r="AE105" i="47"/>
  <c r="AF105" i="47"/>
  <c r="AG105" i="47"/>
  <c r="D106" i="47"/>
  <c r="O106" i="47"/>
  <c r="P106" i="47"/>
  <c r="Q106" i="47"/>
  <c r="U106" i="47"/>
  <c r="V106" i="47"/>
  <c r="W106" i="47"/>
  <c r="X106" i="47"/>
  <c r="Y106" i="47"/>
  <c r="Z106" i="47"/>
  <c r="AA106" i="47"/>
  <c r="AB106" i="47"/>
  <c r="AC106" i="47"/>
  <c r="AD106" i="47"/>
  <c r="AE106" i="47"/>
  <c r="AF106" i="47"/>
  <c r="AG106" i="47"/>
  <c r="D107" i="47"/>
  <c r="O107" i="47"/>
  <c r="P107" i="47"/>
  <c r="Q107" i="47"/>
  <c r="U107" i="47"/>
  <c r="V107" i="47"/>
  <c r="W107" i="47"/>
  <c r="X107" i="47"/>
  <c r="Y107" i="47"/>
  <c r="Z107" i="47"/>
  <c r="AA107" i="47"/>
  <c r="AB107" i="47"/>
  <c r="AC107" i="47"/>
  <c r="AD107" i="47"/>
  <c r="AE107" i="47"/>
  <c r="AF107" i="47"/>
  <c r="AG107" i="47"/>
  <c r="D108" i="47"/>
  <c r="O108" i="47"/>
  <c r="P108" i="47"/>
  <c r="Q108" i="47"/>
  <c r="U108" i="47"/>
  <c r="V108" i="47"/>
  <c r="W108" i="47"/>
  <c r="X108" i="47"/>
  <c r="Y108" i="47"/>
  <c r="Z108" i="47"/>
  <c r="AA108" i="47"/>
  <c r="AB108" i="47"/>
  <c r="AC108" i="47"/>
  <c r="AD108" i="47"/>
  <c r="AE108" i="47"/>
  <c r="AF108" i="47"/>
  <c r="AG108" i="47"/>
  <c r="D109" i="47"/>
  <c r="O109" i="47"/>
  <c r="P109" i="47"/>
  <c r="Q109" i="47"/>
  <c r="U109" i="47"/>
  <c r="V109" i="47"/>
  <c r="W109" i="47"/>
  <c r="X109" i="47"/>
  <c r="Y109" i="47"/>
  <c r="Z109" i="47"/>
  <c r="AA109" i="47"/>
  <c r="AB109" i="47"/>
  <c r="AC109" i="47"/>
  <c r="AD109" i="47"/>
  <c r="AE109" i="47"/>
  <c r="AF109" i="47"/>
  <c r="AG109" i="47"/>
  <c r="D110" i="47"/>
  <c r="O110" i="47"/>
  <c r="P110" i="47"/>
  <c r="Q110" i="47"/>
  <c r="U110" i="47"/>
  <c r="V110" i="47"/>
  <c r="W110" i="47"/>
  <c r="X110" i="47"/>
  <c r="Y110" i="47"/>
  <c r="Z110" i="47"/>
  <c r="AA110" i="47"/>
  <c r="AB110" i="47"/>
  <c r="AC110" i="47"/>
  <c r="AD110" i="47"/>
  <c r="AE110" i="47"/>
  <c r="AF110" i="47"/>
  <c r="AG110" i="47"/>
  <c r="D111" i="47"/>
  <c r="O111" i="47"/>
  <c r="P111" i="47"/>
  <c r="Q111" i="47"/>
  <c r="U111" i="47"/>
  <c r="V111" i="47"/>
  <c r="W111" i="47"/>
  <c r="X111" i="47"/>
  <c r="Y111" i="47"/>
  <c r="Z111" i="47"/>
  <c r="AA111" i="47"/>
  <c r="AB111" i="47"/>
  <c r="AC111" i="47"/>
  <c r="AD111" i="47"/>
  <c r="AE111" i="47"/>
  <c r="AF111" i="47"/>
  <c r="AG111" i="47"/>
  <c r="D112" i="47"/>
  <c r="O112" i="47"/>
  <c r="P112" i="47"/>
  <c r="Q112" i="47"/>
  <c r="U112" i="47"/>
  <c r="V112" i="47"/>
  <c r="W112" i="47"/>
  <c r="X112" i="47"/>
  <c r="Y112" i="47"/>
  <c r="Z112" i="47"/>
  <c r="AA112" i="47"/>
  <c r="AB112" i="47"/>
  <c r="AC112" i="47"/>
  <c r="AD112" i="47"/>
  <c r="AE112" i="47"/>
  <c r="AF112" i="47"/>
  <c r="AG112" i="47"/>
  <c r="D113" i="47"/>
  <c r="O113" i="47"/>
  <c r="P113" i="47"/>
  <c r="Q113" i="47"/>
  <c r="U113" i="47"/>
  <c r="V113" i="47"/>
  <c r="W113" i="47"/>
  <c r="X113" i="47"/>
  <c r="Y113" i="47"/>
  <c r="Z113" i="47"/>
  <c r="AA113" i="47"/>
  <c r="AB113" i="47"/>
  <c r="AC113" i="47"/>
  <c r="AD113" i="47"/>
  <c r="AE113" i="47"/>
  <c r="AF113" i="47"/>
  <c r="AG113" i="47"/>
  <c r="D114" i="47"/>
  <c r="O114" i="47"/>
  <c r="P114" i="47"/>
  <c r="Q114" i="47"/>
  <c r="U114" i="47"/>
  <c r="V114" i="47"/>
  <c r="W114" i="47"/>
  <c r="X114" i="47"/>
  <c r="Y114" i="47"/>
  <c r="Z114" i="47"/>
  <c r="AA114" i="47"/>
  <c r="AB114" i="47"/>
  <c r="AC114" i="47"/>
  <c r="AD114" i="47"/>
  <c r="AE114" i="47"/>
  <c r="AF114" i="47"/>
  <c r="AG114" i="47"/>
  <c r="D115" i="47"/>
  <c r="O115" i="47"/>
  <c r="P115" i="47"/>
  <c r="Q115" i="47"/>
  <c r="U115" i="47"/>
  <c r="V115" i="47"/>
  <c r="W115" i="47"/>
  <c r="X115" i="47"/>
  <c r="Y115" i="47"/>
  <c r="Z115" i="47"/>
  <c r="AA115" i="47"/>
  <c r="AB115" i="47"/>
  <c r="AC115" i="47"/>
  <c r="AD115" i="47"/>
  <c r="AE115" i="47"/>
  <c r="AF115" i="47"/>
  <c r="AG115" i="47"/>
  <c r="D116" i="47"/>
  <c r="O116" i="47"/>
  <c r="P116" i="47"/>
  <c r="Q116" i="47"/>
  <c r="U116" i="47"/>
  <c r="V116" i="47"/>
  <c r="W116" i="47"/>
  <c r="X116" i="47"/>
  <c r="Y116" i="47"/>
  <c r="Z116" i="47"/>
  <c r="AA116" i="47"/>
  <c r="AB116" i="47"/>
  <c r="AC116" i="47"/>
  <c r="AD116" i="47"/>
  <c r="AE116" i="47"/>
  <c r="AF116" i="47"/>
  <c r="AG116" i="47"/>
  <c r="D117" i="47"/>
  <c r="O117" i="47"/>
  <c r="P117" i="47"/>
  <c r="Q117" i="47"/>
  <c r="U117" i="47"/>
  <c r="V117" i="47"/>
  <c r="W117" i="47"/>
  <c r="X117" i="47"/>
  <c r="Y117" i="47"/>
  <c r="Z117" i="47"/>
  <c r="AA117" i="47"/>
  <c r="AB117" i="47"/>
  <c r="AC117" i="47"/>
  <c r="AD117" i="47"/>
  <c r="AE117" i="47"/>
  <c r="AF117" i="47"/>
  <c r="AG117" i="47"/>
  <c r="D118" i="47"/>
  <c r="O118" i="47"/>
  <c r="P118" i="47"/>
  <c r="Q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D119" i="47"/>
  <c r="O119" i="47"/>
  <c r="P119" i="47"/>
  <c r="Q119" i="47"/>
  <c r="U119" i="47"/>
  <c r="V119" i="47"/>
  <c r="W119" i="47"/>
  <c r="X119" i="47"/>
  <c r="Y119" i="47"/>
  <c r="Z119" i="47"/>
  <c r="AA119" i="47"/>
  <c r="AB119" i="47"/>
  <c r="AC119" i="47"/>
  <c r="AD119" i="47"/>
  <c r="AE119" i="47"/>
  <c r="AF119" i="47"/>
  <c r="AG119" i="47"/>
  <c r="D120" i="47"/>
  <c r="O120" i="47"/>
  <c r="P120" i="47"/>
  <c r="Q120" i="47"/>
  <c r="U120" i="47"/>
  <c r="V120" i="47"/>
  <c r="W120" i="47"/>
  <c r="X120" i="47"/>
  <c r="Y120" i="47"/>
  <c r="Z120" i="47"/>
  <c r="AA120" i="47"/>
  <c r="AB120" i="47"/>
  <c r="AC120" i="47"/>
  <c r="AD120" i="47"/>
  <c r="AE120" i="47"/>
  <c r="AF120" i="47"/>
  <c r="AG120" i="47"/>
  <c r="D121" i="47"/>
  <c r="O121" i="47"/>
  <c r="P121" i="47"/>
  <c r="Q121" i="47"/>
  <c r="U121" i="47"/>
  <c r="V121" i="47"/>
  <c r="W121" i="47"/>
  <c r="X121" i="47"/>
  <c r="Y121" i="47"/>
  <c r="Z121" i="47"/>
  <c r="AA121" i="47"/>
  <c r="AB121" i="47"/>
  <c r="AC121" i="47"/>
  <c r="AD121" i="47"/>
  <c r="AE121" i="47"/>
  <c r="AF121" i="47"/>
  <c r="AG121" i="47"/>
  <c r="D122" i="47"/>
  <c r="O122" i="47"/>
  <c r="P122" i="47"/>
  <c r="Q122" i="47"/>
  <c r="U122" i="47"/>
  <c r="V122" i="47"/>
  <c r="W122" i="47"/>
  <c r="X122" i="47"/>
  <c r="Y122" i="47"/>
  <c r="Z122" i="47"/>
  <c r="AA122" i="47"/>
  <c r="AB122" i="47"/>
  <c r="AC122" i="47"/>
  <c r="AD122" i="47"/>
  <c r="AE122" i="47"/>
  <c r="AF122" i="47"/>
  <c r="AG122" i="47"/>
  <c r="D123" i="47"/>
  <c r="O123" i="47"/>
  <c r="P123" i="47"/>
  <c r="Q123" i="47"/>
  <c r="U123" i="47"/>
  <c r="V123" i="47"/>
  <c r="W123" i="47"/>
  <c r="X123" i="47"/>
  <c r="Y123" i="47"/>
  <c r="Z123" i="47"/>
  <c r="AA123" i="47"/>
  <c r="AB123" i="47"/>
  <c r="AC123" i="47"/>
  <c r="AD123" i="47"/>
  <c r="AE123" i="47"/>
  <c r="AF123" i="47"/>
  <c r="AG123" i="47"/>
  <c r="D124" i="47"/>
  <c r="O124" i="47"/>
  <c r="P124" i="47"/>
  <c r="Q124" i="47"/>
  <c r="U124" i="47"/>
  <c r="V124" i="47"/>
  <c r="W124" i="47"/>
  <c r="X124" i="47"/>
  <c r="Y124" i="47"/>
  <c r="Z124" i="47"/>
  <c r="AA124" i="47"/>
  <c r="AB124" i="47"/>
  <c r="AC124" i="47"/>
  <c r="AD124" i="47"/>
  <c r="AE124" i="47"/>
  <c r="AF124" i="47"/>
  <c r="AG124" i="47"/>
  <c r="D125" i="47"/>
  <c r="O125" i="47"/>
  <c r="P125" i="47"/>
  <c r="Q125" i="47"/>
  <c r="U125" i="47"/>
  <c r="V125" i="47"/>
  <c r="W125" i="47"/>
  <c r="X125" i="47"/>
  <c r="Y125" i="47"/>
  <c r="Z125" i="47"/>
  <c r="AA125" i="47"/>
  <c r="AB125" i="47"/>
  <c r="AC125" i="47"/>
  <c r="AD125" i="47"/>
  <c r="AE125" i="47"/>
  <c r="AF125" i="47"/>
  <c r="AG125" i="47"/>
  <c r="D126" i="47"/>
  <c r="O126" i="47"/>
  <c r="P126" i="47"/>
  <c r="Q126" i="47"/>
  <c r="U126" i="47"/>
  <c r="V126" i="47"/>
  <c r="W126" i="47"/>
  <c r="X126" i="47"/>
  <c r="Y126" i="47"/>
  <c r="Z126" i="47"/>
  <c r="AA126" i="47"/>
  <c r="AB126" i="47"/>
  <c r="AC126" i="47"/>
  <c r="AD126" i="47"/>
  <c r="AE126" i="47"/>
  <c r="AF126" i="47"/>
  <c r="AG126" i="47"/>
  <c r="D127" i="47"/>
  <c r="O127" i="47"/>
  <c r="P127" i="47"/>
  <c r="Q127" i="47"/>
  <c r="U127" i="47"/>
  <c r="V127" i="47"/>
  <c r="W127" i="47"/>
  <c r="X127" i="47"/>
  <c r="Y127" i="47"/>
  <c r="Z127" i="47"/>
  <c r="AA127" i="47"/>
  <c r="AB127" i="47"/>
  <c r="AC127" i="47"/>
  <c r="AD127" i="47"/>
  <c r="AE127" i="47"/>
  <c r="AF127" i="47"/>
  <c r="AG127" i="47"/>
  <c r="D128" i="47"/>
  <c r="O128" i="47"/>
  <c r="P128" i="47"/>
  <c r="Q128" i="47"/>
  <c r="U128" i="47"/>
  <c r="V128" i="47"/>
  <c r="W128" i="47"/>
  <c r="X128" i="47"/>
  <c r="Y128" i="47"/>
  <c r="Z128" i="47"/>
  <c r="AA128" i="47"/>
  <c r="AB128" i="47"/>
  <c r="AC128" i="47"/>
  <c r="AD128" i="47"/>
  <c r="AE128" i="47"/>
  <c r="AF128" i="47"/>
  <c r="AG128" i="47"/>
  <c r="D129" i="47"/>
  <c r="O129" i="47"/>
  <c r="P129" i="47"/>
  <c r="Q129" i="47"/>
  <c r="U129" i="47"/>
  <c r="V129" i="47"/>
  <c r="W129" i="47"/>
  <c r="X129" i="47"/>
  <c r="Y129" i="47"/>
  <c r="Z129" i="47"/>
  <c r="AA129" i="47"/>
  <c r="AB129" i="47"/>
  <c r="AC129" i="47"/>
  <c r="AD129" i="47"/>
  <c r="AE129" i="47"/>
  <c r="AF129" i="47"/>
  <c r="AG129" i="47"/>
  <c r="D130" i="47"/>
  <c r="O130" i="47"/>
  <c r="P130" i="47"/>
  <c r="Q130" i="47"/>
  <c r="U130" i="47"/>
  <c r="V130" i="47"/>
  <c r="W130" i="47"/>
  <c r="X130" i="47"/>
  <c r="Y130" i="47"/>
  <c r="Z130" i="47"/>
  <c r="AA130" i="47"/>
  <c r="AB130" i="47"/>
  <c r="AC130" i="47"/>
  <c r="AD130" i="47"/>
  <c r="AE130" i="47"/>
  <c r="AF130" i="47"/>
  <c r="AG130" i="47"/>
  <c r="D131" i="47"/>
  <c r="O131" i="47"/>
  <c r="P131" i="47"/>
  <c r="Q131" i="47"/>
  <c r="U131" i="47"/>
  <c r="V131" i="47"/>
  <c r="W131" i="47"/>
  <c r="X131" i="47"/>
  <c r="Y131" i="47"/>
  <c r="Z131" i="47"/>
  <c r="AA131" i="47"/>
  <c r="AB131" i="47"/>
  <c r="AC131" i="47"/>
  <c r="AD131" i="47"/>
  <c r="AE131" i="47"/>
  <c r="AF131" i="47"/>
  <c r="AG131" i="47"/>
  <c r="D132" i="47"/>
  <c r="O132" i="47"/>
  <c r="P132" i="47"/>
  <c r="Q132" i="47"/>
  <c r="U132" i="47"/>
  <c r="V132" i="47"/>
  <c r="W132" i="47"/>
  <c r="X132" i="47"/>
  <c r="Y132" i="47"/>
  <c r="Z132" i="47"/>
  <c r="AA132" i="47"/>
  <c r="AB132" i="47"/>
  <c r="AC132" i="47"/>
  <c r="AD132" i="47"/>
  <c r="AE132" i="47"/>
  <c r="AF132" i="47"/>
  <c r="AG132" i="47"/>
  <c r="D133" i="47"/>
  <c r="O133" i="47"/>
  <c r="P133" i="47"/>
  <c r="Q133" i="47"/>
  <c r="U133" i="47"/>
  <c r="V133" i="47"/>
  <c r="W133" i="47"/>
  <c r="X133" i="47"/>
  <c r="Y133" i="47"/>
  <c r="Z133" i="47"/>
  <c r="AA133" i="47"/>
  <c r="AB133" i="47"/>
  <c r="AC133" i="47"/>
  <c r="AD133" i="47"/>
  <c r="AE133" i="47"/>
  <c r="AF133" i="47"/>
  <c r="AG133" i="47"/>
  <c r="D134" i="47"/>
  <c r="O134" i="47"/>
  <c r="P134" i="47"/>
  <c r="Q134" i="47"/>
  <c r="U134" i="47"/>
  <c r="V134" i="47"/>
  <c r="W134" i="47"/>
  <c r="X134" i="47"/>
  <c r="Y134" i="47"/>
  <c r="Z134" i="47"/>
  <c r="AA134" i="47"/>
  <c r="AB134" i="47"/>
  <c r="AC134" i="47"/>
  <c r="AD134" i="47"/>
  <c r="AE134" i="47"/>
  <c r="AF134" i="47"/>
  <c r="AG134" i="47"/>
  <c r="D135" i="47"/>
  <c r="O135" i="47"/>
  <c r="P135" i="47"/>
  <c r="Q135" i="47"/>
  <c r="U135" i="47"/>
  <c r="V135" i="47"/>
  <c r="W135" i="47"/>
  <c r="X135" i="47"/>
  <c r="Y135" i="47"/>
  <c r="Z135" i="47"/>
  <c r="AA135" i="47"/>
  <c r="AB135" i="47"/>
  <c r="AC135" i="47"/>
  <c r="AD135" i="47"/>
  <c r="AE135" i="47"/>
  <c r="AF135" i="47"/>
  <c r="AG135" i="47"/>
  <c r="D136" i="47"/>
  <c r="O136" i="47"/>
  <c r="P136" i="47"/>
  <c r="Q136" i="47"/>
  <c r="U136" i="47"/>
  <c r="V136" i="47"/>
  <c r="W136" i="47"/>
  <c r="X136" i="47"/>
  <c r="Y136" i="47"/>
  <c r="Z136" i="47"/>
  <c r="AA136" i="47"/>
  <c r="AB136" i="47"/>
  <c r="AC136" i="47"/>
  <c r="AD136" i="47"/>
  <c r="AE136" i="47"/>
  <c r="AF136" i="47"/>
  <c r="AG136" i="47"/>
  <c r="D137" i="47"/>
  <c r="O137" i="47"/>
  <c r="P137" i="47"/>
  <c r="Q137" i="47"/>
  <c r="U137" i="47"/>
  <c r="V137" i="47"/>
  <c r="W137" i="47"/>
  <c r="X137" i="47"/>
  <c r="Y137" i="47"/>
  <c r="Z137" i="47"/>
  <c r="AA137" i="47"/>
  <c r="AB137" i="47"/>
  <c r="AC137" i="47"/>
  <c r="AD137" i="47"/>
  <c r="AE137" i="47"/>
  <c r="AF137" i="47"/>
  <c r="AG137" i="47"/>
  <c r="D138" i="47"/>
  <c r="O138" i="47"/>
  <c r="P138" i="47"/>
  <c r="Q138" i="47"/>
  <c r="U138" i="47"/>
  <c r="V138" i="47"/>
  <c r="W138" i="47"/>
  <c r="X138" i="47"/>
  <c r="Y138" i="47"/>
  <c r="Z138" i="47"/>
  <c r="AA138" i="47"/>
  <c r="AB138" i="47"/>
  <c r="AC138" i="47"/>
  <c r="AD138" i="47"/>
  <c r="AE138" i="47"/>
  <c r="AF138" i="47"/>
  <c r="AG138" i="47"/>
  <c r="D139" i="47"/>
  <c r="O139" i="47"/>
  <c r="P139" i="47"/>
  <c r="Q139" i="47"/>
  <c r="U139" i="47"/>
  <c r="V139" i="47"/>
  <c r="W139" i="47"/>
  <c r="X139" i="47"/>
  <c r="Y139" i="47"/>
  <c r="Z139" i="47"/>
  <c r="AA139" i="47"/>
  <c r="AB139" i="47"/>
  <c r="AC139" i="47"/>
  <c r="AD139" i="47"/>
  <c r="AE139" i="47"/>
  <c r="AF139" i="47"/>
  <c r="AG139" i="47"/>
  <c r="D140" i="47"/>
  <c r="O140" i="47"/>
  <c r="P140" i="47"/>
  <c r="Q140" i="47"/>
  <c r="U140" i="47"/>
  <c r="V140" i="47"/>
  <c r="W140" i="47"/>
  <c r="X140" i="47"/>
  <c r="Y140" i="47"/>
  <c r="Z140" i="47"/>
  <c r="AA140" i="47"/>
  <c r="AB140" i="47"/>
  <c r="AC140" i="47"/>
  <c r="AD140" i="47"/>
  <c r="AE140" i="47"/>
  <c r="AF140" i="47"/>
  <c r="AG140" i="47"/>
  <c r="D141" i="47"/>
  <c r="O141" i="47"/>
  <c r="P141" i="47"/>
  <c r="Q141" i="47"/>
  <c r="U141" i="47"/>
  <c r="V141" i="47"/>
  <c r="W141" i="47"/>
  <c r="X141" i="47"/>
  <c r="Y141" i="47"/>
  <c r="Z141" i="47"/>
  <c r="AA141" i="47"/>
  <c r="AB141" i="47"/>
  <c r="AC141" i="47"/>
  <c r="AD141" i="47"/>
  <c r="AE141" i="47"/>
  <c r="AF141" i="47"/>
  <c r="AG141" i="47"/>
  <c r="D142" i="47"/>
  <c r="O142" i="47"/>
  <c r="P142" i="47"/>
  <c r="Q142" i="47"/>
  <c r="U142" i="47"/>
  <c r="V142" i="47"/>
  <c r="W142" i="47"/>
  <c r="X142" i="47"/>
  <c r="Y142" i="47"/>
  <c r="Z142" i="47"/>
  <c r="AA142" i="47"/>
  <c r="AB142" i="47"/>
  <c r="AC142" i="47"/>
  <c r="AD142" i="47"/>
  <c r="AE142" i="47"/>
  <c r="AF142" i="47"/>
  <c r="AG142" i="47"/>
  <c r="D143" i="47"/>
  <c r="O143" i="47"/>
  <c r="P143" i="47"/>
  <c r="Q143" i="47"/>
  <c r="U143" i="47"/>
  <c r="V143" i="47"/>
  <c r="W143" i="47"/>
  <c r="X143" i="47"/>
  <c r="Y143" i="47"/>
  <c r="Z143" i="47"/>
  <c r="AA143" i="47"/>
  <c r="AB143" i="47"/>
  <c r="AC143" i="47"/>
  <c r="AD143" i="47"/>
  <c r="AE143" i="47"/>
  <c r="AF143" i="47"/>
  <c r="AG143" i="47"/>
  <c r="D144" i="47"/>
  <c r="O144" i="47"/>
  <c r="P144" i="47"/>
  <c r="Q144" i="47"/>
  <c r="U144" i="47"/>
  <c r="V144" i="47"/>
  <c r="W144" i="47"/>
  <c r="X144" i="47"/>
  <c r="Y144" i="47"/>
  <c r="Z144" i="47"/>
  <c r="AA144" i="47"/>
  <c r="AB144" i="47"/>
  <c r="AC144" i="47"/>
  <c r="AD144" i="47"/>
  <c r="AE144" i="47"/>
  <c r="AF144" i="47"/>
  <c r="AG144" i="47"/>
  <c r="D145" i="47"/>
  <c r="O145" i="47"/>
  <c r="P145" i="47"/>
  <c r="Q145" i="47"/>
  <c r="U145" i="47"/>
  <c r="V145" i="47"/>
  <c r="W145" i="47"/>
  <c r="X145" i="47"/>
  <c r="Y145" i="47"/>
  <c r="Z145" i="47"/>
  <c r="AA145" i="47"/>
  <c r="AB145" i="47"/>
  <c r="AC145" i="47"/>
  <c r="AD145" i="47"/>
  <c r="AE145" i="47"/>
  <c r="AF145" i="47"/>
  <c r="AG145" i="47"/>
  <c r="D146" i="47"/>
  <c r="O146" i="47"/>
  <c r="P146" i="47"/>
  <c r="Q146" i="47"/>
  <c r="U146" i="47"/>
  <c r="V146" i="47"/>
  <c r="W146" i="47"/>
  <c r="X146" i="47"/>
  <c r="Y146" i="47"/>
  <c r="Z146" i="47"/>
  <c r="AA146" i="47"/>
  <c r="AB146" i="47"/>
  <c r="AC146" i="47"/>
  <c r="AD146" i="47"/>
  <c r="AE146" i="47"/>
  <c r="AF146" i="47"/>
  <c r="AG146" i="47"/>
  <c r="D147" i="47"/>
  <c r="O147" i="47"/>
  <c r="P147" i="47"/>
  <c r="Q147" i="47"/>
  <c r="U147" i="47"/>
  <c r="V147" i="47"/>
  <c r="W147" i="47"/>
  <c r="X147" i="47"/>
  <c r="Y147" i="47"/>
  <c r="Z147" i="47"/>
  <c r="AA147" i="47"/>
  <c r="AB147" i="47"/>
  <c r="AC147" i="47"/>
  <c r="AD147" i="47"/>
  <c r="AE147" i="47"/>
  <c r="AF147" i="47"/>
  <c r="AG147" i="47"/>
  <c r="D148" i="47"/>
  <c r="O148" i="47"/>
  <c r="P148" i="47"/>
  <c r="Q148" i="47"/>
  <c r="U148" i="47"/>
  <c r="V148" i="47"/>
  <c r="W148" i="47"/>
  <c r="X148" i="47"/>
  <c r="Y148" i="47"/>
  <c r="Z148" i="47"/>
  <c r="AA148" i="47"/>
  <c r="AB148" i="47"/>
  <c r="AC148" i="47"/>
  <c r="AD148" i="47"/>
  <c r="AE148" i="47"/>
  <c r="AF148" i="47"/>
  <c r="AG148" i="47"/>
  <c r="D149" i="47"/>
  <c r="O149" i="47"/>
  <c r="P149" i="47"/>
  <c r="Q149" i="47"/>
  <c r="U149" i="47"/>
  <c r="V149" i="47"/>
  <c r="W149" i="47"/>
  <c r="X149" i="47"/>
  <c r="Y149" i="47"/>
  <c r="Z149" i="47"/>
  <c r="AA149" i="47"/>
  <c r="AB149" i="47"/>
  <c r="AC149" i="47"/>
  <c r="AD149" i="47"/>
  <c r="AE149" i="47"/>
  <c r="AF149" i="47"/>
  <c r="AG149" i="47"/>
  <c r="D150" i="47"/>
  <c r="O150" i="47"/>
  <c r="P150" i="47"/>
  <c r="Q150" i="47"/>
  <c r="U150" i="47"/>
  <c r="V150" i="47"/>
  <c r="W150" i="47"/>
  <c r="X150" i="47"/>
  <c r="Y150" i="47"/>
  <c r="Z150" i="47"/>
  <c r="AA150" i="47"/>
  <c r="AB150" i="47"/>
  <c r="AC150" i="47"/>
  <c r="AD150" i="47"/>
  <c r="AE150" i="47"/>
  <c r="AF150" i="47"/>
  <c r="AG150" i="47"/>
  <c r="D151" i="47"/>
  <c r="O151" i="47"/>
  <c r="P151" i="47"/>
  <c r="Q151" i="47"/>
  <c r="U151" i="47"/>
  <c r="V151" i="47"/>
  <c r="W151" i="47"/>
  <c r="X151" i="47"/>
  <c r="Y151" i="47"/>
  <c r="Z151" i="47"/>
  <c r="AA151" i="47"/>
  <c r="AB151" i="47"/>
  <c r="AC151" i="47"/>
  <c r="AD151" i="47"/>
  <c r="AE151" i="47"/>
  <c r="AF151" i="47"/>
  <c r="AG151" i="47"/>
  <c r="D152" i="47"/>
  <c r="O152" i="47"/>
  <c r="P152" i="47"/>
  <c r="Q152" i="47"/>
  <c r="U152" i="47"/>
  <c r="V152" i="47"/>
  <c r="W152" i="47"/>
  <c r="X152" i="47"/>
  <c r="Y152" i="47"/>
  <c r="Z152" i="47"/>
  <c r="AA152" i="47"/>
  <c r="AB152" i="47"/>
  <c r="AC152" i="47"/>
  <c r="AD152" i="47"/>
  <c r="AE152" i="47"/>
  <c r="AF152" i="47"/>
  <c r="AG152" i="47"/>
  <c r="D153" i="47"/>
  <c r="O153" i="47"/>
  <c r="P153" i="47"/>
  <c r="Q153" i="47"/>
  <c r="U153" i="47"/>
  <c r="V153" i="47"/>
  <c r="W153" i="47"/>
  <c r="X153" i="47"/>
  <c r="Y153" i="47"/>
  <c r="Z153" i="47"/>
  <c r="AA153" i="47"/>
  <c r="AB153" i="47"/>
  <c r="AC153" i="47"/>
  <c r="AD153" i="47"/>
  <c r="AE153" i="47"/>
  <c r="AF153" i="47"/>
  <c r="AG153" i="47"/>
  <c r="D154" i="47"/>
  <c r="O154" i="47"/>
  <c r="P154" i="47"/>
  <c r="Q154" i="47"/>
  <c r="U154" i="47"/>
  <c r="V154" i="47"/>
  <c r="W154" i="47"/>
  <c r="X154" i="47"/>
  <c r="Y154" i="47"/>
  <c r="Z154" i="47"/>
  <c r="AA154" i="47"/>
  <c r="AB154" i="47"/>
  <c r="AC154" i="47"/>
  <c r="AD154" i="47"/>
  <c r="AE154" i="47"/>
  <c r="AF154" i="47"/>
  <c r="AG154" i="47"/>
  <c r="D155" i="47"/>
  <c r="O155" i="47"/>
  <c r="P155" i="47"/>
  <c r="Q155" i="47"/>
  <c r="U155" i="47"/>
  <c r="V155" i="47"/>
  <c r="W155" i="47"/>
  <c r="X155" i="47"/>
  <c r="Y155" i="47"/>
  <c r="Z155" i="47"/>
  <c r="AA155" i="47"/>
  <c r="AB155" i="47"/>
  <c r="AC155" i="47"/>
  <c r="AD155" i="47"/>
  <c r="AE155" i="47"/>
  <c r="AF155" i="47"/>
  <c r="AG155" i="47"/>
  <c r="D156" i="47"/>
  <c r="O156" i="47"/>
  <c r="P156" i="47"/>
  <c r="Q156" i="47"/>
  <c r="U156" i="47"/>
  <c r="V156" i="47"/>
  <c r="W156" i="47"/>
  <c r="X156" i="47"/>
  <c r="Y156" i="47"/>
  <c r="Z156" i="47"/>
  <c r="AA156" i="47"/>
  <c r="AB156" i="47"/>
  <c r="AC156" i="47"/>
  <c r="AD156" i="47"/>
  <c r="AE156" i="47"/>
  <c r="AF156" i="47"/>
  <c r="AG156" i="47"/>
  <c r="D157" i="47"/>
  <c r="O157" i="47"/>
  <c r="P157" i="47"/>
  <c r="Q157" i="47"/>
  <c r="U157" i="47"/>
  <c r="V157" i="47"/>
  <c r="W157" i="47"/>
  <c r="X157" i="47"/>
  <c r="Y157" i="47"/>
  <c r="Z157" i="47"/>
  <c r="AA157" i="47"/>
  <c r="AB157" i="47"/>
  <c r="AC157" i="47"/>
  <c r="AD157" i="47"/>
  <c r="AE157" i="47"/>
  <c r="AF157" i="47"/>
  <c r="AG157" i="47"/>
  <c r="D158" i="47"/>
  <c r="O158" i="47"/>
  <c r="P158" i="47"/>
  <c r="Q158" i="47"/>
  <c r="U158" i="47"/>
  <c r="V158" i="47"/>
  <c r="W158" i="47"/>
  <c r="X158" i="47"/>
  <c r="Y158" i="47"/>
  <c r="Z158" i="47"/>
  <c r="AA158" i="47"/>
  <c r="AB158" i="47"/>
  <c r="AC158" i="47"/>
  <c r="AD158" i="47"/>
  <c r="AE158" i="47"/>
  <c r="AF158" i="47"/>
  <c r="AG158" i="47"/>
  <c r="D159" i="47"/>
  <c r="O159" i="47"/>
  <c r="P159" i="47"/>
  <c r="Q159" i="47"/>
  <c r="U159" i="47"/>
  <c r="V159" i="47"/>
  <c r="W159" i="47"/>
  <c r="X159" i="47"/>
  <c r="Y159" i="47"/>
  <c r="Z159" i="47"/>
  <c r="AA159" i="47"/>
  <c r="AB159" i="47"/>
  <c r="AC159" i="47"/>
  <c r="AD159" i="47"/>
  <c r="AE159" i="47"/>
  <c r="AF159" i="47"/>
  <c r="AG159" i="47"/>
  <c r="D160" i="47"/>
  <c r="O160" i="47"/>
  <c r="P160" i="47"/>
  <c r="Q160" i="47"/>
  <c r="U160" i="47"/>
  <c r="V160" i="47"/>
  <c r="W160" i="47"/>
  <c r="X160" i="47"/>
  <c r="Y160" i="47"/>
  <c r="Z160" i="47"/>
  <c r="AA160" i="47"/>
  <c r="AB160" i="47"/>
  <c r="AC160" i="47"/>
  <c r="AD160" i="47"/>
  <c r="AE160" i="47"/>
  <c r="AF160" i="47"/>
  <c r="AG160" i="47"/>
  <c r="D161" i="47"/>
  <c r="O161" i="47"/>
  <c r="P161" i="47"/>
  <c r="Q161" i="47"/>
  <c r="U161" i="47"/>
  <c r="V161" i="47"/>
  <c r="W161" i="47"/>
  <c r="X161" i="47"/>
  <c r="Y161" i="47"/>
  <c r="Z161" i="47"/>
  <c r="AA161" i="47"/>
  <c r="AB161" i="47"/>
  <c r="AC161" i="47"/>
  <c r="AD161" i="47"/>
  <c r="AE161" i="47"/>
  <c r="AF161" i="47"/>
  <c r="AG161" i="47"/>
  <c r="D162" i="47"/>
  <c r="O162" i="47"/>
  <c r="P162" i="47"/>
  <c r="Q162" i="47"/>
  <c r="U162" i="47"/>
  <c r="V162" i="47"/>
  <c r="W162" i="47"/>
  <c r="X162" i="47"/>
  <c r="Y162" i="47"/>
  <c r="Z162" i="47"/>
  <c r="AA162" i="47"/>
  <c r="AB162" i="47"/>
  <c r="AC162" i="47"/>
  <c r="AD162" i="47"/>
  <c r="AE162" i="47"/>
  <c r="AF162" i="47"/>
  <c r="AG162" i="47"/>
  <c r="D163" i="47"/>
  <c r="O163" i="47"/>
  <c r="P163" i="47"/>
  <c r="Q163" i="47"/>
  <c r="U163" i="47"/>
  <c r="V163" i="47"/>
  <c r="W163" i="47"/>
  <c r="X163" i="47"/>
  <c r="Y163" i="47"/>
  <c r="Z163" i="47"/>
  <c r="AA163" i="47"/>
  <c r="AB163" i="47"/>
  <c r="AC163" i="47"/>
  <c r="AD163" i="47"/>
  <c r="AE163" i="47"/>
  <c r="AF163" i="47"/>
  <c r="AG163" i="47"/>
  <c r="D18" i="44"/>
  <c r="O18" i="44"/>
  <c r="P18" i="44"/>
  <c r="Q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D19" i="44"/>
  <c r="O19" i="44"/>
  <c r="P19" i="44"/>
  <c r="Q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D20" i="44"/>
  <c r="O20" i="44"/>
  <c r="P20" i="44"/>
  <c r="Q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D21" i="44"/>
  <c r="O21" i="44"/>
  <c r="P21" i="44"/>
  <c r="Q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D22" i="44"/>
  <c r="O22" i="44"/>
  <c r="P22" i="44"/>
  <c r="Q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D23" i="44"/>
  <c r="O23" i="44"/>
  <c r="P23" i="44"/>
  <c r="Q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D24" i="44"/>
  <c r="O24" i="44"/>
  <c r="P24" i="44"/>
  <c r="Q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D25" i="44"/>
  <c r="O25" i="44"/>
  <c r="P25" i="44"/>
  <c r="Q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D26" i="44"/>
  <c r="O26" i="44"/>
  <c r="P26" i="44"/>
  <c r="Q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D27" i="44"/>
  <c r="O27" i="44"/>
  <c r="P27" i="44"/>
  <c r="Q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D28" i="44"/>
  <c r="O28" i="44"/>
  <c r="P28" i="44"/>
  <c r="Q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D29" i="44"/>
  <c r="O29" i="44"/>
  <c r="P29" i="44"/>
  <c r="Q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D30" i="44"/>
  <c r="O30" i="44"/>
  <c r="P30" i="44"/>
  <c r="Q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D31" i="44"/>
  <c r="O31" i="44"/>
  <c r="P31" i="44"/>
  <c r="Q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D32" i="44"/>
  <c r="O32" i="44"/>
  <c r="P32" i="44"/>
  <c r="Q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D33" i="44"/>
  <c r="O33" i="44"/>
  <c r="P33" i="44"/>
  <c r="Q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D34" i="44"/>
  <c r="O34" i="44"/>
  <c r="P34" i="44"/>
  <c r="Q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D35" i="44"/>
  <c r="O35" i="44"/>
  <c r="P35" i="44"/>
  <c r="Q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D36" i="44"/>
  <c r="O36" i="44"/>
  <c r="P36" i="44"/>
  <c r="Q36" i="44"/>
  <c r="U36" i="44"/>
  <c r="V36" i="44"/>
  <c r="W36" i="44"/>
  <c r="X36" i="44"/>
  <c r="Y36" i="44"/>
  <c r="Z36" i="44"/>
  <c r="AA36" i="44"/>
  <c r="AB36" i="44"/>
  <c r="AC36" i="44"/>
  <c r="AD36" i="44"/>
  <c r="AE36" i="44"/>
  <c r="AF36" i="44"/>
  <c r="AG36" i="44"/>
  <c r="D37" i="44"/>
  <c r="O37" i="44"/>
  <c r="P37" i="44"/>
  <c r="Q37" i="44"/>
  <c r="U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D38" i="44"/>
  <c r="O38" i="44"/>
  <c r="P38" i="44"/>
  <c r="Q38" i="44"/>
  <c r="U38" i="44"/>
  <c r="V38" i="44"/>
  <c r="W38" i="44"/>
  <c r="X38" i="44"/>
  <c r="Y38" i="44"/>
  <c r="Z38" i="44"/>
  <c r="AA38" i="44"/>
  <c r="AB38" i="44"/>
  <c r="AC38" i="44"/>
  <c r="AD38" i="44"/>
  <c r="AE38" i="44"/>
  <c r="AF38" i="44"/>
  <c r="AG38" i="44"/>
  <c r="D39" i="44"/>
  <c r="O39" i="44"/>
  <c r="P39" i="44"/>
  <c r="Q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D40" i="44"/>
  <c r="O40" i="44"/>
  <c r="P40" i="44"/>
  <c r="Q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D41" i="44"/>
  <c r="O41" i="44"/>
  <c r="P41" i="44"/>
  <c r="Q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D42" i="44"/>
  <c r="O42" i="44"/>
  <c r="P42" i="44"/>
  <c r="Q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D43" i="44"/>
  <c r="O43" i="44"/>
  <c r="P43" i="44"/>
  <c r="Q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D44" i="44"/>
  <c r="O44" i="44"/>
  <c r="P44" i="44"/>
  <c r="Q44" i="44"/>
  <c r="U44" i="44"/>
  <c r="V44" i="44"/>
  <c r="W44" i="44"/>
  <c r="X44" i="44"/>
  <c r="Y44" i="44"/>
  <c r="Z44" i="44"/>
  <c r="AA44" i="44"/>
  <c r="AB44" i="44"/>
  <c r="AC44" i="44"/>
  <c r="AD44" i="44"/>
  <c r="AE44" i="44"/>
  <c r="AF44" i="44"/>
  <c r="AG44" i="44"/>
  <c r="D45" i="44"/>
  <c r="O45" i="44"/>
  <c r="P45" i="44"/>
  <c r="Q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D46" i="44"/>
  <c r="O46" i="44"/>
  <c r="P46" i="44"/>
  <c r="Q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D47" i="44"/>
  <c r="O47" i="44"/>
  <c r="P47" i="44"/>
  <c r="Q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D48" i="44"/>
  <c r="O48" i="44"/>
  <c r="P48" i="44"/>
  <c r="Q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D49" i="44"/>
  <c r="O49" i="44"/>
  <c r="P49" i="44"/>
  <c r="Q49" i="44"/>
  <c r="U49" i="44"/>
  <c r="V49" i="44"/>
  <c r="W49" i="44"/>
  <c r="X49" i="44"/>
  <c r="Y49" i="44"/>
  <c r="Z49" i="44"/>
  <c r="AA49" i="44"/>
  <c r="AB49" i="44"/>
  <c r="AC49" i="44"/>
  <c r="AD49" i="44"/>
  <c r="AE49" i="44"/>
  <c r="AF49" i="44"/>
  <c r="AG49" i="44"/>
  <c r="D50" i="44"/>
  <c r="O50" i="44"/>
  <c r="P50" i="44"/>
  <c r="Q50" i="44"/>
  <c r="U50" i="44"/>
  <c r="V50" i="44"/>
  <c r="W50" i="44"/>
  <c r="X50" i="44"/>
  <c r="Y50" i="44"/>
  <c r="Z50" i="44"/>
  <c r="AA50" i="44"/>
  <c r="AB50" i="44"/>
  <c r="AC50" i="44"/>
  <c r="AD50" i="44"/>
  <c r="AE50" i="44"/>
  <c r="AF50" i="44"/>
  <c r="AG50" i="44"/>
  <c r="D51" i="44"/>
  <c r="O51" i="44"/>
  <c r="P51" i="44"/>
  <c r="Q51" i="44"/>
  <c r="U51" i="44"/>
  <c r="V51" i="44"/>
  <c r="W51" i="44"/>
  <c r="X51" i="44"/>
  <c r="Y51" i="44"/>
  <c r="Z51" i="44"/>
  <c r="AA51" i="44"/>
  <c r="AB51" i="44"/>
  <c r="AC51" i="44"/>
  <c r="AD51" i="44"/>
  <c r="AE51" i="44"/>
  <c r="AF51" i="44"/>
  <c r="AG51" i="44"/>
  <c r="D52" i="44"/>
  <c r="O52" i="44"/>
  <c r="P52" i="44"/>
  <c r="Q52" i="44"/>
  <c r="U52" i="44"/>
  <c r="V52" i="44"/>
  <c r="W52" i="44"/>
  <c r="X52" i="44"/>
  <c r="Y52" i="44"/>
  <c r="Z52" i="44"/>
  <c r="AA52" i="44"/>
  <c r="AB52" i="44"/>
  <c r="AC52" i="44"/>
  <c r="AD52" i="44"/>
  <c r="AE52" i="44"/>
  <c r="AF52" i="44"/>
  <c r="AG52" i="44"/>
  <c r="D53" i="44"/>
  <c r="O53" i="44"/>
  <c r="P53" i="44"/>
  <c r="Q53" i="44"/>
  <c r="U53" i="44"/>
  <c r="V53" i="44"/>
  <c r="W53" i="44"/>
  <c r="X53" i="44"/>
  <c r="Y53" i="44"/>
  <c r="Z53" i="44"/>
  <c r="AA53" i="44"/>
  <c r="AB53" i="44"/>
  <c r="AC53" i="44"/>
  <c r="AD53" i="44"/>
  <c r="AE53" i="44"/>
  <c r="AF53" i="44"/>
  <c r="AG53" i="44"/>
  <c r="D54" i="44"/>
  <c r="O54" i="44"/>
  <c r="P54" i="44"/>
  <c r="Q54" i="44"/>
  <c r="U54" i="44"/>
  <c r="V54" i="44"/>
  <c r="W54" i="44"/>
  <c r="X54" i="44"/>
  <c r="Y54" i="44"/>
  <c r="Z54" i="44"/>
  <c r="AA54" i="44"/>
  <c r="AB54" i="44"/>
  <c r="AC54" i="44"/>
  <c r="AD54" i="44"/>
  <c r="AE54" i="44"/>
  <c r="AF54" i="44"/>
  <c r="AG54" i="44"/>
  <c r="D55" i="44"/>
  <c r="O55" i="44"/>
  <c r="P55" i="44"/>
  <c r="Q55" i="44"/>
  <c r="U55" i="44"/>
  <c r="V55" i="44"/>
  <c r="W55" i="44"/>
  <c r="X55" i="44"/>
  <c r="Y55" i="44"/>
  <c r="Z55" i="44"/>
  <c r="AA55" i="44"/>
  <c r="AB55" i="44"/>
  <c r="AC55" i="44"/>
  <c r="AD55" i="44"/>
  <c r="AE55" i="44"/>
  <c r="AF55" i="44"/>
  <c r="AG55" i="44"/>
  <c r="D56" i="44"/>
  <c r="O56" i="44"/>
  <c r="P56" i="44"/>
  <c r="Q56" i="44"/>
  <c r="U56" i="44"/>
  <c r="V56" i="44"/>
  <c r="W56" i="44"/>
  <c r="X56" i="44"/>
  <c r="Y56" i="44"/>
  <c r="Z56" i="44"/>
  <c r="AA56" i="44"/>
  <c r="AB56" i="44"/>
  <c r="AC56" i="44"/>
  <c r="AD56" i="44"/>
  <c r="AE56" i="44"/>
  <c r="AF56" i="44"/>
  <c r="AG56" i="44"/>
  <c r="D57" i="44"/>
  <c r="O57" i="44"/>
  <c r="P57" i="44"/>
  <c r="Q57" i="44"/>
  <c r="U57" i="44"/>
  <c r="V57" i="44"/>
  <c r="W57" i="44"/>
  <c r="X57" i="44"/>
  <c r="Y57" i="44"/>
  <c r="Z57" i="44"/>
  <c r="AA57" i="44"/>
  <c r="AB57" i="44"/>
  <c r="AC57" i="44"/>
  <c r="AD57" i="44"/>
  <c r="AE57" i="44"/>
  <c r="AF57" i="44"/>
  <c r="AG57" i="44"/>
  <c r="D58" i="44"/>
  <c r="O58" i="44"/>
  <c r="P58" i="44"/>
  <c r="Q58" i="44"/>
  <c r="U58" i="44"/>
  <c r="V58" i="44"/>
  <c r="W58" i="44"/>
  <c r="X58" i="44"/>
  <c r="Y58" i="44"/>
  <c r="Z58" i="44"/>
  <c r="AA58" i="44"/>
  <c r="AB58" i="44"/>
  <c r="AC58" i="44"/>
  <c r="AD58" i="44"/>
  <c r="AE58" i="44"/>
  <c r="AF58" i="44"/>
  <c r="AG58" i="44"/>
  <c r="D59" i="44"/>
  <c r="O59" i="44"/>
  <c r="P59" i="44"/>
  <c r="Q59" i="44"/>
  <c r="U59" i="44"/>
  <c r="V59" i="44"/>
  <c r="W59" i="44"/>
  <c r="X59" i="44"/>
  <c r="Y59" i="44"/>
  <c r="Z59" i="44"/>
  <c r="AA59" i="44"/>
  <c r="AB59" i="44"/>
  <c r="AC59" i="44"/>
  <c r="AD59" i="44"/>
  <c r="AE59" i="44"/>
  <c r="AF59" i="44"/>
  <c r="AG59" i="44"/>
  <c r="D60" i="44"/>
  <c r="O60" i="44"/>
  <c r="P60" i="44"/>
  <c r="Q60" i="44"/>
  <c r="U60" i="44"/>
  <c r="V60" i="44"/>
  <c r="W60" i="44"/>
  <c r="X60" i="44"/>
  <c r="Y60" i="44"/>
  <c r="Z60" i="44"/>
  <c r="AA60" i="44"/>
  <c r="AB60" i="44"/>
  <c r="AC60" i="44"/>
  <c r="AD60" i="44"/>
  <c r="AE60" i="44"/>
  <c r="AF60" i="44"/>
  <c r="AG60" i="44"/>
  <c r="D61" i="44"/>
  <c r="O61" i="44"/>
  <c r="P61" i="44"/>
  <c r="Q61" i="44"/>
  <c r="U61" i="44"/>
  <c r="V61" i="44"/>
  <c r="W61" i="44"/>
  <c r="X61" i="44"/>
  <c r="Y61" i="44"/>
  <c r="Z61" i="44"/>
  <c r="AA61" i="44"/>
  <c r="AB61" i="44"/>
  <c r="AC61" i="44"/>
  <c r="AD61" i="44"/>
  <c r="AE61" i="44"/>
  <c r="AF61" i="44"/>
  <c r="AG61" i="44"/>
  <c r="D62" i="44"/>
  <c r="O62" i="44"/>
  <c r="P62" i="44"/>
  <c r="Q62" i="44"/>
  <c r="U62" i="44"/>
  <c r="V62" i="44"/>
  <c r="W62" i="44"/>
  <c r="X62" i="44"/>
  <c r="Y62" i="44"/>
  <c r="Z62" i="44"/>
  <c r="AA62" i="44"/>
  <c r="AB62" i="44"/>
  <c r="AC62" i="44"/>
  <c r="AD62" i="44"/>
  <c r="AE62" i="44"/>
  <c r="AF62" i="44"/>
  <c r="AG62" i="44"/>
  <c r="D63" i="44"/>
  <c r="O63" i="44"/>
  <c r="P63" i="44"/>
  <c r="Q63" i="44"/>
  <c r="U63" i="44"/>
  <c r="V63" i="44"/>
  <c r="W63" i="44"/>
  <c r="X63" i="44"/>
  <c r="Y63" i="44"/>
  <c r="Z63" i="44"/>
  <c r="AA63" i="44"/>
  <c r="AB63" i="44"/>
  <c r="AC63" i="44"/>
  <c r="AD63" i="44"/>
  <c r="AE63" i="44"/>
  <c r="AF63" i="44"/>
  <c r="AG63" i="44"/>
  <c r="D64" i="44"/>
  <c r="O64" i="44"/>
  <c r="P64" i="44"/>
  <c r="Q64" i="44"/>
  <c r="U64" i="44"/>
  <c r="V64" i="44"/>
  <c r="W64" i="44"/>
  <c r="X64" i="44"/>
  <c r="Y64" i="44"/>
  <c r="Z64" i="44"/>
  <c r="AA64" i="44"/>
  <c r="AB64" i="44"/>
  <c r="AC64" i="44"/>
  <c r="AD64" i="44"/>
  <c r="AE64" i="44"/>
  <c r="AF64" i="44"/>
  <c r="AG64" i="44"/>
  <c r="D65" i="44"/>
  <c r="O65" i="44"/>
  <c r="P65" i="44"/>
  <c r="Q65" i="44"/>
  <c r="U65" i="44"/>
  <c r="V65" i="44"/>
  <c r="W65" i="44"/>
  <c r="X65" i="44"/>
  <c r="Y65" i="44"/>
  <c r="Z65" i="44"/>
  <c r="AA65" i="44"/>
  <c r="AB65" i="44"/>
  <c r="AC65" i="44"/>
  <c r="AD65" i="44"/>
  <c r="AE65" i="44"/>
  <c r="AF65" i="44"/>
  <c r="AG65" i="44"/>
  <c r="D66" i="44"/>
  <c r="O66" i="44"/>
  <c r="P66" i="44"/>
  <c r="Q66" i="44"/>
  <c r="U66" i="44"/>
  <c r="V66" i="44"/>
  <c r="W66" i="44"/>
  <c r="X66" i="44"/>
  <c r="Y66" i="44"/>
  <c r="Z66" i="44"/>
  <c r="AA66" i="44"/>
  <c r="AB66" i="44"/>
  <c r="AC66" i="44"/>
  <c r="AD66" i="44"/>
  <c r="AE66" i="44"/>
  <c r="AF66" i="44"/>
  <c r="AG66" i="44"/>
  <c r="D67" i="44"/>
  <c r="O67" i="44"/>
  <c r="P67" i="44"/>
  <c r="Q67" i="44"/>
  <c r="U67" i="44"/>
  <c r="V67" i="44"/>
  <c r="W67" i="44"/>
  <c r="X67" i="44"/>
  <c r="Y67" i="44"/>
  <c r="Z67" i="44"/>
  <c r="AA67" i="44"/>
  <c r="AB67" i="44"/>
  <c r="AC67" i="44"/>
  <c r="AD67" i="44"/>
  <c r="AE67" i="44"/>
  <c r="AF67" i="44"/>
  <c r="AG67" i="44"/>
  <c r="D68" i="44"/>
  <c r="O68" i="44"/>
  <c r="P68" i="44"/>
  <c r="Q68" i="44"/>
  <c r="U68" i="44"/>
  <c r="V68" i="44"/>
  <c r="W68" i="44"/>
  <c r="X68" i="44"/>
  <c r="Y68" i="44"/>
  <c r="Z68" i="44"/>
  <c r="AA68" i="44"/>
  <c r="AB68" i="44"/>
  <c r="AC68" i="44"/>
  <c r="AD68" i="44"/>
  <c r="AE68" i="44"/>
  <c r="AF68" i="44"/>
  <c r="AG68" i="44"/>
  <c r="D69" i="44"/>
  <c r="O69" i="44"/>
  <c r="P69" i="44"/>
  <c r="Q69" i="44"/>
  <c r="U69" i="44"/>
  <c r="V69" i="44"/>
  <c r="W69" i="44"/>
  <c r="X69" i="44"/>
  <c r="Y69" i="44"/>
  <c r="Z69" i="44"/>
  <c r="AA69" i="44"/>
  <c r="AB69" i="44"/>
  <c r="AC69" i="44"/>
  <c r="AD69" i="44"/>
  <c r="AE69" i="44"/>
  <c r="AF69" i="44"/>
  <c r="AG69" i="44"/>
  <c r="D70" i="44"/>
  <c r="O70" i="44"/>
  <c r="P70" i="44"/>
  <c r="Q70" i="44"/>
  <c r="U70" i="44"/>
  <c r="V70" i="44"/>
  <c r="W70" i="44"/>
  <c r="X70" i="44"/>
  <c r="Y70" i="44"/>
  <c r="Z70" i="44"/>
  <c r="AA70" i="44"/>
  <c r="AB70" i="44"/>
  <c r="AC70" i="44"/>
  <c r="AD70" i="44"/>
  <c r="AE70" i="44"/>
  <c r="AF70" i="44"/>
  <c r="AG70" i="44"/>
  <c r="D71" i="44"/>
  <c r="O71" i="44"/>
  <c r="P71" i="44"/>
  <c r="Q71" i="44"/>
  <c r="U71" i="44"/>
  <c r="V71" i="44"/>
  <c r="W71" i="44"/>
  <c r="X71" i="44"/>
  <c r="Y71" i="44"/>
  <c r="Z71" i="44"/>
  <c r="AA71" i="44"/>
  <c r="AB71" i="44"/>
  <c r="AC71" i="44"/>
  <c r="AD71" i="44"/>
  <c r="AE71" i="44"/>
  <c r="AF71" i="44"/>
  <c r="AG71" i="44"/>
  <c r="D72" i="44"/>
  <c r="O72" i="44"/>
  <c r="P72" i="44"/>
  <c r="Q72" i="44"/>
  <c r="U72" i="44"/>
  <c r="V72" i="44"/>
  <c r="W72" i="44"/>
  <c r="X72" i="44"/>
  <c r="Y72" i="44"/>
  <c r="Z72" i="44"/>
  <c r="AA72" i="44"/>
  <c r="AB72" i="44"/>
  <c r="AC72" i="44"/>
  <c r="AD72" i="44"/>
  <c r="AE72" i="44"/>
  <c r="AF72" i="44"/>
  <c r="AG72" i="44"/>
  <c r="D73" i="44"/>
  <c r="O73" i="44"/>
  <c r="P73" i="44"/>
  <c r="Q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D74" i="44"/>
  <c r="O74" i="44"/>
  <c r="P74" i="44"/>
  <c r="Q74" i="44"/>
  <c r="U74" i="44"/>
  <c r="V74" i="44"/>
  <c r="W74" i="44"/>
  <c r="X74" i="44"/>
  <c r="Y74" i="44"/>
  <c r="Z74" i="44"/>
  <c r="AA74" i="44"/>
  <c r="AB74" i="44"/>
  <c r="AC74" i="44"/>
  <c r="AD74" i="44"/>
  <c r="AE74" i="44"/>
  <c r="AF74" i="44"/>
  <c r="AG74" i="44"/>
  <c r="D75" i="44"/>
  <c r="O75" i="44"/>
  <c r="P75" i="44"/>
  <c r="Q75" i="44"/>
  <c r="U75" i="44"/>
  <c r="V75" i="44"/>
  <c r="W75" i="44"/>
  <c r="X75" i="44"/>
  <c r="Y75" i="44"/>
  <c r="Z75" i="44"/>
  <c r="AA75" i="44"/>
  <c r="AB75" i="44"/>
  <c r="AC75" i="44"/>
  <c r="AD75" i="44"/>
  <c r="AE75" i="44"/>
  <c r="AF75" i="44"/>
  <c r="AG75" i="44"/>
  <c r="D76" i="44"/>
  <c r="O76" i="44"/>
  <c r="P76" i="44"/>
  <c r="Q76" i="44"/>
  <c r="U76" i="44"/>
  <c r="V76" i="44"/>
  <c r="W76" i="44"/>
  <c r="X76" i="44"/>
  <c r="Y76" i="44"/>
  <c r="Z76" i="44"/>
  <c r="AA76" i="44"/>
  <c r="AB76" i="44"/>
  <c r="AC76" i="44"/>
  <c r="AD76" i="44"/>
  <c r="AE76" i="44"/>
  <c r="AF76" i="44"/>
  <c r="AG76" i="44"/>
  <c r="D77" i="44"/>
  <c r="O77" i="44"/>
  <c r="P77" i="44"/>
  <c r="Q77" i="44"/>
  <c r="U77" i="44"/>
  <c r="V77" i="44"/>
  <c r="W77" i="44"/>
  <c r="X77" i="44"/>
  <c r="Y77" i="44"/>
  <c r="Z77" i="44"/>
  <c r="AA77" i="44"/>
  <c r="AB77" i="44"/>
  <c r="AC77" i="44"/>
  <c r="AD77" i="44"/>
  <c r="AE77" i="44"/>
  <c r="AF77" i="44"/>
  <c r="AG77" i="44"/>
  <c r="D78" i="44"/>
  <c r="O78" i="44"/>
  <c r="P78" i="44"/>
  <c r="Q78" i="44"/>
  <c r="U78" i="44"/>
  <c r="V78" i="44"/>
  <c r="W78" i="44"/>
  <c r="X78" i="44"/>
  <c r="Y78" i="44"/>
  <c r="Z78" i="44"/>
  <c r="AA78" i="44"/>
  <c r="AB78" i="44"/>
  <c r="AC78" i="44"/>
  <c r="AD78" i="44"/>
  <c r="AE78" i="44"/>
  <c r="AF78" i="44"/>
  <c r="AG78" i="44"/>
  <c r="D79" i="44"/>
  <c r="O79" i="44"/>
  <c r="P79" i="44"/>
  <c r="Q79" i="44"/>
  <c r="U79" i="44"/>
  <c r="V79" i="44"/>
  <c r="W79" i="44"/>
  <c r="X79" i="44"/>
  <c r="Y79" i="44"/>
  <c r="Z79" i="44"/>
  <c r="AA79" i="44"/>
  <c r="AB79" i="44"/>
  <c r="AC79" i="44"/>
  <c r="AD79" i="44"/>
  <c r="AE79" i="44"/>
  <c r="AF79" i="44"/>
  <c r="AG79" i="44"/>
  <c r="D80" i="44"/>
  <c r="O80" i="44"/>
  <c r="P80" i="44"/>
  <c r="Q80" i="44"/>
  <c r="U80" i="44"/>
  <c r="V80" i="44"/>
  <c r="W80" i="44"/>
  <c r="X80" i="44"/>
  <c r="Y80" i="44"/>
  <c r="Z80" i="44"/>
  <c r="AA80" i="44"/>
  <c r="AB80" i="44"/>
  <c r="AC80" i="44"/>
  <c r="AD80" i="44"/>
  <c r="AE80" i="44"/>
  <c r="AF80" i="44"/>
  <c r="AG80" i="44"/>
  <c r="D81" i="44"/>
  <c r="O81" i="44"/>
  <c r="P81" i="44"/>
  <c r="Q81" i="44"/>
  <c r="U81" i="44"/>
  <c r="V81" i="44"/>
  <c r="W81" i="44"/>
  <c r="X81" i="44"/>
  <c r="Y81" i="44"/>
  <c r="Z81" i="44"/>
  <c r="AA81" i="44"/>
  <c r="AB81" i="44"/>
  <c r="AC81" i="44"/>
  <c r="AD81" i="44"/>
  <c r="AE81" i="44"/>
  <c r="AF81" i="44"/>
  <c r="AG81" i="44"/>
  <c r="D82" i="44"/>
  <c r="O82" i="44"/>
  <c r="P82" i="44"/>
  <c r="Q82" i="44"/>
  <c r="U82" i="44"/>
  <c r="V82" i="44"/>
  <c r="W82" i="44"/>
  <c r="X82" i="44"/>
  <c r="Y82" i="44"/>
  <c r="Z82" i="44"/>
  <c r="AA82" i="44"/>
  <c r="AB82" i="44"/>
  <c r="AC82" i="44"/>
  <c r="AD82" i="44"/>
  <c r="AE82" i="44"/>
  <c r="AF82" i="44"/>
  <c r="AG82" i="44"/>
  <c r="D83" i="44"/>
  <c r="O83" i="44"/>
  <c r="P83" i="44"/>
  <c r="Q83" i="44"/>
  <c r="U83" i="44"/>
  <c r="V83" i="44"/>
  <c r="W83" i="44"/>
  <c r="X83" i="44"/>
  <c r="Y83" i="44"/>
  <c r="Z83" i="44"/>
  <c r="AA83" i="44"/>
  <c r="AB83" i="44"/>
  <c r="AC83" i="44"/>
  <c r="AD83" i="44"/>
  <c r="AE83" i="44"/>
  <c r="AF83" i="44"/>
  <c r="AG83" i="44"/>
  <c r="D84" i="44"/>
  <c r="O84" i="44"/>
  <c r="P84" i="44"/>
  <c r="Q84" i="44"/>
  <c r="U84" i="44"/>
  <c r="V84" i="44"/>
  <c r="W84" i="44"/>
  <c r="X84" i="44"/>
  <c r="Y84" i="44"/>
  <c r="Z84" i="44"/>
  <c r="AA84" i="44"/>
  <c r="AB84" i="44"/>
  <c r="AC84" i="44"/>
  <c r="AD84" i="44"/>
  <c r="AE84" i="44"/>
  <c r="AF84" i="44"/>
  <c r="AG84" i="44"/>
  <c r="D85" i="44"/>
  <c r="O85" i="44"/>
  <c r="P85" i="44"/>
  <c r="Q85" i="44"/>
  <c r="U85" i="44"/>
  <c r="V85" i="44"/>
  <c r="W85" i="44"/>
  <c r="X85" i="44"/>
  <c r="Y85" i="44"/>
  <c r="Z85" i="44"/>
  <c r="AA85" i="44"/>
  <c r="AB85" i="44"/>
  <c r="AC85" i="44"/>
  <c r="AD85" i="44"/>
  <c r="AE85" i="44"/>
  <c r="AF85" i="44"/>
  <c r="AG85" i="44"/>
  <c r="D22" i="43"/>
  <c r="O22" i="43"/>
  <c r="P22" i="43"/>
  <c r="Q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D23" i="43"/>
  <c r="O23" i="43"/>
  <c r="P23" i="43"/>
  <c r="Q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D24" i="43"/>
  <c r="O24" i="43"/>
  <c r="P24" i="43"/>
  <c r="Q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D25" i="43"/>
  <c r="O25" i="43"/>
  <c r="P25" i="43"/>
  <c r="Q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D26" i="43"/>
  <c r="O26" i="43"/>
  <c r="P26" i="43"/>
  <c r="Q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D27" i="43"/>
  <c r="O27" i="43"/>
  <c r="P27" i="43"/>
  <c r="Q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D28" i="43"/>
  <c r="O28" i="43"/>
  <c r="P28" i="43"/>
  <c r="Q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D29" i="43"/>
  <c r="O29" i="43"/>
  <c r="P29" i="43"/>
  <c r="Q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D30" i="43"/>
  <c r="O30" i="43"/>
  <c r="P30" i="43"/>
  <c r="Q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D31" i="43"/>
  <c r="O31" i="43"/>
  <c r="P31" i="43"/>
  <c r="Q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D32" i="43"/>
  <c r="O32" i="43"/>
  <c r="P32" i="43"/>
  <c r="Q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D33" i="43"/>
  <c r="O33" i="43"/>
  <c r="P33" i="43"/>
  <c r="Q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D34" i="43"/>
  <c r="O34" i="43"/>
  <c r="P34" i="43"/>
  <c r="Q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D35" i="43"/>
  <c r="O35" i="43"/>
  <c r="P35" i="43"/>
  <c r="Q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D36" i="43"/>
  <c r="O36" i="43"/>
  <c r="P36" i="43"/>
  <c r="Q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D37" i="43"/>
  <c r="O37" i="43"/>
  <c r="P37" i="43"/>
  <c r="Q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D38" i="43"/>
  <c r="O38" i="43"/>
  <c r="P38" i="43"/>
  <c r="Q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D39" i="43"/>
  <c r="O39" i="43"/>
  <c r="P39" i="43"/>
  <c r="Q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D40" i="43"/>
  <c r="O40" i="43"/>
  <c r="P40" i="43"/>
  <c r="Q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D41" i="43"/>
  <c r="O41" i="43"/>
  <c r="P41" i="43"/>
  <c r="Q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D42" i="43"/>
  <c r="O42" i="43"/>
  <c r="P42" i="43"/>
  <c r="Q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D43" i="43"/>
  <c r="O43" i="43"/>
  <c r="P43" i="43"/>
  <c r="Q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D44" i="43"/>
  <c r="O44" i="43"/>
  <c r="P44" i="43"/>
  <c r="Q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D45" i="43"/>
  <c r="O45" i="43"/>
  <c r="P45" i="43"/>
  <c r="Q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D46" i="43"/>
  <c r="O46" i="43"/>
  <c r="P46" i="43"/>
  <c r="Q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D47" i="43"/>
  <c r="O47" i="43"/>
  <c r="P47" i="43"/>
  <c r="Q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D48" i="43"/>
  <c r="O48" i="43"/>
  <c r="P48" i="43"/>
  <c r="Q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D49" i="43"/>
  <c r="O49" i="43"/>
  <c r="P49" i="43"/>
  <c r="Q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D50" i="43"/>
  <c r="O50" i="43"/>
  <c r="P50" i="43"/>
  <c r="Q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D51" i="43"/>
  <c r="O51" i="43"/>
  <c r="P51" i="43"/>
  <c r="Q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D52" i="43"/>
  <c r="O52" i="43"/>
  <c r="P52" i="43"/>
  <c r="Q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D53" i="43"/>
  <c r="O53" i="43"/>
  <c r="P53" i="43"/>
  <c r="Q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D54" i="43"/>
  <c r="O54" i="43"/>
  <c r="P54" i="43"/>
  <c r="Q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D55" i="43"/>
  <c r="O55" i="43"/>
  <c r="P55" i="43"/>
  <c r="Q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D56" i="43"/>
  <c r="O56" i="43"/>
  <c r="P56" i="43"/>
  <c r="Q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D57" i="43"/>
  <c r="O57" i="43"/>
  <c r="P57" i="43"/>
  <c r="Q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D58" i="43"/>
  <c r="O58" i="43"/>
  <c r="P58" i="43"/>
  <c r="Q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D59" i="43"/>
  <c r="O59" i="43"/>
  <c r="P59" i="43"/>
  <c r="Q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D60" i="43"/>
  <c r="O60" i="43"/>
  <c r="P60" i="43"/>
  <c r="Q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D61" i="43"/>
  <c r="O61" i="43"/>
  <c r="P61" i="43"/>
  <c r="Q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D62" i="43"/>
  <c r="O62" i="43"/>
  <c r="P62" i="43"/>
  <c r="Q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D63" i="43"/>
  <c r="O63" i="43"/>
  <c r="P63" i="43"/>
  <c r="Q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D64" i="43"/>
  <c r="O64" i="43"/>
  <c r="P64" i="43"/>
  <c r="Q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D65" i="43"/>
  <c r="O65" i="43"/>
  <c r="P65" i="43"/>
  <c r="Q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D66" i="43"/>
  <c r="O66" i="43"/>
  <c r="P66" i="43"/>
  <c r="Q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D67" i="43"/>
  <c r="O67" i="43"/>
  <c r="P67" i="43"/>
  <c r="Q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D68" i="43"/>
  <c r="O68" i="43"/>
  <c r="P68" i="43"/>
  <c r="Q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D69" i="43"/>
  <c r="O69" i="43"/>
  <c r="P69" i="43"/>
  <c r="Q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D70" i="43"/>
  <c r="O70" i="43"/>
  <c r="P70" i="43"/>
  <c r="Q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D71" i="43"/>
  <c r="O71" i="43"/>
  <c r="P71" i="43"/>
  <c r="Q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D72" i="43"/>
  <c r="O72" i="43"/>
  <c r="P72" i="43"/>
  <c r="Q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D73" i="43"/>
  <c r="O73" i="43"/>
  <c r="P73" i="43"/>
  <c r="Q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D74" i="43"/>
  <c r="O74" i="43"/>
  <c r="P74" i="43"/>
  <c r="Q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D75" i="43"/>
  <c r="O75" i="43"/>
  <c r="P75" i="43"/>
  <c r="Q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D76" i="43"/>
  <c r="O76" i="43"/>
  <c r="P76" i="43"/>
  <c r="Q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D77" i="43"/>
  <c r="O77" i="43"/>
  <c r="P77" i="43"/>
  <c r="Q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D78" i="43"/>
  <c r="O78" i="43"/>
  <c r="P78" i="43"/>
  <c r="Q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D79" i="43"/>
  <c r="O79" i="43"/>
  <c r="P79" i="43"/>
  <c r="Q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D80" i="43"/>
  <c r="O80" i="43"/>
  <c r="P80" i="43"/>
  <c r="Q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D81" i="43"/>
  <c r="O81" i="43"/>
  <c r="P81" i="43"/>
  <c r="Q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D82" i="43"/>
  <c r="O82" i="43"/>
  <c r="P82" i="43"/>
  <c r="Q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D83" i="43"/>
  <c r="O83" i="43"/>
  <c r="P83" i="43"/>
  <c r="Q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D84" i="43"/>
  <c r="O84" i="43"/>
  <c r="P84" i="43"/>
  <c r="Q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D85" i="43"/>
  <c r="O85" i="43"/>
  <c r="P85" i="43"/>
  <c r="Q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D86" i="43"/>
  <c r="O86" i="43"/>
  <c r="P86" i="43"/>
  <c r="Q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D87" i="43"/>
  <c r="O87" i="43"/>
  <c r="P87" i="43"/>
  <c r="Q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D88" i="43"/>
  <c r="O88" i="43"/>
  <c r="P88" i="43"/>
  <c r="Q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D89" i="43"/>
  <c r="O89" i="43"/>
  <c r="P89" i="43"/>
  <c r="Q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D90" i="43"/>
  <c r="O90" i="43"/>
  <c r="P90" i="43"/>
  <c r="Q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D91" i="43"/>
  <c r="O91" i="43"/>
  <c r="P91" i="43"/>
  <c r="Q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D92" i="43"/>
  <c r="O92" i="43"/>
  <c r="P92" i="43"/>
  <c r="Q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D93" i="43"/>
  <c r="O93" i="43"/>
  <c r="P93" i="43"/>
  <c r="Q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D94" i="43"/>
  <c r="O94" i="43"/>
  <c r="P94" i="43"/>
  <c r="Q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D95" i="43"/>
  <c r="O95" i="43"/>
  <c r="P95" i="43"/>
  <c r="Q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D96" i="43"/>
  <c r="O96" i="43"/>
  <c r="P96" i="43"/>
  <c r="Q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D97" i="43"/>
  <c r="O97" i="43"/>
  <c r="P97" i="43"/>
  <c r="Q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D98" i="43"/>
  <c r="O98" i="43"/>
  <c r="P98" i="43"/>
  <c r="Q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D99" i="43"/>
  <c r="O99" i="43"/>
  <c r="P99" i="43"/>
  <c r="Q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D100" i="43"/>
  <c r="O100" i="43"/>
  <c r="P100" i="43"/>
  <c r="Q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D101" i="43"/>
  <c r="O101" i="43"/>
  <c r="P101" i="43"/>
  <c r="Q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D102" i="43"/>
  <c r="O102" i="43"/>
  <c r="P102" i="43"/>
  <c r="Q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D103" i="43"/>
  <c r="O103" i="43"/>
  <c r="P103" i="43"/>
  <c r="Q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D104" i="43"/>
  <c r="O104" i="43"/>
  <c r="P104" i="43"/>
  <c r="Q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D105" i="43"/>
  <c r="O105" i="43"/>
  <c r="P105" i="43"/>
  <c r="Q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D106" i="43"/>
  <c r="O106" i="43"/>
  <c r="P106" i="43"/>
  <c r="Q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D107" i="43"/>
  <c r="O107" i="43"/>
  <c r="P107" i="43"/>
  <c r="Q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D108" i="43"/>
  <c r="O108" i="43"/>
  <c r="P108" i="43"/>
  <c r="Q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D109" i="43"/>
  <c r="O109" i="43"/>
  <c r="P109" i="43"/>
  <c r="Q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D110" i="43"/>
  <c r="O110" i="43"/>
  <c r="P110" i="43"/>
  <c r="Q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D111" i="43"/>
  <c r="O111" i="43"/>
  <c r="P111" i="43"/>
  <c r="Q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D112" i="43"/>
  <c r="O112" i="43"/>
  <c r="P112" i="43"/>
  <c r="Q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D113" i="43"/>
  <c r="O113" i="43"/>
  <c r="P113" i="43"/>
  <c r="Q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D114" i="43"/>
  <c r="O114" i="43"/>
  <c r="P114" i="43"/>
  <c r="Q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D115" i="43"/>
  <c r="O115" i="43"/>
  <c r="P115" i="43"/>
  <c r="Q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D116" i="43"/>
  <c r="O116" i="43"/>
  <c r="P116" i="43"/>
  <c r="Q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D117" i="43"/>
  <c r="O117" i="43"/>
  <c r="P117" i="43"/>
  <c r="Q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D118" i="43"/>
  <c r="O118" i="43"/>
  <c r="P118" i="43"/>
  <c r="Q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D119" i="43"/>
  <c r="O119" i="43"/>
  <c r="P119" i="43"/>
  <c r="Q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D120" i="43"/>
  <c r="O120" i="43"/>
  <c r="P120" i="43"/>
  <c r="Q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D121" i="43"/>
  <c r="O121" i="43"/>
  <c r="P121" i="43"/>
  <c r="Q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D122" i="43"/>
  <c r="O122" i="43"/>
  <c r="P122" i="43"/>
  <c r="Q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D123" i="43"/>
  <c r="O123" i="43"/>
  <c r="P123" i="43"/>
  <c r="Q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D124" i="43"/>
  <c r="O124" i="43"/>
  <c r="P124" i="43"/>
  <c r="Q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D125" i="43"/>
  <c r="O125" i="43"/>
  <c r="P125" i="43"/>
  <c r="Q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D126" i="43"/>
  <c r="O126" i="43"/>
  <c r="P126" i="43"/>
  <c r="Q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D127" i="43"/>
  <c r="O127" i="43"/>
  <c r="P127" i="43"/>
  <c r="Q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D128" i="43"/>
  <c r="O128" i="43"/>
  <c r="P128" i="43"/>
  <c r="Q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D129" i="43"/>
  <c r="O129" i="43"/>
  <c r="P129" i="43"/>
  <c r="Q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D130" i="43"/>
  <c r="O130" i="43"/>
  <c r="P130" i="43"/>
  <c r="Q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D131" i="43"/>
  <c r="O131" i="43"/>
  <c r="P131" i="43"/>
  <c r="Q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D132" i="43"/>
  <c r="O132" i="43"/>
  <c r="P132" i="43"/>
  <c r="Q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D133" i="43"/>
  <c r="O133" i="43"/>
  <c r="P133" i="43"/>
  <c r="Q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D134" i="43"/>
  <c r="O134" i="43"/>
  <c r="P134" i="43"/>
  <c r="Q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D135" i="43"/>
  <c r="O135" i="43"/>
  <c r="P135" i="43"/>
  <c r="Q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D136" i="43"/>
  <c r="O136" i="43"/>
  <c r="P136" i="43"/>
  <c r="Q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D137" i="43"/>
  <c r="O137" i="43"/>
  <c r="P137" i="43"/>
  <c r="Q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D138" i="43"/>
  <c r="O138" i="43"/>
  <c r="P138" i="43"/>
  <c r="Q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D139" i="43"/>
  <c r="O139" i="43"/>
  <c r="P139" i="43"/>
  <c r="Q139" i="43"/>
  <c r="U139" i="43"/>
  <c r="V139" i="43"/>
  <c r="W139" i="43"/>
  <c r="X139" i="43"/>
  <c r="Y139" i="43"/>
  <c r="Z139" i="43"/>
  <c r="AA139" i="43"/>
  <c r="AB139" i="43"/>
  <c r="AC139" i="43"/>
  <c r="AD139" i="43"/>
  <c r="AE139" i="43"/>
  <c r="AF139" i="43"/>
  <c r="AG139" i="43"/>
  <c r="D140" i="43"/>
  <c r="O140" i="43"/>
  <c r="P140" i="43"/>
  <c r="Q140" i="43"/>
  <c r="U140" i="43"/>
  <c r="V140" i="43"/>
  <c r="W140" i="43"/>
  <c r="X140" i="43"/>
  <c r="Y140" i="43"/>
  <c r="Z140" i="43"/>
  <c r="AA140" i="43"/>
  <c r="AB140" i="43"/>
  <c r="AC140" i="43"/>
  <c r="AD140" i="43"/>
  <c r="AE140" i="43"/>
  <c r="AF140" i="43"/>
  <c r="AG140" i="43"/>
  <c r="D141" i="43"/>
  <c r="O141" i="43"/>
  <c r="P141" i="43"/>
  <c r="Q141" i="43"/>
  <c r="U141" i="43"/>
  <c r="V141" i="43"/>
  <c r="W141" i="43"/>
  <c r="X141" i="43"/>
  <c r="Y141" i="43"/>
  <c r="Z141" i="43"/>
  <c r="AA141" i="43"/>
  <c r="AB141" i="43"/>
  <c r="AC141" i="43"/>
  <c r="AD141" i="43"/>
  <c r="AE141" i="43"/>
  <c r="AF141" i="43"/>
  <c r="AG141" i="43"/>
  <c r="D142" i="43"/>
  <c r="O142" i="43"/>
  <c r="P142" i="43"/>
  <c r="Q142" i="43"/>
  <c r="U142" i="43"/>
  <c r="V142" i="43"/>
  <c r="W142" i="43"/>
  <c r="X142" i="43"/>
  <c r="Y142" i="43"/>
  <c r="Z142" i="43"/>
  <c r="AA142" i="43"/>
  <c r="AB142" i="43"/>
  <c r="AC142" i="43"/>
  <c r="AD142" i="43"/>
  <c r="AE142" i="43"/>
  <c r="AF142" i="43"/>
  <c r="AG142" i="43"/>
  <c r="D143" i="43"/>
  <c r="O143" i="43"/>
  <c r="P143" i="43"/>
  <c r="Q143" i="43"/>
  <c r="U143" i="43"/>
  <c r="V143" i="43"/>
  <c r="W143" i="43"/>
  <c r="X143" i="43"/>
  <c r="Y143" i="43"/>
  <c r="Z143" i="43"/>
  <c r="AA143" i="43"/>
  <c r="AB143" i="43"/>
  <c r="AC143" i="43"/>
  <c r="AD143" i="43"/>
  <c r="AE143" i="43"/>
  <c r="AF143" i="43"/>
  <c r="AG143" i="43"/>
  <c r="D144" i="43"/>
  <c r="O144" i="43"/>
  <c r="P144" i="43"/>
  <c r="Q144" i="43"/>
  <c r="U144" i="43"/>
  <c r="V144" i="43"/>
  <c r="W144" i="43"/>
  <c r="X144" i="43"/>
  <c r="Y144" i="43"/>
  <c r="Z144" i="43"/>
  <c r="AA144" i="43"/>
  <c r="AB144" i="43"/>
  <c r="AC144" i="43"/>
  <c r="AD144" i="43"/>
  <c r="AE144" i="43"/>
  <c r="AF144" i="43"/>
  <c r="AG144" i="43"/>
  <c r="D145" i="43"/>
  <c r="O145" i="43"/>
  <c r="P145" i="43"/>
  <c r="Q145" i="43"/>
  <c r="U145" i="43"/>
  <c r="V145" i="43"/>
  <c r="W145" i="43"/>
  <c r="X145" i="43"/>
  <c r="Y145" i="43"/>
  <c r="Z145" i="43"/>
  <c r="AA145" i="43"/>
  <c r="AB145" i="43"/>
  <c r="AC145" i="43"/>
  <c r="AD145" i="43"/>
  <c r="AE145" i="43"/>
  <c r="AF145" i="43"/>
  <c r="AG145" i="43"/>
  <c r="D146" i="43"/>
  <c r="O146" i="43"/>
  <c r="P146" i="43"/>
  <c r="Q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D147" i="43"/>
  <c r="O147" i="43"/>
  <c r="P147" i="43"/>
  <c r="Q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D148" i="43"/>
  <c r="O148" i="43"/>
  <c r="P148" i="43"/>
  <c r="Q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D149" i="43"/>
  <c r="O149" i="43"/>
  <c r="P149" i="43"/>
  <c r="Q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D150" i="43"/>
  <c r="O150" i="43"/>
  <c r="P150" i="43"/>
  <c r="Q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D151" i="43"/>
  <c r="O151" i="43"/>
  <c r="P151" i="43"/>
  <c r="Q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D152" i="43"/>
  <c r="O152" i="43"/>
  <c r="P152" i="43"/>
  <c r="Q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D153" i="43"/>
  <c r="O153" i="43"/>
  <c r="P153" i="43"/>
  <c r="Q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D154" i="43"/>
  <c r="O154" i="43"/>
  <c r="P154" i="43"/>
  <c r="Q154" i="43"/>
  <c r="U154" i="43"/>
  <c r="V154" i="43"/>
  <c r="W154" i="43"/>
  <c r="X154" i="43"/>
  <c r="Y154" i="43"/>
  <c r="Z154" i="43"/>
  <c r="AA154" i="43"/>
  <c r="AB154" i="43"/>
  <c r="AC154" i="43"/>
  <c r="AD154" i="43"/>
  <c r="AE154" i="43"/>
  <c r="AF154" i="43"/>
  <c r="AG154" i="43"/>
  <c r="D155" i="43"/>
  <c r="O155" i="43"/>
  <c r="P155" i="43"/>
  <c r="Q155" i="43"/>
  <c r="U155" i="43"/>
  <c r="V155" i="43"/>
  <c r="W155" i="43"/>
  <c r="X155" i="43"/>
  <c r="Y155" i="43"/>
  <c r="Z155" i="43"/>
  <c r="AA155" i="43"/>
  <c r="AB155" i="43"/>
  <c r="AC155" i="43"/>
  <c r="AD155" i="43"/>
  <c r="AE155" i="43"/>
  <c r="AF155" i="43"/>
  <c r="AG155" i="43"/>
  <c r="D156" i="43"/>
  <c r="O156" i="43"/>
  <c r="P156" i="43"/>
  <c r="Q156" i="43"/>
  <c r="U156" i="43"/>
  <c r="V156" i="43"/>
  <c r="W156" i="43"/>
  <c r="X156" i="43"/>
  <c r="Y156" i="43"/>
  <c r="Z156" i="43"/>
  <c r="AA156" i="43"/>
  <c r="AB156" i="43"/>
  <c r="AC156" i="43"/>
  <c r="AD156" i="43"/>
  <c r="AE156" i="43"/>
  <c r="AF156" i="43"/>
  <c r="AG156" i="43"/>
  <c r="D157" i="43"/>
  <c r="O157" i="43"/>
  <c r="P157" i="43"/>
  <c r="Q157" i="43"/>
  <c r="U157" i="43"/>
  <c r="V157" i="43"/>
  <c r="W157" i="43"/>
  <c r="X157" i="43"/>
  <c r="Y157" i="43"/>
  <c r="Z157" i="43"/>
  <c r="AA157" i="43"/>
  <c r="AB157" i="43"/>
  <c r="AC157" i="43"/>
  <c r="AD157" i="43"/>
  <c r="AE157" i="43"/>
  <c r="AF157" i="43"/>
  <c r="AG157" i="43"/>
  <c r="D158" i="43"/>
  <c r="O158" i="43"/>
  <c r="P158" i="43"/>
  <c r="Q158" i="43"/>
  <c r="U158" i="43"/>
  <c r="V158" i="43"/>
  <c r="W158" i="43"/>
  <c r="X158" i="43"/>
  <c r="Y158" i="43"/>
  <c r="Z158" i="43"/>
  <c r="AA158" i="43"/>
  <c r="AB158" i="43"/>
  <c r="AC158" i="43"/>
  <c r="AD158" i="43"/>
  <c r="AE158" i="43"/>
  <c r="AF158" i="43"/>
  <c r="AG158" i="43"/>
  <c r="D159" i="43"/>
  <c r="O159" i="43"/>
  <c r="P159" i="43"/>
  <c r="Q159" i="43"/>
  <c r="U159" i="43"/>
  <c r="V159" i="43"/>
  <c r="W159" i="43"/>
  <c r="X159" i="43"/>
  <c r="Y159" i="43"/>
  <c r="Z159" i="43"/>
  <c r="AA159" i="43"/>
  <c r="AB159" i="43"/>
  <c r="AC159" i="43"/>
  <c r="AD159" i="43"/>
  <c r="AE159" i="43"/>
  <c r="AF159" i="43"/>
  <c r="AG159" i="43"/>
  <c r="D160" i="43"/>
  <c r="O160" i="43"/>
  <c r="P160" i="43"/>
  <c r="Q160" i="43"/>
  <c r="U160" i="43"/>
  <c r="V160" i="43"/>
  <c r="W160" i="43"/>
  <c r="X160" i="43"/>
  <c r="Y160" i="43"/>
  <c r="Z160" i="43"/>
  <c r="AA160" i="43"/>
  <c r="AB160" i="43"/>
  <c r="AC160" i="43"/>
  <c r="AD160" i="43"/>
  <c r="AE160" i="43"/>
  <c r="AF160" i="43"/>
  <c r="AG160" i="43"/>
  <c r="D161" i="43"/>
  <c r="O161" i="43"/>
  <c r="P161" i="43"/>
  <c r="Q161" i="43"/>
  <c r="U161" i="43"/>
  <c r="V161" i="43"/>
  <c r="W161" i="43"/>
  <c r="X161" i="43"/>
  <c r="Y161" i="43"/>
  <c r="Z161" i="43"/>
  <c r="AA161" i="43"/>
  <c r="AB161" i="43"/>
  <c r="AC161" i="43"/>
  <c r="AD161" i="43"/>
  <c r="AE161" i="43"/>
  <c r="AF161" i="43"/>
  <c r="AG161" i="43"/>
  <c r="D162" i="43"/>
  <c r="O162" i="43"/>
  <c r="P162" i="43"/>
  <c r="Q162" i="43"/>
  <c r="U162" i="43"/>
  <c r="V162" i="43"/>
  <c r="W162" i="43"/>
  <c r="X162" i="43"/>
  <c r="Y162" i="43"/>
  <c r="Z162" i="43"/>
  <c r="AA162" i="43"/>
  <c r="AB162" i="43"/>
  <c r="AC162" i="43"/>
  <c r="AD162" i="43"/>
  <c r="AE162" i="43"/>
  <c r="AF162" i="43"/>
  <c r="AG162" i="43"/>
  <c r="D163" i="43"/>
  <c r="O163" i="43"/>
  <c r="P163" i="43"/>
  <c r="Q163" i="43"/>
  <c r="U163" i="43"/>
  <c r="V163" i="43"/>
  <c r="W163" i="43"/>
  <c r="X163" i="43"/>
  <c r="Y163" i="43"/>
  <c r="Z163" i="43"/>
  <c r="AA163" i="43"/>
  <c r="AB163" i="43"/>
  <c r="AC163" i="43"/>
  <c r="AD163" i="43"/>
  <c r="AE163" i="43"/>
  <c r="AF163" i="43"/>
  <c r="AG163" i="43"/>
  <c r="D164" i="43"/>
  <c r="O164" i="43"/>
  <c r="P164" i="43"/>
  <c r="Q164" i="43"/>
  <c r="U164" i="43"/>
  <c r="V164" i="43"/>
  <c r="W164" i="43"/>
  <c r="X164" i="43"/>
  <c r="Y164" i="43"/>
  <c r="Z164" i="43"/>
  <c r="AA164" i="43"/>
  <c r="AB164" i="43"/>
  <c r="AC164" i="43"/>
  <c r="AD164" i="43"/>
  <c r="AE164" i="43"/>
  <c r="AF164" i="43"/>
  <c r="AG164" i="43"/>
  <c r="D165" i="43"/>
  <c r="O165" i="43"/>
  <c r="P165" i="43"/>
  <c r="Q165" i="43"/>
  <c r="U165" i="43"/>
  <c r="V165" i="43"/>
  <c r="W165" i="43"/>
  <c r="X165" i="43"/>
  <c r="Y165" i="43"/>
  <c r="Z165" i="43"/>
  <c r="AA165" i="43"/>
  <c r="AB165" i="43"/>
  <c r="AC165" i="43"/>
  <c r="AD165" i="43"/>
  <c r="AE165" i="43"/>
  <c r="AF165" i="43"/>
  <c r="AG165" i="43"/>
  <c r="D166" i="43"/>
  <c r="O166" i="43"/>
  <c r="P166" i="43"/>
  <c r="Q166" i="43"/>
  <c r="U166" i="43"/>
  <c r="V166" i="43"/>
  <c r="W166" i="43"/>
  <c r="X166" i="43"/>
  <c r="Y166" i="43"/>
  <c r="Z166" i="43"/>
  <c r="AA166" i="43"/>
  <c r="AB166" i="43"/>
  <c r="AC166" i="43"/>
  <c r="AD166" i="43"/>
  <c r="AE166" i="43"/>
  <c r="AF166" i="43"/>
  <c r="AG166" i="43"/>
  <c r="D167" i="43"/>
  <c r="O167" i="43"/>
  <c r="P167" i="43"/>
  <c r="Q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D168" i="43"/>
  <c r="O168" i="43"/>
  <c r="P168" i="43"/>
  <c r="Q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D169" i="43"/>
  <c r="O169" i="43"/>
  <c r="P169" i="43"/>
  <c r="Q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D170" i="43"/>
  <c r="O170" i="43"/>
  <c r="P170" i="43"/>
  <c r="Q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D171" i="43"/>
  <c r="O171" i="43"/>
  <c r="P171" i="43"/>
  <c r="Q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D172" i="43"/>
  <c r="O172" i="43"/>
  <c r="P172" i="43"/>
  <c r="Q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D173" i="43"/>
  <c r="O173" i="43"/>
  <c r="P173" i="43"/>
  <c r="Q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D174" i="43"/>
  <c r="O174" i="43"/>
  <c r="P174" i="43"/>
  <c r="Q174" i="43"/>
  <c r="U174" i="43"/>
  <c r="V174" i="43"/>
  <c r="W174" i="43"/>
  <c r="X174" i="43"/>
  <c r="Y174" i="43"/>
  <c r="Z174" i="43"/>
  <c r="AA174" i="43"/>
  <c r="AB174" i="43"/>
  <c r="AC174" i="43"/>
  <c r="AD174" i="43"/>
  <c r="AE174" i="43"/>
  <c r="AF174" i="43"/>
  <c r="AG174" i="43"/>
  <c r="D175" i="43"/>
  <c r="O175" i="43"/>
  <c r="P175" i="43"/>
  <c r="Q175" i="43"/>
  <c r="U175" i="43"/>
  <c r="V175" i="43"/>
  <c r="W175" i="43"/>
  <c r="X175" i="43"/>
  <c r="Y175" i="43"/>
  <c r="Z175" i="43"/>
  <c r="AA175" i="43"/>
  <c r="AB175" i="43"/>
  <c r="AC175" i="43"/>
  <c r="AD175" i="43"/>
  <c r="AE175" i="43"/>
  <c r="AF175" i="43"/>
  <c r="AG175" i="43"/>
  <c r="D176" i="43"/>
  <c r="O176" i="43"/>
  <c r="P176" i="43"/>
  <c r="Q176" i="43"/>
  <c r="U176" i="43"/>
  <c r="V176" i="43"/>
  <c r="W176" i="43"/>
  <c r="X176" i="43"/>
  <c r="Y176" i="43"/>
  <c r="Z176" i="43"/>
  <c r="AA176" i="43"/>
  <c r="AB176" i="43"/>
  <c r="AC176" i="43"/>
  <c r="AD176" i="43"/>
  <c r="AE176" i="43"/>
  <c r="AF176" i="43"/>
  <c r="AG176" i="43"/>
  <c r="D177" i="43"/>
  <c r="O177" i="43"/>
  <c r="P177" i="43"/>
  <c r="Q177" i="43"/>
  <c r="U177" i="43"/>
  <c r="V177" i="43"/>
  <c r="W177" i="43"/>
  <c r="X177" i="43"/>
  <c r="Y177" i="43"/>
  <c r="Z177" i="43"/>
  <c r="AA177" i="43"/>
  <c r="AB177" i="43"/>
  <c r="AC177" i="43"/>
  <c r="AD177" i="43"/>
  <c r="AE177" i="43"/>
  <c r="AF177" i="43"/>
  <c r="AG177" i="43"/>
  <c r="D178" i="43"/>
  <c r="O178" i="43"/>
  <c r="P178" i="43"/>
  <c r="Q178" i="43"/>
  <c r="U178" i="43"/>
  <c r="V178" i="43"/>
  <c r="W178" i="43"/>
  <c r="X178" i="43"/>
  <c r="Y178" i="43"/>
  <c r="Z178" i="43"/>
  <c r="AA178" i="43"/>
  <c r="AB178" i="43"/>
  <c r="AC178" i="43"/>
  <c r="AD178" i="43"/>
  <c r="AE178" i="43"/>
  <c r="AF178" i="43"/>
  <c r="AG178" i="43"/>
  <c r="D179" i="43"/>
  <c r="O179" i="43"/>
  <c r="P179" i="43"/>
  <c r="Q179" i="43"/>
  <c r="U179" i="43"/>
  <c r="V179" i="43"/>
  <c r="W179" i="43"/>
  <c r="X179" i="43"/>
  <c r="Y179" i="43"/>
  <c r="Z179" i="43"/>
  <c r="AA179" i="43"/>
  <c r="AB179" i="43"/>
  <c r="AC179" i="43"/>
  <c r="AD179" i="43"/>
  <c r="AE179" i="43"/>
  <c r="AF179" i="43"/>
  <c r="AG179" i="43"/>
  <c r="D180" i="43"/>
  <c r="O180" i="43"/>
  <c r="P180" i="43"/>
  <c r="Q180" i="43"/>
  <c r="U180" i="43"/>
  <c r="V180" i="43"/>
  <c r="W180" i="43"/>
  <c r="X180" i="43"/>
  <c r="Y180" i="43"/>
  <c r="Z180" i="43"/>
  <c r="AA180" i="43"/>
  <c r="AB180" i="43"/>
  <c r="AC180" i="43"/>
  <c r="AD180" i="43"/>
  <c r="AE180" i="43"/>
  <c r="AF180" i="43"/>
  <c r="AG180" i="43"/>
  <c r="D21" i="42"/>
  <c r="O21" i="42"/>
  <c r="P21" i="42"/>
  <c r="Q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D22" i="42"/>
  <c r="O22" i="42"/>
  <c r="P22" i="42"/>
  <c r="Q22" i="42"/>
  <c r="U22" i="42"/>
  <c r="V22" i="42"/>
  <c r="W22" i="42"/>
  <c r="X22" i="42"/>
  <c r="Y22" i="42"/>
  <c r="Z22" i="42"/>
  <c r="AA22" i="42"/>
  <c r="AB22" i="42"/>
  <c r="AC22" i="42"/>
  <c r="AD22" i="42"/>
  <c r="AE22" i="42"/>
  <c r="AF22" i="42"/>
  <c r="AG22" i="42"/>
  <c r="D23" i="42"/>
  <c r="O23" i="42"/>
  <c r="P23" i="42"/>
  <c r="Q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D24" i="42"/>
  <c r="O24" i="42"/>
  <c r="P24" i="42"/>
  <c r="Q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D25" i="42"/>
  <c r="O25" i="42"/>
  <c r="P25" i="42"/>
  <c r="Q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D26" i="42"/>
  <c r="O26" i="42"/>
  <c r="P26" i="42"/>
  <c r="Q26" i="42"/>
  <c r="U26" i="42"/>
  <c r="V26" i="42"/>
  <c r="W26" i="42"/>
  <c r="X26" i="42"/>
  <c r="Y26" i="42"/>
  <c r="Z26" i="42"/>
  <c r="AA26" i="42"/>
  <c r="AB26" i="42"/>
  <c r="AC26" i="42"/>
  <c r="AD26" i="42"/>
  <c r="AE26" i="42"/>
  <c r="AF26" i="42"/>
  <c r="AG26" i="42"/>
  <c r="D27" i="42"/>
  <c r="O27" i="42"/>
  <c r="P27" i="42"/>
  <c r="Q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D28" i="42"/>
  <c r="O28" i="42"/>
  <c r="P28" i="42"/>
  <c r="Q28" i="42"/>
  <c r="U28" i="42"/>
  <c r="V28" i="42"/>
  <c r="W28" i="42"/>
  <c r="X28" i="42"/>
  <c r="Y28" i="42"/>
  <c r="Z28" i="42"/>
  <c r="AA28" i="42"/>
  <c r="AB28" i="42"/>
  <c r="AC28" i="42"/>
  <c r="AD28" i="42"/>
  <c r="AE28" i="42"/>
  <c r="AF28" i="42"/>
  <c r="AG28" i="42"/>
  <c r="D29" i="42"/>
  <c r="O29" i="42"/>
  <c r="P29" i="42"/>
  <c r="Q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D30" i="42"/>
  <c r="O30" i="42"/>
  <c r="P30" i="42"/>
  <c r="Q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D31" i="42"/>
  <c r="O31" i="42"/>
  <c r="P31" i="42"/>
  <c r="Q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D32" i="42"/>
  <c r="O32" i="42"/>
  <c r="P32" i="42"/>
  <c r="Q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D33" i="42"/>
  <c r="O33" i="42"/>
  <c r="P33" i="42"/>
  <c r="Q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D34" i="42"/>
  <c r="O34" i="42"/>
  <c r="P34" i="42"/>
  <c r="Q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D35" i="42"/>
  <c r="O35" i="42"/>
  <c r="P35" i="42"/>
  <c r="Q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D36" i="42"/>
  <c r="O36" i="42"/>
  <c r="P36" i="42"/>
  <c r="Q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D37" i="42"/>
  <c r="O37" i="42"/>
  <c r="P37" i="42"/>
  <c r="Q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D38" i="42"/>
  <c r="O38" i="42"/>
  <c r="P38" i="42"/>
  <c r="Q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D39" i="42"/>
  <c r="O39" i="42"/>
  <c r="P39" i="42"/>
  <c r="Q39" i="42"/>
  <c r="U39" i="42"/>
  <c r="V39" i="42"/>
  <c r="W39" i="42"/>
  <c r="X39" i="42"/>
  <c r="Y39" i="42"/>
  <c r="Z39" i="42"/>
  <c r="AA39" i="42"/>
  <c r="AB39" i="42"/>
  <c r="AC39" i="42"/>
  <c r="AD39" i="42"/>
  <c r="AE39" i="42"/>
  <c r="AF39" i="42"/>
  <c r="AG39" i="42"/>
  <c r="D40" i="42"/>
  <c r="O40" i="42"/>
  <c r="P40" i="42"/>
  <c r="Q40" i="42"/>
  <c r="U40" i="42"/>
  <c r="V40" i="42"/>
  <c r="W40" i="42"/>
  <c r="X40" i="42"/>
  <c r="Y40" i="42"/>
  <c r="Z40" i="42"/>
  <c r="AA40" i="42"/>
  <c r="AB40" i="42"/>
  <c r="AC40" i="42"/>
  <c r="AD40" i="42"/>
  <c r="AE40" i="42"/>
  <c r="AF40" i="42"/>
  <c r="AG40" i="42"/>
  <c r="D41" i="42"/>
  <c r="O41" i="42"/>
  <c r="P41" i="42"/>
  <c r="Q41" i="42"/>
  <c r="U41" i="42"/>
  <c r="V41" i="42"/>
  <c r="W41" i="42"/>
  <c r="X41" i="42"/>
  <c r="Y41" i="42"/>
  <c r="Z41" i="42"/>
  <c r="AA41" i="42"/>
  <c r="AB41" i="42"/>
  <c r="AC41" i="42"/>
  <c r="AD41" i="42"/>
  <c r="AE41" i="42"/>
  <c r="AF41" i="42"/>
  <c r="AG41" i="42"/>
  <c r="D42" i="42"/>
  <c r="O42" i="42"/>
  <c r="P42" i="42"/>
  <c r="Q42" i="42"/>
  <c r="U42" i="42"/>
  <c r="V42" i="42"/>
  <c r="W42" i="42"/>
  <c r="X42" i="42"/>
  <c r="Y42" i="42"/>
  <c r="Z42" i="42"/>
  <c r="AA42" i="42"/>
  <c r="AB42" i="42"/>
  <c r="AC42" i="42"/>
  <c r="AD42" i="42"/>
  <c r="AE42" i="42"/>
  <c r="AF42" i="42"/>
  <c r="AG42" i="42"/>
  <c r="D43" i="42"/>
  <c r="O43" i="42"/>
  <c r="P43" i="42"/>
  <c r="Q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D44" i="42"/>
  <c r="O44" i="42"/>
  <c r="P44" i="42"/>
  <c r="Q44" i="42"/>
  <c r="U44" i="42"/>
  <c r="V44" i="42"/>
  <c r="W44" i="42"/>
  <c r="X44" i="42"/>
  <c r="Y44" i="42"/>
  <c r="Z44" i="42"/>
  <c r="AA44" i="42"/>
  <c r="AB44" i="42"/>
  <c r="AC44" i="42"/>
  <c r="AD44" i="42"/>
  <c r="AE44" i="42"/>
  <c r="AF44" i="42"/>
  <c r="AG44" i="42"/>
  <c r="D45" i="42"/>
  <c r="O45" i="42"/>
  <c r="P45" i="42"/>
  <c r="Q45" i="42"/>
  <c r="U45" i="42"/>
  <c r="V45" i="42"/>
  <c r="W45" i="42"/>
  <c r="X45" i="42"/>
  <c r="Y45" i="42"/>
  <c r="Z45" i="42"/>
  <c r="AA45" i="42"/>
  <c r="AB45" i="42"/>
  <c r="AC45" i="42"/>
  <c r="AD45" i="42"/>
  <c r="AE45" i="42"/>
  <c r="AF45" i="42"/>
  <c r="AG45" i="42"/>
  <c r="D46" i="42"/>
  <c r="O46" i="42"/>
  <c r="P46" i="42"/>
  <c r="Q46" i="42"/>
  <c r="U46" i="42"/>
  <c r="V46" i="42"/>
  <c r="W46" i="42"/>
  <c r="X46" i="42"/>
  <c r="Y46" i="42"/>
  <c r="Z46" i="42"/>
  <c r="AA46" i="42"/>
  <c r="AB46" i="42"/>
  <c r="AC46" i="42"/>
  <c r="AD46" i="42"/>
  <c r="AE46" i="42"/>
  <c r="AF46" i="42"/>
  <c r="AG46" i="42"/>
  <c r="D47" i="42"/>
  <c r="O47" i="42"/>
  <c r="P47" i="42"/>
  <c r="Q47" i="42"/>
  <c r="U47" i="42"/>
  <c r="V47" i="42"/>
  <c r="W47" i="42"/>
  <c r="X47" i="42"/>
  <c r="Y47" i="42"/>
  <c r="Z47" i="42"/>
  <c r="AA47" i="42"/>
  <c r="AB47" i="42"/>
  <c r="AC47" i="42"/>
  <c r="AD47" i="42"/>
  <c r="AE47" i="42"/>
  <c r="AF47" i="42"/>
  <c r="AG47" i="42"/>
  <c r="D48" i="42"/>
  <c r="O48" i="42"/>
  <c r="P48" i="42"/>
  <c r="Q48" i="42"/>
  <c r="U48" i="42"/>
  <c r="V48" i="42"/>
  <c r="W48" i="42"/>
  <c r="X48" i="42"/>
  <c r="Y48" i="42"/>
  <c r="Z48" i="42"/>
  <c r="AA48" i="42"/>
  <c r="AB48" i="42"/>
  <c r="AC48" i="42"/>
  <c r="AD48" i="42"/>
  <c r="AE48" i="42"/>
  <c r="AF48" i="42"/>
  <c r="AG48" i="42"/>
  <c r="D49" i="42"/>
  <c r="O49" i="42"/>
  <c r="P49" i="42"/>
  <c r="Q49" i="42"/>
  <c r="U49" i="42"/>
  <c r="V49" i="42"/>
  <c r="W49" i="42"/>
  <c r="X49" i="42"/>
  <c r="Y49" i="42"/>
  <c r="Z49" i="42"/>
  <c r="AA49" i="42"/>
  <c r="AB49" i="42"/>
  <c r="AC49" i="42"/>
  <c r="AD49" i="42"/>
  <c r="AE49" i="42"/>
  <c r="AF49" i="42"/>
  <c r="AG49" i="42"/>
  <c r="D50" i="42"/>
  <c r="O50" i="42"/>
  <c r="P50" i="42"/>
  <c r="Q50" i="42"/>
  <c r="U50" i="42"/>
  <c r="V50" i="42"/>
  <c r="W50" i="42"/>
  <c r="X50" i="42"/>
  <c r="Y50" i="42"/>
  <c r="Z50" i="42"/>
  <c r="AA50" i="42"/>
  <c r="AB50" i="42"/>
  <c r="AC50" i="42"/>
  <c r="AD50" i="42"/>
  <c r="AE50" i="42"/>
  <c r="AF50" i="42"/>
  <c r="AG50" i="42"/>
  <c r="D51" i="42"/>
  <c r="O51" i="42"/>
  <c r="P51" i="42"/>
  <c r="Q51" i="42"/>
  <c r="U51" i="42"/>
  <c r="V51" i="42"/>
  <c r="W51" i="42"/>
  <c r="X51" i="42"/>
  <c r="Y51" i="42"/>
  <c r="Z51" i="42"/>
  <c r="AA51" i="42"/>
  <c r="AB51" i="42"/>
  <c r="AC51" i="42"/>
  <c r="AD51" i="42"/>
  <c r="AE51" i="42"/>
  <c r="AF51" i="42"/>
  <c r="AG51" i="42"/>
  <c r="D52" i="42"/>
  <c r="O52" i="42"/>
  <c r="P52" i="42"/>
  <c r="Q52" i="42"/>
  <c r="U52" i="42"/>
  <c r="V52" i="42"/>
  <c r="W52" i="42"/>
  <c r="X52" i="42"/>
  <c r="Y52" i="42"/>
  <c r="Z52" i="42"/>
  <c r="AA52" i="42"/>
  <c r="AB52" i="42"/>
  <c r="AC52" i="42"/>
  <c r="AD52" i="42"/>
  <c r="AE52" i="42"/>
  <c r="AF52" i="42"/>
  <c r="AG52" i="42"/>
  <c r="D53" i="42"/>
  <c r="O53" i="42"/>
  <c r="P53" i="42"/>
  <c r="Q53" i="42"/>
  <c r="U53" i="42"/>
  <c r="V53" i="42"/>
  <c r="W53" i="42"/>
  <c r="X53" i="42"/>
  <c r="Y53" i="42"/>
  <c r="Z53" i="42"/>
  <c r="AA53" i="42"/>
  <c r="AB53" i="42"/>
  <c r="AC53" i="42"/>
  <c r="AD53" i="42"/>
  <c r="AE53" i="42"/>
  <c r="AF53" i="42"/>
  <c r="AG53" i="42"/>
  <c r="D54" i="42"/>
  <c r="O54" i="42"/>
  <c r="P54" i="42"/>
  <c r="Q54" i="42"/>
  <c r="U54" i="42"/>
  <c r="V54" i="42"/>
  <c r="W54" i="42"/>
  <c r="X54" i="42"/>
  <c r="Y54" i="42"/>
  <c r="Z54" i="42"/>
  <c r="AA54" i="42"/>
  <c r="AB54" i="42"/>
  <c r="AC54" i="42"/>
  <c r="AD54" i="42"/>
  <c r="AE54" i="42"/>
  <c r="AF54" i="42"/>
  <c r="AG54" i="42"/>
  <c r="D55" i="42"/>
  <c r="O55" i="42"/>
  <c r="P55" i="42"/>
  <c r="Q55" i="42"/>
  <c r="U55" i="42"/>
  <c r="V55" i="42"/>
  <c r="W55" i="42"/>
  <c r="X55" i="42"/>
  <c r="Y55" i="42"/>
  <c r="Z55" i="42"/>
  <c r="AA55" i="42"/>
  <c r="AB55" i="42"/>
  <c r="AC55" i="42"/>
  <c r="AD55" i="42"/>
  <c r="AE55" i="42"/>
  <c r="AF55" i="42"/>
  <c r="AG55" i="42"/>
  <c r="D56" i="42"/>
  <c r="O56" i="42"/>
  <c r="P56" i="42"/>
  <c r="Q56" i="42"/>
  <c r="U56" i="42"/>
  <c r="V56" i="42"/>
  <c r="W56" i="42"/>
  <c r="X56" i="42"/>
  <c r="Y56" i="42"/>
  <c r="Z56" i="42"/>
  <c r="AA56" i="42"/>
  <c r="AB56" i="42"/>
  <c r="AC56" i="42"/>
  <c r="AD56" i="42"/>
  <c r="AE56" i="42"/>
  <c r="AF56" i="42"/>
  <c r="AG56" i="42"/>
  <c r="D57" i="42"/>
  <c r="O57" i="42"/>
  <c r="P57" i="42"/>
  <c r="Q57" i="42"/>
  <c r="U57" i="42"/>
  <c r="V57" i="42"/>
  <c r="W57" i="42"/>
  <c r="X57" i="42"/>
  <c r="Y57" i="42"/>
  <c r="Z57" i="42"/>
  <c r="AA57" i="42"/>
  <c r="AB57" i="42"/>
  <c r="AC57" i="42"/>
  <c r="AD57" i="42"/>
  <c r="AE57" i="42"/>
  <c r="AF57" i="42"/>
  <c r="AG57" i="42"/>
  <c r="D58" i="42"/>
  <c r="O58" i="42"/>
  <c r="P58" i="42"/>
  <c r="Q58" i="42"/>
  <c r="U58" i="42"/>
  <c r="V58" i="42"/>
  <c r="W58" i="42"/>
  <c r="X58" i="42"/>
  <c r="Y58" i="42"/>
  <c r="Z58" i="42"/>
  <c r="AA58" i="42"/>
  <c r="AB58" i="42"/>
  <c r="AC58" i="42"/>
  <c r="AD58" i="42"/>
  <c r="AE58" i="42"/>
  <c r="AF58" i="42"/>
  <c r="AG58" i="42"/>
  <c r="D59" i="42"/>
  <c r="O59" i="42"/>
  <c r="P59" i="42"/>
  <c r="Q59" i="42"/>
  <c r="U59" i="42"/>
  <c r="V59" i="42"/>
  <c r="W59" i="42"/>
  <c r="X59" i="42"/>
  <c r="Y59" i="42"/>
  <c r="Z59" i="42"/>
  <c r="AA59" i="42"/>
  <c r="AB59" i="42"/>
  <c r="AC59" i="42"/>
  <c r="AD59" i="42"/>
  <c r="AE59" i="42"/>
  <c r="AF59" i="42"/>
  <c r="AG59" i="42"/>
  <c r="D60" i="42"/>
  <c r="O60" i="42"/>
  <c r="P60" i="42"/>
  <c r="Q60" i="42"/>
  <c r="U60" i="42"/>
  <c r="V60" i="42"/>
  <c r="W60" i="42"/>
  <c r="X60" i="42"/>
  <c r="Y60" i="42"/>
  <c r="Z60" i="42"/>
  <c r="AA60" i="42"/>
  <c r="AB60" i="42"/>
  <c r="AC60" i="42"/>
  <c r="AD60" i="42"/>
  <c r="AE60" i="42"/>
  <c r="AF60" i="42"/>
  <c r="AG60" i="42"/>
  <c r="D61" i="42"/>
  <c r="O61" i="42"/>
  <c r="P61" i="42"/>
  <c r="Q61" i="42"/>
  <c r="U61" i="42"/>
  <c r="V61" i="42"/>
  <c r="W61" i="42"/>
  <c r="X61" i="42"/>
  <c r="Y61" i="42"/>
  <c r="Z61" i="42"/>
  <c r="AA61" i="42"/>
  <c r="AB61" i="42"/>
  <c r="AC61" i="42"/>
  <c r="AD61" i="42"/>
  <c r="AE61" i="42"/>
  <c r="AF61" i="42"/>
  <c r="AG61" i="42"/>
  <c r="D62" i="42"/>
  <c r="O62" i="42"/>
  <c r="P62" i="42"/>
  <c r="Q62" i="42"/>
  <c r="U62" i="42"/>
  <c r="V62" i="42"/>
  <c r="W62" i="42"/>
  <c r="X62" i="42"/>
  <c r="Y62" i="42"/>
  <c r="Z62" i="42"/>
  <c r="AA62" i="42"/>
  <c r="AB62" i="42"/>
  <c r="AC62" i="42"/>
  <c r="AD62" i="42"/>
  <c r="AE62" i="42"/>
  <c r="AF62" i="42"/>
  <c r="AG62" i="42"/>
  <c r="D63" i="42"/>
  <c r="O63" i="42"/>
  <c r="P63" i="42"/>
  <c r="Q63" i="42"/>
  <c r="U63" i="42"/>
  <c r="V63" i="42"/>
  <c r="W63" i="42"/>
  <c r="X63" i="42"/>
  <c r="Y63" i="42"/>
  <c r="Z63" i="42"/>
  <c r="AA63" i="42"/>
  <c r="AB63" i="42"/>
  <c r="AC63" i="42"/>
  <c r="AD63" i="42"/>
  <c r="AE63" i="42"/>
  <c r="AF63" i="42"/>
  <c r="AG63" i="42"/>
  <c r="D64" i="42"/>
  <c r="O64" i="42"/>
  <c r="P64" i="42"/>
  <c r="Q64" i="42"/>
  <c r="U64" i="42"/>
  <c r="V64" i="42"/>
  <c r="W64" i="42"/>
  <c r="X64" i="42"/>
  <c r="Y64" i="42"/>
  <c r="Z64" i="42"/>
  <c r="AA64" i="42"/>
  <c r="AB64" i="42"/>
  <c r="AC64" i="42"/>
  <c r="AD64" i="42"/>
  <c r="AE64" i="42"/>
  <c r="AF64" i="42"/>
  <c r="AG64" i="42"/>
  <c r="D65" i="42"/>
  <c r="O65" i="42"/>
  <c r="P65" i="42"/>
  <c r="Q65" i="42"/>
  <c r="U65" i="42"/>
  <c r="V65" i="42"/>
  <c r="W65" i="42"/>
  <c r="X65" i="42"/>
  <c r="Y65" i="42"/>
  <c r="Z65" i="42"/>
  <c r="AA65" i="42"/>
  <c r="AB65" i="42"/>
  <c r="AC65" i="42"/>
  <c r="AD65" i="42"/>
  <c r="AE65" i="42"/>
  <c r="AF65" i="42"/>
  <c r="AG65" i="42"/>
  <c r="D66" i="42"/>
  <c r="O66" i="42"/>
  <c r="P66" i="42"/>
  <c r="Q66" i="42"/>
  <c r="U66" i="42"/>
  <c r="V66" i="42"/>
  <c r="W66" i="42"/>
  <c r="X66" i="42"/>
  <c r="Y66" i="42"/>
  <c r="Z66" i="42"/>
  <c r="AA66" i="42"/>
  <c r="AB66" i="42"/>
  <c r="AC66" i="42"/>
  <c r="AD66" i="42"/>
  <c r="AE66" i="42"/>
  <c r="AF66" i="42"/>
  <c r="AG66" i="42"/>
  <c r="D67" i="42"/>
  <c r="O67" i="42"/>
  <c r="P67" i="42"/>
  <c r="Q67" i="42"/>
  <c r="U67" i="42"/>
  <c r="V67" i="42"/>
  <c r="W67" i="42"/>
  <c r="X67" i="42"/>
  <c r="Y67" i="42"/>
  <c r="Z67" i="42"/>
  <c r="AA67" i="42"/>
  <c r="AB67" i="42"/>
  <c r="AC67" i="42"/>
  <c r="AD67" i="42"/>
  <c r="AE67" i="42"/>
  <c r="AF67" i="42"/>
  <c r="AG67" i="42"/>
  <c r="D68" i="42"/>
  <c r="O68" i="42"/>
  <c r="P68" i="42"/>
  <c r="Q68" i="42"/>
  <c r="U68" i="42"/>
  <c r="V68" i="42"/>
  <c r="W68" i="42"/>
  <c r="X68" i="42"/>
  <c r="Y68" i="42"/>
  <c r="Z68" i="42"/>
  <c r="AA68" i="42"/>
  <c r="AB68" i="42"/>
  <c r="AC68" i="42"/>
  <c r="AD68" i="42"/>
  <c r="AE68" i="42"/>
  <c r="AF68" i="42"/>
  <c r="AG68" i="42"/>
  <c r="D69" i="42"/>
  <c r="O69" i="42"/>
  <c r="P69" i="42"/>
  <c r="Q69" i="42"/>
  <c r="U69" i="42"/>
  <c r="V69" i="42"/>
  <c r="W69" i="42"/>
  <c r="X69" i="42"/>
  <c r="Y69" i="42"/>
  <c r="Z69" i="42"/>
  <c r="AA69" i="42"/>
  <c r="AB69" i="42"/>
  <c r="AC69" i="42"/>
  <c r="AD69" i="42"/>
  <c r="AE69" i="42"/>
  <c r="AF69" i="42"/>
  <c r="AG69" i="42"/>
  <c r="D70" i="42"/>
  <c r="O70" i="42"/>
  <c r="P70" i="42"/>
  <c r="Q70" i="42"/>
  <c r="U70" i="42"/>
  <c r="V70" i="42"/>
  <c r="W70" i="42"/>
  <c r="X70" i="42"/>
  <c r="Y70" i="42"/>
  <c r="Z70" i="42"/>
  <c r="AA70" i="42"/>
  <c r="AB70" i="42"/>
  <c r="AC70" i="42"/>
  <c r="AD70" i="42"/>
  <c r="AE70" i="42"/>
  <c r="AF70" i="42"/>
  <c r="AG70" i="42"/>
  <c r="D71" i="42"/>
  <c r="O71" i="42"/>
  <c r="P71" i="42"/>
  <c r="Q71" i="42"/>
  <c r="U71" i="42"/>
  <c r="V71" i="42"/>
  <c r="W71" i="42"/>
  <c r="X71" i="42"/>
  <c r="Y71" i="42"/>
  <c r="Z71" i="42"/>
  <c r="AA71" i="42"/>
  <c r="AB71" i="42"/>
  <c r="AC71" i="42"/>
  <c r="AD71" i="42"/>
  <c r="AE71" i="42"/>
  <c r="AF71" i="42"/>
  <c r="AG71" i="42"/>
  <c r="D72" i="42"/>
  <c r="O72" i="42"/>
  <c r="P72" i="42"/>
  <c r="Q72" i="42"/>
  <c r="U72" i="42"/>
  <c r="V72" i="42"/>
  <c r="W72" i="42"/>
  <c r="X72" i="42"/>
  <c r="Y72" i="42"/>
  <c r="Z72" i="42"/>
  <c r="AA72" i="42"/>
  <c r="AB72" i="42"/>
  <c r="AC72" i="42"/>
  <c r="AD72" i="42"/>
  <c r="AE72" i="42"/>
  <c r="AF72" i="42"/>
  <c r="AG72" i="42"/>
  <c r="D73" i="42"/>
  <c r="O73" i="42"/>
  <c r="P73" i="42"/>
  <c r="Q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D74" i="42"/>
  <c r="O74" i="42"/>
  <c r="P74" i="42"/>
  <c r="Q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D75" i="42"/>
  <c r="O75" i="42"/>
  <c r="P75" i="42"/>
  <c r="Q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D76" i="42"/>
  <c r="O76" i="42"/>
  <c r="P76" i="42"/>
  <c r="Q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D77" i="42"/>
  <c r="O77" i="42"/>
  <c r="P77" i="42"/>
  <c r="Q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D78" i="42"/>
  <c r="O78" i="42"/>
  <c r="P78" i="42"/>
  <c r="Q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D79" i="42"/>
  <c r="O79" i="42"/>
  <c r="P79" i="42"/>
  <c r="Q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D80" i="42"/>
  <c r="O80" i="42"/>
  <c r="P80" i="42"/>
  <c r="Q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D81" i="42"/>
  <c r="O81" i="42"/>
  <c r="P81" i="42"/>
  <c r="Q81" i="42"/>
  <c r="U81" i="42"/>
  <c r="V81" i="42"/>
  <c r="W81" i="42"/>
  <c r="X81" i="42"/>
  <c r="Y81" i="42"/>
  <c r="Z81" i="42"/>
  <c r="AA81" i="42"/>
  <c r="AB81" i="42"/>
  <c r="AC81" i="42"/>
  <c r="AD81" i="42"/>
  <c r="AE81" i="42"/>
  <c r="AF81" i="42"/>
  <c r="AG81" i="42"/>
  <c r="D82" i="42"/>
  <c r="O82" i="42"/>
  <c r="P82" i="42"/>
  <c r="Q82" i="42"/>
  <c r="U82" i="42"/>
  <c r="V82" i="42"/>
  <c r="W82" i="42"/>
  <c r="X82" i="42"/>
  <c r="Y82" i="42"/>
  <c r="Z82" i="42"/>
  <c r="AA82" i="42"/>
  <c r="AB82" i="42"/>
  <c r="AC82" i="42"/>
  <c r="AD82" i="42"/>
  <c r="AE82" i="42"/>
  <c r="AF82" i="42"/>
  <c r="AG82" i="42"/>
  <c r="D83" i="42"/>
  <c r="O83" i="42"/>
  <c r="P83" i="42"/>
  <c r="Q83" i="42"/>
  <c r="U83" i="42"/>
  <c r="V83" i="42"/>
  <c r="W83" i="42"/>
  <c r="X83" i="42"/>
  <c r="Y83" i="42"/>
  <c r="Z83" i="42"/>
  <c r="AA83" i="42"/>
  <c r="AB83" i="42"/>
  <c r="AC83" i="42"/>
  <c r="AD83" i="42"/>
  <c r="AE83" i="42"/>
  <c r="AF83" i="42"/>
  <c r="AG83" i="42"/>
  <c r="D84" i="42"/>
  <c r="O84" i="42"/>
  <c r="P84" i="42"/>
  <c r="Q84" i="42"/>
  <c r="U84" i="42"/>
  <c r="V84" i="42"/>
  <c r="W84" i="42"/>
  <c r="X84" i="42"/>
  <c r="Y84" i="42"/>
  <c r="Z84" i="42"/>
  <c r="AA84" i="42"/>
  <c r="AB84" i="42"/>
  <c r="AC84" i="42"/>
  <c r="AD84" i="42"/>
  <c r="AE84" i="42"/>
  <c r="AF84" i="42"/>
  <c r="AG84" i="42"/>
  <c r="D85" i="42"/>
  <c r="O85" i="42"/>
  <c r="P85" i="42"/>
  <c r="Q85" i="42"/>
  <c r="U85" i="42"/>
  <c r="V85" i="42"/>
  <c r="W85" i="42"/>
  <c r="X85" i="42"/>
  <c r="Y85" i="42"/>
  <c r="Z85" i="42"/>
  <c r="AA85" i="42"/>
  <c r="AB85" i="42"/>
  <c r="AC85" i="42"/>
  <c r="AD85" i="42"/>
  <c r="AE85" i="42"/>
  <c r="AF85" i="42"/>
  <c r="AG85" i="42"/>
  <c r="D86" i="42"/>
  <c r="O86" i="42"/>
  <c r="P86" i="42"/>
  <c r="Q86" i="42"/>
  <c r="U86" i="42"/>
  <c r="V86" i="42"/>
  <c r="W86" i="42"/>
  <c r="X86" i="42"/>
  <c r="Y86" i="42"/>
  <c r="Z86" i="42"/>
  <c r="AA86" i="42"/>
  <c r="AB86" i="42"/>
  <c r="AC86" i="42"/>
  <c r="AD86" i="42"/>
  <c r="AE86" i="42"/>
  <c r="AF86" i="42"/>
  <c r="AG86" i="42"/>
  <c r="D87" i="42"/>
  <c r="O87" i="42"/>
  <c r="P87" i="42"/>
  <c r="Q87" i="42"/>
  <c r="U87" i="42"/>
  <c r="V87" i="42"/>
  <c r="W87" i="42"/>
  <c r="X87" i="42"/>
  <c r="Y87" i="42"/>
  <c r="Z87" i="42"/>
  <c r="AA87" i="42"/>
  <c r="AB87" i="42"/>
  <c r="AC87" i="42"/>
  <c r="AD87" i="42"/>
  <c r="AE87" i="42"/>
  <c r="AF87" i="42"/>
  <c r="AG87" i="42"/>
  <c r="D88" i="42"/>
  <c r="O88" i="42"/>
  <c r="P88" i="42"/>
  <c r="Q88" i="42"/>
  <c r="U88" i="42"/>
  <c r="V88" i="42"/>
  <c r="W88" i="42"/>
  <c r="X88" i="42"/>
  <c r="Y88" i="42"/>
  <c r="Z88" i="42"/>
  <c r="AA88" i="42"/>
  <c r="AB88" i="42"/>
  <c r="AC88" i="42"/>
  <c r="AD88" i="42"/>
  <c r="AE88" i="42"/>
  <c r="AF88" i="42"/>
  <c r="AG88" i="42"/>
  <c r="D89" i="42"/>
  <c r="O89" i="42"/>
  <c r="P89" i="42"/>
  <c r="Q89" i="42"/>
  <c r="U89" i="42"/>
  <c r="V89" i="42"/>
  <c r="W89" i="42"/>
  <c r="X89" i="42"/>
  <c r="Y89" i="42"/>
  <c r="Z89" i="42"/>
  <c r="AA89" i="42"/>
  <c r="AB89" i="42"/>
  <c r="AC89" i="42"/>
  <c r="AD89" i="42"/>
  <c r="AE89" i="42"/>
  <c r="AF89" i="42"/>
  <c r="AG89" i="42"/>
  <c r="D90" i="42"/>
  <c r="O90" i="42"/>
  <c r="P90" i="42"/>
  <c r="Q90" i="42"/>
  <c r="U90" i="42"/>
  <c r="V90" i="42"/>
  <c r="W90" i="42"/>
  <c r="X90" i="42"/>
  <c r="Y90" i="42"/>
  <c r="Z90" i="42"/>
  <c r="AA90" i="42"/>
  <c r="AB90" i="42"/>
  <c r="AC90" i="42"/>
  <c r="AD90" i="42"/>
  <c r="AE90" i="42"/>
  <c r="AF90" i="42"/>
  <c r="AG90" i="42"/>
  <c r="D91" i="42"/>
  <c r="O91" i="42"/>
  <c r="P91" i="42"/>
  <c r="Q91" i="42"/>
  <c r="U91" i="42"/>
  <c r="V91" i="42"/>
  <c r="W91" i="42"/>
  <c r="X91" i="42"/>
  <c r="Y91" i="42"/>
  <c r="Z91" i="42"/>
  <c r="AA91" i="42"/>
  <c r="AB91" i="42"/>
  <c r="AC91" i="42"/>
  <c r="AD91" i="42"/>
  <c r="AE91" i="42"/>
  <c r="AF91" i="42"/>
  <c r="AG91" i="42"/>
  <c r="D92" i="42"/>
  <c r="O92" i="42"/>
  <c r="P92" i="42"/>
  <c r="Q92" i="42"/>
  <c r="U92" i="42"/>
  <c r="V92" i="42"/>
  <c r="W92" i="42"/>
  <c r="X92" i="42"/>
  <c r="Y92" i="42"/>
  <c r="Z92" i="42"/>
  <c r="AA92" i="42"/>
  <c r="AB92" i="42"/>
  <c r="AC92" i="42"/>
  <c r="AD92" i="42"/>
  <c r="AE92" i="42"/>
  <c r="AF92" i="42"/>
  <c r="AG92" i="42"/>
  <c r="D93" i="42"/>
  <c r="O93" i="42"/>
  <c r="P93" i="42"/>
  <c r="Q93" i="42"/>
  <c r="U93" i="42"/>
  <c r="V93" i="42"/>
  <c r="W93" i="42"/>
  <c r="X93" i="42"/>
  <c r="Y93" i="42"/>
  <c r="Z93" i="42"/>
  <c r="AA93" i="42"/>
  <c r="AB93" i="42"/>
  <c r="AC93" i="42"/>
  <c r="AD93" i="42"/>
  <c r="AE93" i="42"/>
  <c r="AF93" i="42"/>
  <c r="AG93" i="42"/>
  <c r="D94" i="42"/>
  <c r="O94" i="42"/>
  <c r="P94" i="42"/>
  <c r="Q94" i="42"/>
  <c r="U94" i="42"/>
  <c r="V94" i="42"/>
  <c r="W94" i="42"/>
  <c r="X94" i="42"/>
  <c r="Y94" i="42"/>
  <c r="Z94" i="42"/>
  <c r="AA94" i="42"/>
  <c r="AB94" i="42"/>
  <c r="AC94" i="42"/>
  <c r="AD94" i="42"/>
  <c r="AE94" i="42"/>
  <c r="AF94" i="42"/>
  <c r="AG94" i="42"/>
  <c r="D95" i="42"/>
  <c r="O95" i="42"/>
  <c r="P95" i="42"/>
  <c r="Q95" i="42"/>
  <c r="U95" i="42"/>
  <c r="V95" i="42"/>
  <c r="W95" i="42"/>
  <c r="X95" i="42"/>
  <c r="Y95" i="42"/>
  <c r="Z95" i="42"/>
  <c r="AA95" i="42"/>
  <c r="AB95" i="42"/>
  <c r="AC95" i="42"/>
  <c r="AD95" i="42"/>
  <c r="AE95" i="42"/>
  <c r="AF95" i="42"/>
  <c r="AG95" i="42"/>
  <c r="D96" i="42"/>
  <c r="O96" i="42"/>
  <c r="P96" i="42"/>
  <c r="Q96" i="42"/>
  <c r="U96" i="42"/>
  <c r="V96" i="42"/>
  <c r="W96" i="42"/>
  <c r="X96" i="42"/>
  <c r="Y96" i="42"/>
  <c r="Z96" i="42"/>
  <c r="AA96" i="42"/>
  <c r="AB96" i="42"/>
  <c r="AC96" i="42"/>
  <c r="AD96" i="42"/>
  <c r="AE96" i="42"/>
  <c r="AF96" i="42"/>
  <c r="AG96" i="42"/>
  <c r="D97" i="42"/>
  <c r="O97" i="42"/>
  <c r="P97" i="42"/>
  <c r="Q97" i="42"/>
  <c r="U97" i="42"/>
  <c r="V97" i="42"/>
  <c r="W97" i="42"/>
  <c r="X97" i="42"/>
  <c r="Y97" i="42"/>
  <c r="Z97" i="42"/>
  <c r="AA97" i="42"/>
  <c r="AB97" i="42"/>
  <c r="AC97" i="42"/>
  <c r="AD97" i="42"/>
  <c r="AE97" i="42"/>
  <c r="AF97" i="42"/>
  <c r="AG97" i="42"/>
  <c r="D98" i="42"/>
  <c r="O98" i="42"/>
  <c r="P98" i="42"/>
  <c r="Q98" i="42"/>
  <c r="U98" i="42"/>
  <c r="V98" i="42"/>
  <c r="W98" i="42"/>
  <c r="X98" i="42"/>
  <c r="Y98" i="42"/>
  <c r="Z98" i="42"/>
  <c r="AA98" i="42"/>
  <c r="AB98" i="42"/>
  <c r="AC98" i="42"/>
  <c r="AD98" i="42"/>
  <c r="AE98" i="42"/>
  <c r="AF98" i="42"/>
  <c r="AG98" i="42"/>
  <c r="D99" i="42"/>
  <c r="O99" i="42"/>
  <c r="P99" i="42"/>
  <c r="Q99" i="42"/>
  <c r="U99" i="42"/>
  <c r="V99" i="42"/>
  <c r="W99" i="42"/>
  <c r="X99" i="42"/>
  <c r="Y99" i="42"/>
  <c r="Z99" i="42"/>
  <c r="AA99" i="42"/>
  <c r="AB99" i="42"/>
  <c r="AC99" i="42"/>
  <c r="AD99" i="42"/>
  <c r="AE99" i="42"/>
  <c r="AF99" i="42"/>
  <c r="AG99" i="42"/>
  <c r="D100" i="42"/>
  <c r="O100" i="42"/>
  <c r="P100" i="42"/>
  <c r="Q100" i="42"/>
  <c r="U100" i="42"/>
  <c r="V100" i="42"/>
  <c r="W100" i="42"/>
  <c r="X100" i="42"/>
  <c r="Y100" i="42"/>
  <c r="Z100" i="42"/>
  <c r="AA100" i="42"/>
  <c r="AB100" i="42"/>
  <c r="AC100" i="42"/>
  <c r="AD100" i="42"/>
  <c r="AE100" i="42"/>
  <c r="AF100" i="42"/>
  <c r="AG100" i="42"/>
  <c r="D101" i="42"/>
  <c r="O101" i="42"/>
  <c r="P101" i="42"/>
  <c r="Q101" i="42"/>
  <c r="U101" i="42"/>
  <c r="V101" i="42"/>
  <c r="W101" i="42"/>
  <c r="X101" i="42"/>
  <c r="Y101" i="42"/>
  <c r="Z101" i="42"/>
  <c r="AA101" i="42"/>
  <c r="AB101" i="42"/>
  <c r="AC101" i="42"/>
  <c r="AD101" i="42"/>
  <c r="AE101" i="42"/>
  <c r="AF101" i="42"/>
  <c r="AG101" i="42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Q13" i="48"/>
  <c r="P13" i="48"/>
  <c r="O13" i="48"/>
  <c r="N13" i="48"/>
  <c r="F6" i="48"/>
  <c r="F7" i="48"/>
  <c r="F8" i="48"/>
  <c r="F9" i="48"/>
  <c r="F13" i="48"/>
  <c r="J12" i="48"/>
  <c r="X10" i="48"/>
  <c r="N10" i="48"/>
  <c r="V9" i="48"/>
  <c r="X9" i="48"/>
  <c r="N9" i="48"/>
  <c r="H9" i="48"/>
  <c r="G9" i="48"/>
  <c r="AB8" i="48"/>
  <c r="Z8" i="48"/>
  <c r="X8" i="48"/>
  <c r="V8" i="48"/>
  <c r="N8" i="48"/>
  <c r="G8" i="48"/>
  <c r="AB6" i="48"/>
  <c r="N6" i="48"/>
  <c r="AB7" i="48"/>
  <c r="Z6" i="48"/>
  <c r="Z7" i="48"/>
  <c r="X6" i="48"/>
  <c r="X7" i="48"/>
  <c r="V6" i="48"/>
  <c r="V7" i="48"/>
  <c r="J7" i="48"/>
  <c r="H7" i="48"/>
  <c r="I7" i="48"/>
  <c r="G7" i="48"/>
  <c r="AS4" i="48"/>
  <c r="AS5" i="48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Q13" i="47"/>
  <c r="P13" i="47"/>
  <c r="O13" i="47"/>
  <c r="N13" i="47"/>
  <c r="F6" i="47"/>
  <c r="F7" i="47"/>
  <c r="F8" i="47"/>
  <c r="F9" i="47"/>
  <c r="F13" i="47"/>
  <c r="J12" i="47"/>
  <c r="X10" i="47"/>
  <c r="N10" i="47"/>
  <c r="V9" i="47"/>
  <c r="X9" i="47"/>
  <c r="N9" i="47"/>
  <c r="H9" i="47"/>
  <c r="G9" i="47"/>
  <c r="AB8" i="47"/>
  <c r="Z8" i="47"/>
  <c r="X8" i="47"/>
  <c r="V8" i="47"/>
  <c r="N8" i="47"/>
  <c r="G8" i="47"/>
  <c r="AB6" i="47"/>
  <c r="N6" i="47"/>
  <c r="AB7" i="47"/>
  <c r="Z6" i="47"/>
  <c r="Z7" i="47"/>
  <c r="X6" i="47"/>
  <c r="X7" i="47"/>
  <c r="V6" i="47"/>
  <c r="V7" i="47"/>
  <c r="J7" i="47"/>
  <c r="H7" i="47"/>
  <c r="I7" i="47"/>
  <c r="G7" i="47"/>
  <c r="AS4" i="47"/>
  <c r="AS5" i="47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Q13" i="46"/>
  <c r="P13" i="46"/>
  <c r="O13" i="46"/>
  <c r="N13" i="46"/>
  <c r="F6" i="46"/>
  <c r="F7" i="46"/>
  <c r="F8" i="46"/>
  <c r="F9" i="46"/>
  <c r="F13" i="46"/>
  <c r="J12" i="46"/>
  <c r="X10" i="46"/>
  <c r="N10" i="46"/>
  <c r="V9" i="46"/>
  <c r="X9" i="46"/>
  <c r="N9" i="46"/>
  <c r="H9" i="46"/>
  <c r="G9" i="46"/>
  <c r="AB8" i="46"/>
  <c r="Z8" i="46"/>
  <c r="X8" i="46"/>
  <c r="V8" i="46"/>
  <c r="N8" i="46"/>
  <c r="G8" i="46"/>
  <c r="AB6" i="46"/>
  <c r="N6" i="46"/>
  <c r="AB7" i="46"/>
  <c r="Z6" i="46"/>
  <c r="Z7" i="46"/>
  <c r="X6" i="46"/>
  <c r="X7" i="46"/>
  <c r="V6" i="46"/>
  <c r="V7" i="46"/>
  <c r="J7" i="46"/>
  <c r="H7" i="46"/>
  <c r="I7" i="46"/>
  <c r="G7" i="46"/>
  <c r="AS4" i="46"/>
  <c r="AS5" i="46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Q13" i="45"/>
  <c r="P13" i="45"/>
  <c r="O13" i="45"/>
  <c r="N13" i="45"/>
  <c r="F6" i="45"/>
  <c r="F7" i="45"/>
  <c r="F8" i="45"/>
  <c r="F9" i="45"/>
  <c r="F13" i="45"/>
  <c r="J12" i="45"/>
  <c r="X10" i="45"/>
  <c r="N10" i="45"/>
  <c r="V9" i="45"/>
  <c r="X9" i="45"/>
  <c r="N9" i="45"/>
  <c r="H9" i="45"/>
  <c r="G9" i="45"/>
  <c r="AB8" i="45"/>
  <c r="Z8" i="45"/>
  <c r="X8" i="45"/>
  <c r="V8" i="45"/>
  <c r="N8" i="45"/>
  <c r="G8" i="45"/>
  <c r="AB6" i="45"/>
  <c r="N6" i="45"/>
  <c r="AB7" i="45"/>
  <c r="Z6" i="45"/>
  <c r="Z7" i="45"/>
  <c r="X6" i="45"/>
  <c r="X7" i="45"/>
  <c r="V6" i="45"/>
  <c r="V7" i="45"/>
  <c r="J7" i="45"/>
  <c r="H7" i="45"/>
  <c r="I7" i="45"/>
  <c r="G7" i="45"/>
  <c r="AS4" i="45"/>
  <c r="AS5" i="45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Q13" i="44"/>
  <c r="P13" i="44"/>
  <c r="O13" i="44"/>
  <c r="N13" i="44"/>
  <c r="F6" i="44"/>
  <c r="F7" i="44"/>
  <c r="F8" i="44"/>
  <c r="F9" i="44"/>
  <c r="F13" i="44"/>
  <c r="J12" i="44"/>
  <c r="X10" i="44"/>
  <c r="N10" i="44"/>
  <c r="V9" i="44"/>
  <c r="X9" i="44"/>
  <c r="N9" i="44"/>
  <c r="H9" i="44"/>
  <c r="G9" i="44"/>
  <c r="AB8" i="44"/>
  <c r="Z8" i="44"/>
  <c r="X8" i="44"/>
  <c r="V8" i="44"/>
  <c r="N8" i="44"/>
  <c r="G8" i="44"/>
  <c r="AB6" i="44"/>
  <c r="N6" i="44"/>
  <c r="AB7" i="44"/>
  <c r="Z6" i="44"/>
  <c r="Z7" i="44"/>
  <c r="X6" i="44"/>
  <c r="X7" i="44"/>
  <c r="V6" i="44"/>
  <c r="V7" i="44"/>
  <c r="J7" i="44"/>
  <c r="H7" i="44"/>
  <c r="I7" i="44"/>
  <c r="G7" i="44"/>
  <c r="AS4" i="44"/>
  <c r="AS5" i="44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Q13" i="43"/>
  <c r="P13" i="43"/>
  <c r="O13" i="43"/>
  <c r="N13" i="43"/>
  <c r="F6" i="43"/>
  <c r="F7" i="43"/>
  <c r="F8" i="43"/>
  <c r="F9" i="43"/>
  <c r="F13" i="43"/>
  <c r="J12" i="43"/>
  <c r="X10" i="43"/>
  <c r="N10" i="43"/>
  <c r="V9" i="43"/>
  <c r="X9" i="43"/>
  <c r="N9" i="43"/>
  <c r="H9" i="43"/>
  <c r="G9" i="43"/>
  <c r="AB8" i="43"/>
  <c r="Z8" i="43"/>
  <c r="X8" i="43"/>
  <c r="V8" i="43"/>
  <c r="N8" i="43"/>
  <c r="G8" i="43"/>
  <c r="AB6" i="43"/>
  <c r="N6" i="43"/>
  <c r="AB7" i="43"/>
  <c r="Z6" i="43"/>
  <c r="Z7" i="43"/>
  <c r="X6" i="43"/>
  <c r="X7" i="43"/>
  <c r="V6" i="43"/>
  <c r="V7" i="43"/>
  <c r="J7" i="43"/>
  <c r="H7" i="43"/>
  <c r="I7" i="43"/>
  <c r="G7" i="43"/>
  <c r="AS4" i="43"/>
  <c r="AS5" i="43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Q13" i="42"/>
  <c r="P13" i="42"/>
  <c r="O13" i="42"/>
  <c r="N13" i="42"/>
  <c r="F6" i="42"/>
  <c r="F7" i="42"/>
  <c r="F8" i="42"/>
  <c r="F9" i="42"/>
  <c r="F13" i="42"/>
  <c r="J12" i="42"/>
  <c r="X10" i="42"/>
  <c r="N10" i="42"/>
  <c r="V9" i="42"/>
  <c r="X9" i="42"/>
  <c r="N9" i="42"/>
  <c r="H9" i="42"/>
  <c r="G9" i="42"/>
  <c r="AB8" i="42"/>
  <c r="Z8" i="42"/>
  <c r="X8" i="42"/>
  <c r="V8" i="42"/>
  <c r="N8" i="42"/>
  <c r="G8" i="42"/>
  <c r="AB6" i="42"/>
  <c r="N6" i="42"/>
  <c r="AB7" i="42"/>
  <c r="Z6" i="42"/>
  <c r="Z7" i="42"/>
  <c r="X6" i="42"/>
  <c r="X7" i="42"/>
  <c r="V6" i="42"/>
  <c r="V7" i="42"/>
  <c r="J7" i="42"/>
  <c r="H7" i="42"/>
  <c r="I7" i="42"/>
  <c r="G7" i="42"/>
  <c r="AS4" i="42"/>
  <c r="AS5" i="42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Q13" i="41"/>
  <c r="P13" i="41"/>
  <c r="O13" i="41"/>
  <c r="N13" i="41"/>
  <c r="F6" i="41"/>
  <c r="F7" i="41"/>
  <c r="F8" i="41"/>
  <c r="F9" i="41"/>
  <c r="F13" i="41"/>
  <c r="J12" i="41"/>
  <c r="X10" i="41"/>
  <c r="N10" i="41"/>
  <c r="V9" i="41"/>
  <c r="X9" i="41"/>
  <c r="N9" i="41"/>
  <c r="H9" i="41"/>
  <c r="G9" i="41"/>
  <c r="AB8" i="41"/>
  <c r="Z8" i="41"/>
  <c r="X8" i="41"/>
  <c r="V8" i="41"/>
  <c r="N8" i="41"/>
  <c r="G8" i="41"/>
  <c r="AB6" i="41"/>
  <c r="N6" i="41"/>
  <c r="AB7" i="41"/>
  <c r="Z6" i="41"/>
  <c r="Z7" i="41"/>
  <c r="X6" i="41"/>
  <c r="X7" i="41"/>
  <c r="V6" i="41"/>
  <c r="V7" i="41"/>
  <c r="J7" i="41"/>
  <c r="H7" i="41"/>
  <c r="I7" i="41"/>
  <c r="G7" i="41"/>
  <c r="AS4" i="41"/>
  <c r="AS5" i="41"/>
  <c r="N8" i="34"/>
  <c r="F8" i="34"/>
  <c r="F6" i="34"/>
  <c r="F7" i="34"/>
  <c r="F9" i="34"/>
  <c r="F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Q13" i="34"/>
  <c r="P13" i="34"/>
  <c r="O13" i="34"/>
  <c r="N13" i="34"/>
  <c r="J12" i="34"/>
  <c r="X10" i="34"/>
  <c r="V9" i="34"/>
  <c r="X9" i="34"/>
  <c r="N10" i="34"/>
  <c r="H9" i="34"/>
  <c r="G9" i="34"/>
  <c r="AB8" i="34"/>
  <c r="Z8" i="34"/>
  <c r="X8" i="34"/>
  <c r="V8" i="34"/>
  <c r="N9" i="34"/>
  <c r="G8" i="34"/>
  <c r="AB6" i="34"/>
  <c r="N6" i="34"/>
  <c r="AB7" i="34"/>
  <c r="Z6" i="34"/>
  <c r="Z7" i="34"/>
  <c r="X6" i="34"/>
  <c r="X7" i="34"/>
  <c r="V6" i="34"/>
  <c r="V7" i="34"/>
  <c r="J7" i="34"/>
  <c r="H7" i="34"/>
  <c r="I7" i="34"/>
  <c r="G7" i="34"/>
  <c r="AS4" i="34"/>
  <c r="AS5" i="34"/>
  <c r="E2" i="6"/>
  <c r="E6" i="6"/>
  <c r="E5" i="6"/>
  <c r="E4" i="6"/>
  <c r="E3" i="6"/>
  <c r="G3" i="6"/>
  <c r="G2" i="6"/>
  <c r="P1" i="6"/>
  <c r="S1" i="6"/>
  <c r="M1" i="6"/>
</calcChain>
</file>

<file path=xl/sharedStrings.xml><?xml version="1.0" encoding="utf-8"?>
<sst xmlns="http://schemas.openxmlformats.org/spreadsheetml/2006/main" count="6004" uniqueCount="119">
  <si>
    <t>x/check</t>
  </si>
  <si>
    <t>LOSERS</t>
  </si>
  <si>
    <t>PERCENTAGE</t>
  </si>
  <si>
    <t>BREAKEVEN</t>
  </si>
  <si>
    <t>WINNERS</t>
  </si>
  <si>
    <t>IND</t>
  </si>
  <si>
    <t>COMM</t>
  </si>
  <si>
    <t>FX</t>
  </si>
  <si>
    <t>AVERAGE</t>
  </si>
  <si>
    <t>PERCENT</t>
  </si>
  <si>
    <t>TOTAL TRADES</t>
  </si>
  <si>
    <t>Entry &gt; 2ATR from Resistance / Support.</t>
  </si>
  <si>
    <t>BUT only if :</t>
  </si>
  <si>
    <t>S</t>
  </si>
  <si>
    <t>Short</t>
  </si>
  <si>
    <t>L</t>
  </si>
  <si>
    <t>Long</t>
  </si>
  <si>
    <t>Trade Direction:</t>
  </si>
  <si>
    <t>Index</t>
  </si>
  <si>
    <t>COM</t>
  </si>
  <si>
    <t>Commodities</t>
  </si>
  <si>
    <t>Currency</t>
  </si>
  <si>
    <t>RESULT</t>
  </si>
  <si>
    <t>EXIT</t>
  </si>
  <si>
    <t>DATE</t>
  </si>
  <si>
    <t xml:space="preserve">STOP </t>
  </si>
  <si>
    <t xml:space="preserve">ENTRY </t>
  </si>
  <si>
    <t>INST.</t>
  </si>
  <si>
    <t>L/S</t>
  </si>
  <si>
    <t>Inst</t>
  </si>
  <si>
    <t>No. of Rs</t>
  </si>
  <si>
    <t>Open</t>
  </si>
  <si>
    <t>Closed</t>
  </si>
  <si>
    <t>O</t>
  </si>
  <si>
    <t>C</t>
  </si>
  <si>
    <t>O/C</t>
  </si>
  <si>
    <t>Heat</t>
  </si>
  <si>
    <t>O / C Trades</t>
  </si>
  <si>
    <t>Length of 
Trade</t>
  </si>
  <si>
    <t>Win</t>
  </si>
  <si>
    <t>Loss</t>
  </si>
  <si>
    <t>Breakeven</t>
  </si>
  <si>
    <t>Average Hold Times</t>
  </si>
  <si>
    <t xml:space="preserve"> TR WIN</t>
  </si>
  <si>
    <t xml:space="preserve"> TR LOSS</t>
  </si>
  <si>
    <t>TR
(in Pips)</t>
  </si>
  <si>
    <t xml:space="preserve">Max Portfolio Risk is: </t>
  </si>
  <si>
    <t>GROUP PROFITS in TR</t>
  </si>
  <si>
    <t>DATE2</t>
  </si>
  <si>
    <t>Heat3</t>
  </si>
  <si>
    <t>Heat4</t>
  </si>
  <si>
    <t>Heat5</t>
  </si>
  <si>
    <t>TARGET</t>
  </si>
  <si>
    <t xml:space="preserve">Across </t>
  </si>
  <si>
    <t>Positions</t>
  </si>
  <si>
    <t xml:space="preserve">ENTRY PRICE </t>
  </si>
  <si>
    <t xml:space="preserve">INITIAL STOP </t>
  </si>
  <si>
    <t>EXIT DATE</t>
  </si>
  <si>
    <t xml:space="preserve">STOP/EXIT PRICE </t>
  </si>
  <si>
    <t>ENTRY DATE</t>
  </si>
  <si>
    <t>TOTAL PORTFOLIO RISK</t>
  </si>
  <si>
    <t>WIN/LOSS RATIO</t>
  </si>
  <si>
    <t>EXPECTANCY
ie Mean TR</t>
  </si>
  <si>
    <t>MARKET RISK</t>
  </si>
  <si>
    <t>Date</t>
  </si>
  <si>
    <t>Profits in TR</t>
  </si>
  <si>
    <t>$ Value of TR</t>
  </si>
  <si>
    <t>Profits in $</t>
  </si>
  <si>
    <t>Cumulative Equity</t>
  </si>
  <si>
    <t>Closed Weekending Friday</t>
  </si>
  <si>
    <t>Current Capital</t>
  </si>
  <si>
    <t>Profit to Date</t>
  </si>
  <si>
    <t>% Profit</t>
  </si>
  <si>
    <t>Starting Capital</t>
  </si>
  <si>
    <t>Grand Total</t>
  </si>
  <si>
    <t>Sum of Cumulative Equity</t>
  </si>
  <si>
    <t>Total Positions Open</t>
  </si>
  <si>
    <t>AATS H4 SYSTEM 2022</t>
  </si>
  <si>
    <t>Sheet Name</t>
  </si>
  <si>
    <t>Instrument</t>
  </si>
  <si>
    <t>BTCUSD</t>
  </si>
  <si>
    <t>AUDJPY</t>
  </si>
  <si>
    <t>ETHUSD</t>
  </si>
  <si>
    <t>AUDUSD</t>
  </si>
  <si>
    <t>CRYPTO</t>
  </si>
  <si>
    <t>GBPJPY</t>
  </si>
  <si>
    <t>Cryptocurrency</t>
  </si>
  <si>
    <t>Instrument Type:</t>
  </si>
  <si>
    <t>XAUUSD</t>
  </si>
  <si>
    <t>XAGUSD</t>
  </si>
  <si>
    <t>ASX200</t>
  </si>
  <si>
    <t>GER30</t>
  </si>
  <si>
    <t>NDX100</t>
  </si>
  <si>
    <t>SPX500</t>
  </si>
  <si>
    <t>UK100</t>
  </si>
  <si>
    <t>US30</t>
  </si>
  <si>
    <t>EURAUD</t>
  </si>
  <si>
    <t>EURGBP</t>
  </si>
  <si>
    <t>EURJPY</t>
  </si>
  <si>
    <t>EURUSD</t>
  </si>
  <si>
    <t>GBPAUD</t>
  </si>
  <si>
    <t>GBPUSD</t>
  </si>
  <si>
    <t>USDJPY</t>
  </si>
  <si>
    <t>Heat6</t>
  </si>
  <si>
    <t>Equity</t>
  </si>
  <si>
    <t>Drawdown</t>
  </si>
  <si>
    <t>Maximum DrawDown:</t>
  </si>
  <si>
    <t>Equity Peak</t>
  </si>
  <si>
    <t>USOUSD</t>
  </si>
  <si>
    <t>Initial Losing Trade</t>
  </si>
  <si>
    <t>Current DrawDown:</t>
  </si>
  <si>
    <t>Total Profits in R:</t>
  </si>
  <si>
    <t>Capital at End:</t>
  </si>
  <si>
    <t>AATS M15 FX SYSTEM 2022</t>
  </si>
  <si>
    <t>EUR/USD</t>
  </si>
  <si>
    <t>GBP/JPY</t>
  </si>
  <si>
    <t>USD/JPY</t>
  </si>
  <si>
    <t>0/11/22 11:58</t>
  </si>
  <si>
    <t>11/11.22 03:39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</si>
</sst>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164" formatCode="#,##0.00_ ;[Red]\-#,##0.00\ "/>
    <numFmt numFmtId="165" formatCode="0.0%"/>
    <numFmt numFmtId="166" formatCode="#,##0.0000_ ;[Red]\-#,##0.0000\ "/>
    <numFmt numFmtId="167" formatCode="#,##0.0_ ;[Red]\-#,##0.0\ "/>
    <numFmt numFmtId="168" formatCode="#,##0_ ;[Red]\-#,##0\ "/>
    <numFmt numFmtId="169" formatCode="dd/mm/yy;@"/>
    <numFmt numFmtId="170" formatCode="#,##0.000_ ;[Red]\-#,##0.000\ "/>
  </numFmts>
  <fonts count="37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20"/>
      <name val="Gill Sans MT"/>
      <family val="2"/>
    </font>
    <font>
      <b/>
      <sz val="10"/>
      <color rgb="FFFF000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color rgb="FFFF0000"/>
      <name val="Gill Sans MT"/>
      <family val="2"/>
    </font>
    <font>
      <b/>
      <sz val="9"/>
      <color rgb="FFFF000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theme="0" tint="-4.9989318521683403E-2"/>
      <name val="Gill Sans MT"/>
      <family val="2"/>
    </font>
    <font>
      <b/>
      <i/>
      <sz val="10"/>
      <color theme="1"/>
      <name val="Gill Sans MT"/>
      <family val="2"/>
    </font>
    <font>
      <b/>
      <i/>
      <sz val="10"/>
      <color theme="0"/>
      <name val="Gill Sans MT"/>
      <family val="2"/>
    </font>
    <font>
      <b/>
      <sz val="7"/>
      <name val="Gill Sans MT"/>
      <family val="2"/>
    </font>
    <font>
      <sz val="10"/>
      <color theme="1"/>
      <name val="Gill Sans MT"/>
      <family val="2"/>
    </font>
    <font>
      <b/>
      <sz val="12"/>
      <name val="Gill Sans MT"/>
      <family val="2"/>
    </font>
    <font>
      <b/>
      <sz val="12"/>
      <color rgb="FFFF0000"/>
      <name val="Gill Sans MT"/>
      <family val="2"/>
    </font>
    <font>
      <sz val="10"/>
      <color theme="1"/>
      <name val="Gill Sans MT"/>
      <family val="2"/>
    </font>
    <font>
      <b/>
      <i/>
      <sz val="9"/>
      <color theme="1"/>
      <name val="Gill Sans MT"/>
      <family val="2"/>
    </font>
    <font>
      <sz val="10"/>
      <color theme="0"/>
      <name val="Verdana"/>
      <family val="2"/>
    </font>
    <font>
      <b/>
      <i/>
      <sz val="9"/>
      <name val="Gill Sans MT"/>
      <family val="2"/>
    </font>
    <font>
      <sz val="12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b/>
      <sz val="20"/>
      <color theme="0"/>
      <name val="Gill Sans MT"/>
      <family val="2"/>
    </font>
    <font>
      <b/>
      <sz val="9"/>
      <color theme="0"/>
      <name val="Gill Sans MT"/>
      <family val="2"/>
    </font>
    <font>
      <sz val="9"/>
      <color theme="0"/>
      <name val="Gill Sans MT"/>
      <family val="2"/>
    </font>
    <font>
      <i/>
      <sz val="10"/>
      <color theme="0"/>
      <name val="Gill Sans MT"/>
      <family val="2"/>
    </font>
    <font>
      <i/>
      <sz val="9"/>
      <color theme="0"/>
      <name val="Gill Sans MT"/>
      <family val="2"/>
    </font>
    <font>
      <sz val="10"/>
      <name val="Gill Sans MT"/>
    </font>
    <font>
      <sz val="10"/>
      <color theme="1"/>
      <name val="Gill Sans MT"/>
    </font>
    <font>
      <sz val="10"/>
      <color theme="0"/>
      <name val="Gill Sans MT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E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6" fillId="0" borderId="0"/>
  </cellStyleXfs>
  <cellXfs count="256">
    <xf numFmtId="0" fontId="0" fillId="0" borderId="0" xfId="0"/>
    <xf numFmtId="0" fontId="4" fillId="17" borderId="0" xfId="0" applyFont="1" applyFill="1" applyAlignment="1">
      <alignment vertical="center"/>
    </xf>
    <xf numFmtId="164" fontId="4" fillId="17" borderId="0" xfId="0" applyNumberFormat="1" applyFont="1" applyFill="1" applyAlignment="1">
      <alignment vertical="center"/>
    </xf>
    <xf numFmtId="0" fontId="4" fillId="17" borderId="0" xfId="0" applyFont="1" applyFill="1"/>
    <xf numFmtId="0" fontId="9" fillId="11" borderId="8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/>
    </xf>
    <xf numFmtId="0" fontId="10" fillId="11" borderId="15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9" fillId="17" borderId="0" xfId="0" applyFont="1" applyFill="1" applyAlignment="1">
      <alignment horizontal="center"/>
    </xf>
    <xf numFmtId="0" fontId="10" fillId="11" borderId="18" xfId="0" applyFont="1" applyFill="1" applyBorder="1"/>
    <xf numFmtId="0" fontId="10" fillId="11" borderId="0" xfId="0" applyFont="1" applyFill="1"/>
    <xf numFmtId="0" fontId="10" fillId="11" borderId="19" xfId="0" applyFont="1" applyFill="1" applyBorder="1"/>
    <xf numFmtId="1" fontId="11" fillId="11" borderId="14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4" fontId="5" fillId="11" borderId="0" xfId="0" applyNumberFormat="1" applyFont="1" applyFill="1"/>
    <xf numFmtId="164" fontId="11" fillId="11" borderId="20" xfId="0" applyNumberFormat="1" applyFont="1" applyFill="1" applyBorder="1" applyAlignment="1">
      <alignment horizontal="center" vertical="center"/>
    </xf>
    <xf numFmtId="0" fontId="4" fillId="11" borderId="14" xfId="0" applyFont="1" applyFill="1" applyBorder="1"/>
    <xf numFmtId="0" fontId="8" fillId="11" borderId="16" xfId="0" applyFont="1" applyFill="1" applyBorder="1"/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1" xfId="0" applyFont="1" applyFill="1" applyBorder="1"/>
    <xf numFmtId="1" fontId="11" fillId="11" borderId="21" xfId="0" applyNumberFormat="1" applyFont="1" applyFill="1" applyBorder="1" applyAlignment="1">
      <alignment horizontal="center"/>
    </xf>
    <xf numFmtId="165" fontId="11" fillId="11" borderId="21" xfId="1" applyNumberFormat="1" applyFont="1" applyFill="1" applyBorder="1" applyAlignment="1" applyProtection="1">
      <alignment horizontal="center"/>
    </xf>
    <xf numFmtId="164" fontId="5" fillId="17" borderId="0" xfId="0" applyNumberFormat="1" applyFont="1" applyFill="1"/>
    <xf numFmtId="165" fontId="11" fillId="11" borderId="21" xfId="1" applyNumberFormat="1" applyFont="1" applyFill="1" applyBorder="1" applyAlignment="1" applyProtection="1">
      <alignment horizontal="center" vertical="center"/>
    </xf>
    <xf numFmtId="0" fontId="5" fillId="11" borderId="16" xfId="0" applyFont="1" applyFill="1" applyBorder="1"/>
    <xf numFmtId="0" fontId="8" fillId="11" borderId="0" xfId="0" applyFont="1" applyFill="1"/>
    <xf numFmtId="164" fontId="5" fillId="11" borderId="21" xfId="0" applyNumberFormat="1" applyFont="1" applyFill="1" applyBorder="1" applyAlignment="1">
      <alignment horizontal="center" vertical="center"/>
    </xf>
    <xf numFmtId="0" fontId="5" fillId="11" borderId="0" xfId="0" applyFont="1" applyFill="1"/>
    <xf numFmtId="1" fontId="11" fillId="11" borderId="22" xfId="0" applyNumberFormat="1" applyFont="1" applyFill="1" applyBorder="1" applyAlignment="1">
      <alignment horizontal="center"/>
    </xf>
    <xf numFmtId="165" fontId="11" fillId="11" borderId="22" xfId="0" applyNumberFormat="1" applyFont="1" applyFill="1" applyBorder="1" applyAlignment="1">
      <alignment horizontal="center"/>
    </xf>
    <xf numFmtId="164" fontId="5" fillId="11" borderId="22" xfId="0" applyNumberFormat="1" applyFont="1" applyFill="1" applyBorder="1" applyAlignment="1">
      <alignment horizontal="center" vertical="center"/>
    </xf>
    <xf numFmtId="164" fontId="5" fillId="11" borderId="8" xfId="0" applyNumberFormat="1" applyFont="1" applyFill="1" applyBorder="1" applyAlignment="1">
      <alignment horizontal="center" vertical="center"/>
    </xf>
    <xf numFmtId="164" fontId="5" fillId="11" borderId="5" xfId="0" applyNumberFormat="1" applyFont="1" applyFill="1" applyBorder="1" applyAlignment="1">
      <alignment horizontal="center" vertical="center"/>
    </xf>
    <xf numFmtId="164" fontId="5" fillId="11" borderId="9" xfId="0" applyNumberFormat="1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164" fontId="5" fillId="17" borderId="0" xfId="0" applyNumberFormat="1" applyFont="1" applyFill="1" applyAlignment="1">
      <alignment horizontal="right"/>
    </xf>
    <xf numFmtId="164" fontId="15" fillId="11" borderId="0" xfId="0" applyNumberFormat="1" applyFont="1" applyFill="1" applyAlignment="1">
      <alignment horizontal="left"/>
    </xf>
    <xf numFmtId="166" fontId="17" fillId="8" borderId="6" xfId="0" applyNumberFormat="1" applyFont="1" applyFill="1" applyBorder="1"/>
    <xf numFmtId="167" fontId="16" fillId="3" borderId="10" xfId="0" applyNumberFormat="1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164" fontId="18" fillId="9" borderId="25" xfId="0" applyNumberFormat="1" applyFont="1" applyFill="1" applyBorder="1" applyAlignment="1">
      <alignment horizontal="center" vertical="center"/>
    </xf>
    <xf numFmtId="166" fontId="16" fillId="4" borderId="32" xfId="0" applyNumberFormat="1" applyFont="1" applyFill="1" applyBorder="1" applyAlignment="1">
      <alignment horizontal="center" vertical="center"/>
    </xf>
    <xf numFmtId="168" fontId="5" fillId="9" borderId="6" xfId="0" applyNumberFormat="1" applyFont="1" applyFill="1" applyBorder="1" applyAlignment="1">
      <alignment horizontal="center" vertical="center"/>
    </xf>
    <xf numFmtId="168" fontId="5" fillId="9" borderId="7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 wrapText="1"/>
    </xf>
    <xf numFmtId="164" fontId="11" fillId="11" borderId="21" xfId="0" applyNumberFormat="1" applyFont="1" applyFill="1" applyBorder="1" applyAlignment="1">
      <alignment horizontal="center"/>
    </xf>
    <xf numFmtId="164" fontId="11" fillId="11" borderId="22" xfId="0" applyNumberFormat="1" applyFont="1" applyFill="1" applyBorder="1" applyAlignment="1">
      <alignment horizontal="center"/>
    </xf>
    <xf numFmtId="167" fontId="5" fillId="14" borderId="7" xfId="0" applyNumberFormat="1" applyFont="1" applyFill="1" applyBorder="1" applyAlignment="1" applyProtection="1">
      <alignment horizontal="center"/>
      <protection locked="0"/>
    </xf>
    <xf numFmtId="169" fontId="1" fillId="0" borderId="0" xfId="50" applyNumberFormat="1" applyAlignment="1">
      <alignment horizontal="center" vertical="center"/>
    </xf>
    <xf numFmtId="40" fontId="1" fillId="0" borderId="0" xfId="50" applyNumberFormat="1" applyAlignment="1">
      <alignment horizontal="center" vertical="center"/>
    </xf>
    <xf numFmtId="8" fontId="1" fillId="0" borderId="0" xfId="50" applyNumberFormat="1" applyAlignment="1">
      <alignment horizontal="center" vertical="center"/>
    </xf>
    <xf numFmtId="0" fontId="1" fillId="0" borderId="0" xfId="50"/>
    <xf numFmtId="8" fontId="0" fillId="0" borderId="0" xfId="0" applyNumberFormat="1"/>
    <xf numFmtId="0" fontId="9" fillId="15" borderId="8" xfId="50" applyFont="1" applyFill="1" applyBorder="1" applyAlignment="1">
      <alignment horizontal="center" vertical="center"/>
    </xf>
    <xf numFmtId="6" fontId="23" fillId="9" borderId="6" xfId="50" applyNumberFormat="1" applyFont="1" applyFill="1" applyBorder="1" applyAlignment="1">
      <alignment horizontal="center" vertical="center"/>
    </xf>
    <xf numFmtId="165" fontId="23" fillId="9" borderId="6" xfId="50" applyNumberFormat="1" applyFont="1" applyFill="1" applyBorder="1" applyAlignment="1">
      <alignment horizontal="center" vertical="center"/>
    </xf>
    <xf numFmtId="169" fontId="19" fillId="0" borderId="0" xfId="50" applyNumberFormat="1" applyFont="1" applyAlignment="1" applyProtection="1">
      <alignment horizontal="center" vertical="center"/>
      <protection locked="0"/>
    </xf>
    <xf numFmtId="40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>
      <alignment horizontal="center" vertical="center"/>
    </xf>
    <xf numFmtId="8" fontId="1" fillId="0" borderId="0" xfId="50" applyNumberFormat="1"/>
    <xf numFmtId="0" fontId="24" fillId="0" borderId="0" xfId="50" applyFont="1"/>
    <xf numFmtId="169" fontId="0" fillId="0" borderId="0" xfId="0" applyNumberFormat="1" applyAlignment="1">
      <alignment horizontal="left"/>
    </xf>
    <xf numFmtId="169" fontId="22" fillId="0" borderId="0" xfId="50" applyNumberFormat="1" applyFont="1" applyAlignment="1" applyProtection="1">
      <alignment horizontal="center" vertical="center"/>
      <protection locked="0"/>
    </xf>
    <xf numFmtId="40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>
      <alignment horizontal="center" vertical="center"/>
    </xf>
    <xf numFmtId="169" fontId="1" fillId="0" borderId="0" xfId="50" applyNumberFormat="1"/>
    <xf numFmtId="40" fontId="1" fillId="0" borderId="0" xfId="50" applyNumberFormat="1"/>
    <xf numFmtId="0" fontId="0" fillId="0" borderId="0" xfId="0" pivotButton="1"/>
    <xf numFmtId="6" fontId="23" fillId="9" borderId="6" xfId="50" applyNumberFormat="1" applyFont="1" applyFill="1" applyBorder="1" applyAlignment="1" applyProtection="1">
      <alignment horizontal="center" vertical="center"/>
      <protection locked="0"/>
    </xf>
    <xf numFmtId="0" fontId="5" fillId="18" borderId="7" xfId="0" applyFont="1" applyFill="1" applyBorder="1" applyAlignment="1">
      <alignment horizontal="center" vertical="center"/>
    </xf>
    <xf numFmtId="0" fontId="26" fillId="0" borderId="0" xfId="51" applyAlignment="1">
      <alignment horizontal="center"/>
    </xf>
    <xf numFmtId="164" fontId="11" fillId="11" borderId="18" xfId="0" applyNumberFormat="1" applyFont="1" applyFill="1" applyBorder="1" applyAlignment="1">
      <alignment horizontal="center" vertical="center"/>
    </xf>
    <xf numFmtId="165" fontId="11" fillId="11" borderId="18" xfId="1" applyNumberFormat="1" applyFont="1" applyFill="1" applyBorder="1" applyAlignment="1" applyProtection="1">
      <alignment horizontal="center" vertical="center"/>
    </xf>
    <xf numFmtId="164" fontId="5" fillId="11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7" fontId="16" fillId="3" borderId="33" xfId="0" applyNumberFormat="1" applyFont="1" applyFill="1" applyBorder="1" applyAlignment="1">
      <alignment horizontal="center" vertical="center"/>
    </xf>
    <xf numFmtId="168" fontId="16" fillId="3" borderId="33" xfId="0" applyNumberFormat="1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0" fontId="16" fillId="3" borderId="33" xfId="0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10" fontId="4" fillId="0" borderId="0" xfId="0" applyNumberFormat="1" applyFont="1"/>
    <xf numFmtId="10" fontId="5" fillId="16" borderId="30" xfId="0" applyNumberFormat="1" applyFont="1" applyFill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22" fontId="5" fillId="12" borderId="4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/>
    </xf>
    <xf numFmtId="22" fontId="4" fillId="0" borderId="0" xfId="0" applyNumberFormat="1" applyFont="1"/>
    <xf numFmtId="22" fontId="9" fillId="11" borderId="8" xfId="0" applyNumberFormat="1" applyFont="1" applyFill="1" applyBorder="1" applyAlignment="1">
      <alignment vertical="center"/>
    </xf>
    <xf numFmtId="22" fontId="9" fillId="11" borderId="21" xfId="0" applyNumberFormat="1" applyFont="1" applyFill="1" applyBorder="1" applyAlignment="1">
      <alignment horizontal="right"/>
    </xf>
    <xf numFmtId="22" fontId="9" fillId="11" borderId="22" xfId="0" applyNumberFormat="1" applyFont="1" applyFill="1" applyBorder="1" applyAlignment="1">
      <alignment horizontal="right"/>
    </xf>
    <xf numFmtId="22" fontId="9" fillId="15" borderId="8" xfId="50" applyNumberFormat="1" applyFont="1" applyFill="1" applyBorder="1" applyAlignment="1">
      <alignment horizontal="center" vertical="center"/>
    </xf>
    <xf numFmtId="22" fontId="14" fillId="11" borderId="14" xfId="0" applyNumberFormat="1" applyFont="1" applyFill="1" applyBorder="1" applyAlignment="1">
      <alignment horizontal="right"/>
    </xf>
    <xf numFmtId="22" fontId="5" fillId="12" borderId="6" xfId="0" applyNumberFormat="1" applyFont="1" applyFill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 applyProtection="1">
      <alignment vertical="center"/>
      <protection locked="0"/>
    </xf>
    <xf numFmtId="0" fontId="4" fillId="19" borderId="0" xfId="0" applyFont="1" applyFill="1" applyAlignment="1">
      <alignment vertical="center"/>
    </xf>
    <xf numFmtId="0" fontId="4" fillId="19" borderId="0" xfId="0" applyFont="1" applyFill="1"/>
    <xf numFmtId="0" fontId="4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22" fontId="4" fillId="19" borderId="0" xfId="0" applyNumberFormat="1" applyFont="1" applyFill="1" applyAlignment="1">
      <alignment vertical="center"/>
    </xf>
    <xf numFmtId="164" fontId="6" fillId="19" borderId="0" xfId="0" applyNumberFormat="1" applyFont="1" applyFill="1" applyAlignment="1">
      <alignment horizontal="left" vertical="center"/>
    </xf>
    <xf numFmtId="164" fontId="4" fillId="19" borderId="0" xfId="0" applyNumberFormat="1" applyFont="1" applyFill="1" applyAlignment="1">
      <alignment vertical="center"/>
    </xf>
    <xf numFmtId="0" fontId="7" fillId="19" borderId="0" xfId="0" applyFont="1" applyFill="1" applyAlignment="1" applyProtection="1">
      <alignment vertical="center"/>
      <protection locked="0"/>
    </xf>
    <xf numFmtId="0" fontId="8" fillId="19" borderId="0" xfId="0" applyFont="1" applyFill="1" applyAlignment="1">
      <alignment horizontal="center" vertical="center"/>
    </xf>
    <xf numFmtId="0" fontId="8" fillId="19" borderId="0" xfId="0" applyFont="1" applyFill="1"/>
    <xf numFmtId="0" fontId="4" fillId="19" borderId="0" xfId="0" applyFont="1" applyFill="1" applyAlignment="1">
      <alignment horizontal="center"/>
    </xf>
    <xf numFmtId="22" fontId="4" fillId="19" borderId="0" xfId="0" applyNumberFormat="1" applyFont="1" applyFill="1"/>
    <xf numFmtId="22" fontId="13" fillId="19" borderId="0" xfId="0" applyNumberFormat="1" applyFont="1" applyFill="1" applyAlignment="1">
      <alignment horizontal="right"/>
    </xf>
    <xf numFmtId="0" fontId="6" fillId="19" borderId="0" xfId="0" applyFont="1" applyFill="1"/>
    <xf numFmtId="168" fontId="6" fillId="19" borderId="0" xfId="0" applyNumberFormat="1" applyFont="1" applyFill="1"/>
    <xf numFmtId="10" fontId="6" fillId="19" borderId="0" xfId="0" applyNumberFormat="1" applyFont="1" applyFill="1"/>
    <xf numFmtId="168" fontId="4" fillId="19" borderId="0" xfId="0" applyNumberFormat="1" applyFont="1" applyFill="1"/>
    <xf numFmtId="10" fontId="4" fillId="19" borderId="0" xfId="0" applyNumberFormat="1" applyFont="1" applyFill="1"/>
    <xf numFmtId="164" fontId="28" fillId="19" borderId="0" xfId="0" applyNumberFormat="1" applyFont="1" applyFill="1" applyAlignment="1">
      <alignment vertical="center"/>
    </xf>
    <xf numFmtId="168" fontId="28" fillId="19" borderId="0" xfId="0" applyNumberFormat="1" applyFont="1" applyFill="1" applyAlignment="1">
      <alignment vertical="center"/>
    </xf>
    <xf numFmtId="10" fontId="28" fillId="19" borderId="0" xfId="0" applyNumberFormat="1" applyFont="1" applyFill="1" applyAlignment="1">
      <alignment vertical="center"/>
    </xf>
    <xf numFmtId="0" fontId="29" fillId="19" borderId="0" xfId="0" applyFont="1" applyFill="1" applyAlignment="1" applyProtection="1">
      <alignment vertical="center"/>
      <protection locked="0"/>
    </xf>
    <xf numFmtId="0" fontId="29" fillId="19" borderId="0" xfId="0" applyFont="1" applyFill="1" applyAlignment="1" applyProtection="1">
      <alignment horizontal="left" vertical="center"/>
      <protection locked="0"/>
    </xf>
    <xf numFmtId="168" fontId="29" fillId="19" borderId="0" xfId="0" applyNumberFormat="1" applyFont="1" applyFill="1" applyAlignment="1">
      <alignment horizontal="left" vertical="center"/>
    </xf>
    <xf numFmtId="10" fontId="29" fillId="19" borderId="0" xfId="0" applyNumberFormat="1" applyFont="1" applyFill="1" applyAlignment="1">
      <alignment horizontal="left" vertical="center"/>
    </xf>
    <xf numFmtId="0" fontId="28" fillId="19" borderId="0" xfId="0" applyFont="1" applyFill="1"/>
    <xf numFmtId="0" fontId="30" fillId="19" borderId="0" xfId="0" applyFont="1" applyFill="1" applyAlignment="1">
      <alignment horizontal="right"/>
    </xf>
    <xf numFmtId="168" fontId="30" fillId="19" borderId="0" xfId="0" applyNumberFormat="1" applyFont="1" applyFill="1" applyAlignment="1">
      <alignment horizontal="right"/>
    </xf>
    <xf numFmtId="10" fontId="30" fillId="19" borderId="0" xfId="0" applyNumberFormat="1" applyFont="1" applyFill="1" applyAlignment="1">
      <alignment horizontal="right"/>
    </xf>
    <xf numFmtId="168" fontId="28" fillId="19" borderId="0" xfId="0" applyNumberFormat="1" applyFont="1" applyFill="1"/>
    <xf numFmtId="10" fontId="28" fillId="19" borderId="0" xfId="0" applyNumberFormat="1" applyFont="1" applyFill="1"/>
    <xf numFmtId="0" fontId="28" fillId="19" borderId="0" xfId="0" applyFont="1" applyFill="1" applyAlignment="1">
      <alignment vertical="center"/>
    </xf>
    <xf numFmtId="0" fontId="30" fillId="19" borderId="0" xfId="0" applyFont="1" applyFill="1" applyAlignment="1">
      <alignment horizontal="center"/>
    </xf>
    <xf numFmtId="0" fontId="31" fillId="19" borderId="0" xfId="0" applyFont="1" applyFill="1" applyAlignment="1">
      <alignment horizontal="center"/>
    </xf>
    <xf numFmtId="164" fontId="28" fillId="19" borderId="0" xfId="0" applyNumberFormat="1" applyFont="1" applyFill="1"/>
    <xf numFmtId="164" fontId="27" fillId="19" borderId="0" xfId="0" applyNumberFormat="1" applyFont="1" applyFill="1" applyAlignment="1">
      <alignment horizontal="right"/>
    </xf>
    <xf numFmtId="164" fontId="27" fillId="19" borderId="0" xfId="0" applyNumberFormat="1" applyFont="1" applyFill="1"/>
    <xf numFmtId="0" fontId="28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22" fontId="28" fillId="19" borderId="0" xfId="0" applyNumberFormat="1" applyFont="1" applyFill="1"/>
    <xf numFmtId="0" fontId="32" fillId="19" borderId="0" xfId="0" applyFont="1" applyFill="1"/>
    <xf numFmtId="0" fontId="33" fillId="19" borderId="0" xfId="0" applyFont="1" applyFill="1"/>
    <xf numFmtId="22" fontId="33" fillId="19" borderId="0" xfId="0" applyNumberFormat="1" applyFont="1" applyFill="1"/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>
      <alignment horizontal="center"/>
    </xf>
    <xf numFmtId="22" fontId="19" fillId="10" borderId="0" xfId="0" applyNumberFormat="1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170" fontId="19" fillId="4" borderId="0" xfId="0" applyNumberFormat="1" applyFont="1" applyFill="1" applyAlignment="1">
      <alignment horizontal="center" vertical="center"/>
    </xf>
    <xf numFmtId="166" fontId="28" fillId="8" borderId="0" xfId="0" applyNumberFormat="1" applyFont="1" applyFill="1"/>
    <xf numFmtId="170" fontId="19" fillId="3" borderId="0" xfId="0" applyNumberFormat="1" applyFont="1" applyFill="1" applyAlignment="1">
      <alignment horizontal="center" vertical="center"/>
    </xf>
    <xf numFmtId="168" fontId="19" fillId="3" borderId="0" xfId="0" applyNumberFormat="1" applyFont="1" applyFill="1" applyAlignment="1">
      <alignment horizontal="center" vertical="center"/>
    </xf>
    <xf numFmtId="10" fontId="19" fillId="3" borderId="0" xfId="0" applyNumberFormat="1" applyFont="1" applyFill="1" applyAlignment="1">
      <alignment horizontal="center" vertical="center"/>
    </xf>
    <xf numFmtId="166" fontId="19" fillId="2" borderId="0" xfId="0" applyNumberFormat="1" applyFont="1" applyFill="1" applyAlignment="1">
      <alignment horizontal="center" vertical="center"/>
    </xf>
    <xf numFmtId="168" fontId="19" fillId="9" borderId="0" xfId="0" applyNumberFormat="1" applyFont="1" applyFill="1" applyAlignment="1">
      <alignment horizontal="center" vertical="center"/>
    </xf>
    <xf numFmtId="6" fontId="20" fillId="16" borderId="30" xfId="0" applyNumberFormat="1" applyFont="1" applyFill="1" applyBorder="1" applyAlignment="1">
      <alignment horizontal="center" vertical="center"/>
    </xf>
    <xf numFmtId="0" fontId="34" fillId="7" borderId="0" xfId="0" applyFont="1" applyFill="1" applyAlignment="1" applyProtection="1">
      <alignment horizontal="center" vertical="center" wrapText="1"/>
      <protection locked="0"/>
    </xf>
    <xf numFmtId="0" fontId="34" fillId="7" borderId="0" xfId="0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>
      <alignment horizontal="center"/>
    </xf>
    <xf numFmtId="22" fontId="35" fillId="10" borderId="0" xfId="0" applyNumberFormat="1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 applyProtection="1">
      <alignment horizontal="center"/>
      <protection locked="0"/>
    </xf>
    <xf numFmtId="0" fontId="35" fillId="10" borderId="0" xfId="0" applyFont="1" applyFill="1" applyAlignment="1" applyProtection="1">
      <alignment horizontal="center" vertical="center"/>
      <protection locked="0"/>
    </xf>
    <xf numFmtId="0" fontId="35" fillId="6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170" fontId="35" fillId="4" borderId="0" xfId="0" applyNumberFormat="1" applyFont="1" applyFill="1" applyAlignment="1">
      <alignment horizontal="center" vertical="center"/>
    </xf>
    <xf numFmtId="166" fontId="36" fillId="8" borderId="0" xfId="0" applyNumberFormat="1" applyFont="1" applyFill="1"/>
    <xf numFmtId="170" fontId="35" fillId="3" borderId="0" xfId="0" applyNumberFormat="1" applyFont="1" applyFill="1" applyAlignment="1">
      <alignment horizontal="center" vertical="center"/>
    </xf>
    <xf numFmtId="168" fontId="35" fillId="3" borderId="0" xfId="0" applyNumberFormat="1" applyFont="1" applyFill="1" applyAlignment="1">
      <alignment horizontal="center" vertical="center"/>
    </xf>
    <xf numFmtId="10" fontId="35" fillId="3" borderId="0" xfId="0" applyNumberFormat="1" applyFont="1" applyFill="1" applyAlignment="1">
      <alignment horizontal="center" vertical="center"/>
    </xf>
    <xf numFmtId="166" fontId="35" fillId="2" borderId="0" xfId="0" applyNumberFormat="1" applyFont="1" applyFill="1" applyAlignment="1">
      <alignment horizontal="center" vertical="center"/>
    </xf>
    <xf numFmtId="168" fontId="35" fillId="9" borderId="0" xfId="0" applyNumberFormat="1" applyFont="1" applyFill="1" applyAlignment="1">
      <alignment horizontal="center" vertical="center"/>
    </xf>
    <xf numFmtId="0" fontId="29" fillId="19" borderId="0" xfId="0" applyFont="1" applyFill="1" applyAlignment="1" applyProtection="1">
      <alignment horizontal="left" vertical="center"/>
      <protection locked="0"/>
    </xf>
    <xf numFmtId="0" fontId="20" fillId="15" borderId="34" xfId="0" applyFont="1" applyFill="1" applyBorder="1" applyAlignment="1">
      <alignment horizontal="right" vertical="center"/>
    </xf>
    <xf numFmtId="0" fontId="20" fillId="15" borderId="35" xfId="0" applyFont="1" applyFill="1" applyBorder="1" applyAlignment="1">
      <alignment horizontal="right" vertical="center"/>
    </xf>
    <xf numFmtId="0" fontId="10" fillId="13" borderId="8" xfId="0" applyFont="1" applyFill="1" applyBorder="1" applyAlignment="1">
      <alignment horizontal="right"/>
    </xf>
    <xf numFmtId="0" fontId="10" fillId="13" borderId="23" xfId="0" applyFont="1" applyFill="1" applyBorder="1" applyAlignment="1">
      <alignment horizontal="right"/>
    </xf>
    <xf numFmtId="0" fontId="25" fillId="15" borderId="8" xfId="0" applyFont="1" applyFill="1" applyBorder="1" applyAlignment="1">
      <alignment horizontal="right"/>
    </xf>
    <xf numFmtId="0" fontId="25" fillId="15" borderId="23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164" fontId="9" fillId="11" borderId="9" xfId="0" applyNumberFormat="1" applyFont="1" applyFill="1" applyBorder="1" applyAlignment="1">
      <alignment horizontal="center"/>
    </xf>
    <xf numFmtId="0" fontId="20" fillId="15" borderId="26" xfId="0" applyFont="1" applyFill="1" applyBorder="1" applyAlignment="1">
      <alignment horizontal="right" vertical="center"/>
    </xf>
    <xf numFmtId="0" fontId="20" fillId="15" borderId="27" xfId="0" applyFont="1" applyFill="1" applyBorder="1" applyAlignment="1">
      <alignment horizontal="right" vertical="center"/>
    </xf>
    <xf numFmtId="0" fontId="20" fillId="15" borderId="28" xfId="0" applyFont="1" applyFill="1" applyBorder="1" applyAlignment="1">
      <alignment horizontal="right" vertical="center"/>
    </xf>
    <xf numFmtId="0" fontId="20" fillId="15" borderId="29" xfId="0" applyFont="1" applyFill="1" applyBorder="1" applyAlignment="1">
      <alignment horizontal="right" vertical="center"/>
    </xf>
    <xf numFmtId="164" fontId="21" fillId="16" borderId="30" xfId="0" applyNumberFormat="1" applyFont="1" applyFill="1" applyBorder="1" applyAlignment="1">
      <alignment horizontal="center" vertical="center"/>
    </xf>
    <xf numFmtId="164" fontId="21" fillId="16" borderId="31" xfId="0" applyNumberFormat="1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right" vertical="center"/>
    </xf>
    <xf numFmtId="0" fontId="9" fillId="15" borderId="35" xfId="0" applyFont="1" applyFill="1" applyBorder="1" applyAlignment="1">
      <alignment horizontal="right" vertical="center"/>
    </xf>
    <xf numFmtId="0" fontId="34" fillId="7" borderId="0" xfId="0" applyFont="1" applyFill="1" applyBorder="1" applyAlignment="1" applyProtection="1">
      <alignment horizontal="center" vertical="center" wrapText="1"/>
      <protection locked="0"/>
    </xf>
    <xf numFmtId="0" fontId="35" fillId="10" borderId="0" xfId="0" applyFont="1" applyFill="1" applyBorder="1" applyAlignment="1" applyProtection="1">
      <alignment horizontal="center"/>
    </xf>
    <xf numFmtId="22" fontId="35" fillId="10" borderId="0" xfId="0" applyNumberFormat="1" applyFont="1" applyFill="1" applyBorder="1" applyAlignment="1" applyProtection="1">
      <alignment horizontal="center" vertical="center"/>
      <protection locked="0"/>
    </xf>
    <xf numFmtId="0" fontId="35" fillId="10" borderId="0" xfId="0" applyNumberFormat="1" applyFont="1" applyFill="1" applyAlignment="1" applyProtection="1">
      <alignment horizontal="center" vertical="center"/>
      <protection locked="0"/>
    </xf>
    <xf numFmtId="0" fontId="35" fillId="10" borderId="0" xfId="0" applyNumberFormat="1" applyFont="1" applyFill="1" applyBorder="1" applyAlignment="1" applyProtection="1">
      <alignment horizontal="center" vertical="center"/>
      <protection locked="0"/>
    </xf>
    <xf numFmtId="0" fontId="35" fillId="6" borderId="0" xfId="0" applyNumberFormat="1" applyFont="1" applyFill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/>
    </xf>
    <xf numFmtId="170" fontId="35" fillId="4" borderId="0" xfId="0" applyNumberFormat="1" applyFont="1" applyFill="1" applyBorder="1" applyAlignment="1" applyProtection="1">
      <alignment horizontal="center" vertical="center"/>
    </xf>
    <xf numFmtId="166" fontId="36" fillId="8" borderId="0" xfId="0" applyNumberFormat="1" applyFont="1" applyFill="1" applyBorder="1" applyAlignment="1" applyProtection="1">
      <alignment horizontal="center" vertical="center"/>
    </xf>
    <xf numFmtId="170" fontId="35" fillId="3" borderId="0" xfId="0" applyNumberFormat="1" applyFont="1" applyFill="1" applyBorder="1" applyAlignment="1" applyProtection="1">
      <alignment horizontal="center" vertical="center"/>
    </xf>
    <xf numFmtId="168" fontId="35" fillId="3" borderId="0" xfId="0" applyNumberFormat="1" applyFont="1" applyFill="1" applyBorder="1" applyAlignment="1" applyProtection="1">
      <alignment horizontal="center" vertical="center"/>
    </xf>
    <xf numFmtId="10" fontId="35" fillId="3" borderId="0" xfId="0" applyNumberFormat="1" applyFont="1" applyFill="1" applyBorder="1" applyAlignment="1" applyProtection="1">
      <alignment horizontal="center" vertical="center"/>
    </xf>
    <xf numFmtId="166" fontId="35" fillId="2" borderId="0" xfId="0" applyNumberFormat="1" applyFont="1" applyFill="1" applyBorder="1" applyAlignment="1" applyProtection="1">
      <alignment horizontal="center" vertical="center"/>
    </xf>
    <xf numFmtId="168" fontId="35" fillId="9" borderId="0" xfId="0" applyNumberFormat="1" applyFont="1" applyFill="1" applyBorder="1" applyAlignment="1" applyProtection="1">
      <alignment horizontal="center" vertical="center"/>
    </xf>
    <xf numFmtId="0" fontId="35" fillId="10" borderId="0" xfId="0" applyFont="1" applyFill="1" applyAlignment="1" applyProtection="1">
      <alignment horizontal="center"/>
    </xf>
    <xf numFmtId="0" fontId="35" fillId="6" borderId="0" xfId="0" applyNumberFormat="1" applyFont="1" applyFill="1" applyAlignment="1" applyProtection="1">
      <alignment horizontal="center" vertical="center"/>
    </xf>
    <xf numFmtId="0" fontId="35" fillId="5" borderId="0" xfId="0" applyNumberFormat="1" applyFont="1" applyFill="1" applyAlignment="1" applyProtection="1">
      <alignment horizontal="center" vertical="center"/>
    </xf>
    <xf numFmtId="170" fontId="35" fillId="4" borderId="0" xfId="0" applyNumberFormat="1" applyFont="1" applyFill="1" applyAlignment="1" applyProtection="1">
      <alignment horizontal="center" vertical="center"/>
    </xf>
    <xf numFmtId="166" fontId="36" fillId="8" borderId="0" xfId="0" applyNumberFormat="1" applyFont="1" applyFill="1" applyProtection="1"/>
    <xf numFmtId="170" fontId="35" fillId="3" borderId="0" xfId="0" applyNumberFormat="1" applyFont="1" applyFill="1" applyAlignment="1" applyProtection="1">
      <alignment horizontal="center" vertical="center"/>
    </xf>
    <xf numFmtId="168" fontId="35" fillId="3" borderId="0" xfId="0" applyNumberFormat="1" applyFont="1" applyFill="1" applyAlignment="1" applyProtection="1">
      <alignment horizontal="center" vertical="center"/>
    </xf>
    <xf numFmtId="10" fontId="35" fillId="3" borderId="0" xfId="0" applyNumberFormat="1" applyFont="1" applyFill="1" applyAlignment="1" applyProtection="1">
      <alignment horizontal="center" vertical="center"/>
    </xf>
    <xf numFmtId="166" fontId="35" fillId="2" borderId="0" xfId="0" applyNumberFormat="1" applyFont="1" applyFill="1" applyAlignment="1" applyProtection="1">
      <alignment horizontal="center" vertical="center"/>
    </xf>
    <xf numFmtId="168" fontId="35" fillId="9" borderId="0" xfId="0" applyNumberFormat="1" applyFont="1" applyFill="1" applyAlignment="1" applyProtection="1">
      <alignment horizontal="center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1000000}"/>
    <cellStyle name="Normal 3" xfId="51" xr:uid="{00000000-0005-0000-0000-000032000000}"/>
    <cellStyle name="Percent" xfId="1" builtinId="5"/>
  </cellStyles>
  <dxfs count="387"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8" formatCode="#,##0.00;[Red]\-#,##0.00"/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169" formatCode="dd/mm/yy;@"/>
      <alignment horizontal="center" vertical="center" textRotation="0" wrapText="0" indent="0" justifyLastLine="0" shrinkToFit="0" readingOrder="0"/>
      <protection locked="0" hidden="0"/>
    </dxf>
    <dxf>
      <numFmt numFmtId="169" formatCode="dd/mm/yy;@"/>
    </dxf>
    <dxf>
      <numFmt numFmtId="169" formatCode="dd/mm/yy;@"/>
      <alignment horizontal="center" vertical="center" textRotation="0" indent="0" justifyLastLine="0" shrinkToFit="0" readingOrder="0"/>
    </dxf>
    <dxf>
      <numFmt numFmtId="12" formatCode="&quot;$&quot;#,##0.00;[Red]\-&quot;$&quot;#,##0.00"/>
    </dxf>
    <dxf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</dxfs>
  <tableStyles count="0" defaultTableStyle="TableStyleMedium9" defaultPivotStyle="PivotStyleMedium4"/>
  <colors>
    <mruColors>
      <color rgb="FF0000F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[AATS M15 CLIENT 11 NOV 22.xlsx]Profit Summary!pv1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'Profit Summary'!$I$1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'Profit Summary'!$H$2:$H$7</c:f>
              <c:strCache>
                <c:ptCount val="5"/>
                <c:pt idx="0">
                  <c:v>01/01/21</c:v>
                </c:pt>
                <c:pt idx="1">
                  <c:v>26/02/21</c:v>
                </c:pt>
                <c:pt idx="2">
                  <c:v>19/03/21</c:v>
                </c:pt>
                <c:pt idx="3">
                  <c:v>01/04/21</c:v>
                </c:pt>
                <c:pt idx="4">
                  <c:v>01/05/21</c:v>
                </c:pt>
              </c:strCache>
            </c:strRef>
          </c:cat>
          <c:val>
            <c:numRef>
              <c:f>'Profit Summary'!$I$2:$I$7</c:f>
              <c:numCache>
                <c:formatCode>"$"#,##0.00_);[Red]\("$"#,##0.00\)</c:formatCode>
                <c:ptCount val="5"/>
                <c:pt idx="0">
                  <c:v>100000</c:v>
                </c:pt>
                <c:pt idx="1">
                  <c:v>112270</c:v>
                </c:pt>
                <c:pt idx="2">
                  <c:v>111120</c:v>
                </c:pt>
                <c:pt idx="3">
                  <c:v>112380</c:v>
                </c:pt>
                <c:pt idx="4">
                  <c:v>112120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C-4CA2-AA9C-84A67076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23024"/>
        <c:axId val="239321064"/>
      </c:lineChart>
      <c:catAx>
        <c:axId val="23932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1064"/>
        <c:crosses val="autoZero"/>
        <c:auto val="1"/>
        <c:lblAlgn val="ctr"/>
        <c:lblOffset val="100"/>
        <c:noMultiLvlLbl val="0"/>
      </c:catAx>
      <c:valAx>
        <c:axId val="239321064"/>
        <c:scaling>
          <c:orientation val="minMax"/>
          <c:max val="117999"/>
          <c:min val="99000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1A7AD16D-A805-4D8D-A363-EE52F7C2E6B3}"/>
            </a:ext>
          </a:extLst>
        </xdr:cNvPr>
        <xdr:cNvSpPr/>
      </xdr:nvSpPr>
      <xdr:spPr>
        <a:xfrm>
          <a:off x="275386" y="1399761"/>
          <a:ext cx="1047749" cy="43993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358F87-2936-4CCF-8525-C526E707D002}"/>
            </a:ext>
          </a:extLst>
        </xdr:cNvPr>
        <xdr:cNvSpPr/>
      </xdr:nvSpPr>
      <xdr:spPr>
        <a:xfrm>
          <a:off x="275386" y="1987064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6C55E32F-FE66-413F-AED9-5FE9E959C5F0}"/>
            </a:ext>
          </a:extLst>
        </xdr:cNvPr>
        <xdr:cNvSpPr/>
      </xdr:nvSpPr>
      <xdr:spPr>
        <a:xfrm>
          <a:off x="275386" y="2465209"/>
          <a:ext cx="1053973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MasterData" textlink="">
      <xdr:nvSpPr>
        <xdr:cNvPr id="6" name="Rounded Rectangle 5">
          <a:extLst>
            <a:ext uri="{FF2B5EF4-FFF2-40B4-BE49-F238E27FC236}">
              <a16:creationId xmlns:a16="http://schemas.microsoft.com/office/drawing/2014/main" id="{FEDF81D1-EC9B-4BA3-B082-6CE8837F2352}"/>
            </a:ext>
          </a:extLst>
        </xdr:cNvPr>
        <xdr:cNvSpPr/>
      </xdr:nvSpPr>
      <xdr:spPr>
        <a:xfrm>
          <a:off x="1511577" y="1399762"/>
          <a:ext cx="1118151" cy="43589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MASTER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7" name="Rounded Rectangle 6">
          <a:extLst>
            <a:ext uri="{FF2B5EF4-FFF2-40B4-BE49-F238E27FC236}">
              <a16:creationId xmlns:a16="http://schemas.microsoft.com/office/drawing/2014/main" id="{EFF56A64-9680-4AE2-A1F0-C23D3D9CD7AF}"/>
            </a:ext>
          </a:extLst>
        </xdr:cNvPr>
        <xdr:cNvSpPr/>
      </xdr:nvSpPr>
      <xdr:spPr>
        <a:xfrm>
          <a:off x="1513234" y="1983025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492816</xdr:colOff>
      <xdr:row>11</xdr:row>
      <xdr:rowOff>153228</xdr:rowOff>
    </xdr:from>
    <xdr:to>
      <xdr:col>3</xdr:col>
      <xdr:colOff>588064</xdr:colOff>
      <xdr:row>13</xdr:row>
      <xdr:rowOff>92169</xdr:rowOff>
    </xdr:to>
    <xdr:sp macro="[0]!RefreshMaster" textlink="">
      <xdr:nvSpPr>
        <xdr:cNvPr id="8" name="Rounded Rectangle 5">
          <a:extLst>
            <a:ext uri="{FF2B5EF4-FFF2-40B4-BE49-F238E27FC236}">
              <a16:creationId xmlns:a16="http://schemas.microsoft.com/office/drawing/2014/main" id="{B9E58715-C693-45E2-86DF-E1AA12FEA053}"/>
            </a:ext>
          </a:extLst>
        </xdr:cNvPr>
        <xdr:cNvSpPr/>
      </xdr:nvSpPr>
      <xdr:spPr>
        <a:xfrm>
          <a:off x="1519859" y="2476500"/>
          <a:ext cx="1118151" cy="319941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600" b="1">
              <a:latin typeface="Gill Sans MT" panose="020B0502020104020203" pitchFamily="34" charset="0"/>
            </a:rPr>
            <a:t>GET DATA FROM OTHER SHEETS</a:t>
          </a: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74E79-4188-5C1B-38A2-FCF5DB23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3673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1781174</xdr:colOff>
      <xdr:row>3</xdr:row>
      <xdr:rowOff>152400</xdr:rowOff>
    </xdr:from>
    <xdr:to>
      <xdr:col>22</xdr:col>
      <xdr:colOff>581025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</xdr:row>
      <xdr:rowOff>19050</xdr:rowOff>
    </xdr:from>
    <xdr:to>
      <xdr:col>10</xdr:col>
      <xdr:colOff>1488694</xdr:colOff>
      <xdr:row>9</xdr:row>
      <xdr:rowOff>133350</xdr:rowOff>
    </xdr:to>
    <xdr:sp macro="[0]!InsertProfitRow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72025" y="1562100"/>
          <a:ext cx="1164844" cy="3048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INSERT</a:t>
          </a:r>
          <a:r>
            <a:rPr lang="en-AU" sz="1000" b="1" baseline="0">
              <a:latin typeface="Gill Sans MT" panose="020B0502020104020203" pitchFamily="34" charset="0"/>
            </a:rPr>
            <a:t> DATA</a:t>
          </a:r>
          <a:endParaRPr lang="en-AU" sz="10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409575</xdr:colOff>
      <xdr:row>10</xdr:row>
      <xdr:rowOff>112431</xdr:rowOff>
    </xdr:from>
    <xdr:to>
      <xdr:col>10</xdr:col>
      <xdr:colOff>1400429</xdr:colOff>
      <xdr:row>11</xdr:row>
      <xdr:rowOff>154446</xdr:rowOff>
    </xdr:to>
    <xdr:sp macro="[0]!DeleteProfitRow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57750" y="2046006"/>
          <a:ext cx="990854" cy="24204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323850</xdr:colOff>
      <xdr:row>12</xdr:row>
      <xdr:rowOff>142875</xdr:rowOff>
    </xdr:from>
    <xdr:to>
      <xdr:col>10</xdr:col>
      <xdr:colOff>1488694</xdr:colOff>
      <xdr:row>15</xdr:row>
      <xdr:rowOff>28575</xdr:rowOff>
    </xdr:to>
    <xdr:sp macro="[0]!RefreshChart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72025" y="2466975"/>
          <a:ext cx="1164844" cy="4572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Refresh Chart (Manual)</a:t>
          </a:r>
        </a:p>
      </xdr:txBody>
    </xdr:sp>
    <xdr:clientData/>
  </xdr:twoCellAnchor>
  <xdr:twoCellAnchor editAs="oneCell">
    <xdr:from>
      <xdr:col>10</xdr:col>
      <xdr:colOff>238125</xdr:colOff>
      <xdr:row>0</xdr:row>
      <xdr:rowOff>200025</xdr:rowOff>
    </xdr:from>
    <xdr:to>
      <xdr:col>10</xdr:col>
      <xdr:colOff>1628595</xdr:colOff>
      <xdr:row>6</xdr:row>
      <xdr:rowOff>76785</xdr:rowOff>
    </xdr:to>
    <xdr:pic>
      <xdr:nvPicPr>
        <xdr:cNvPr id="6" name="Picture 5" descr="LOGO (1)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200025"/>
          <a:ext cx="1390470" cy="103881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B3D6066-272A-4037-B3BB-939A40075C1D}"/>
            </a:ext>
          </a:extLst>
        </xdr:cNvPr>
        <xdr:cNvSpPr/>
      </xdr:nvSpPr>
      <xdr:spPr>
        <a:xfrm>
          <a:off x="275386" y="1400589"/>
          <a:ext cx="1049406" cy="5399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87FAAD9B-C4D5-46D9-8407-F5D3A972046A}"/>
            </a:ext>
          </a:extLst>
        </xdr:cNvPr>
        <xdr:cNvSpPr/>
      </xdr:nvSpPr>
      <xdr:spPr>
        <a:xfrm>
          <a:off x="275386" y="2087077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8EE2E74-D3AE-4052-8873-71A4F0DD8E6D}"/>
            </a:ext>
          </a:extLst>
        </xdr:cNvPr>
        <xdr:cNvSpPr/>
      </xdr:nvSpPr>
      <xdr:spPr>
        <a:xfrm>
          <a:off x="275386" y="2566050"/>
          <a:ext cx="1055630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FF2AD5C-6AE4-4A1C-B2AD-4374CD77008F}"/>
            </a:ext>
          </a:extLst>
        </xdr:cNvPr>
        <xdr:cNvSpPr/>
      </xdr:nvSpPr>
      <xdr:spPr>
        <a:xfrm>
          <a:off x="1513234" y="1400590"/>
          <a:ext cx="1119186" cy="535909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44CD877-99FA-4CF4-8C32-BD16E19CB8B1}"/>
            </a:ext>
          </a:extLst>
        </xdr:cNvPr>
        <xdr:cNvSpPr/>
      </xdr:nvSpPr>
      <xdr:spPr>
        <a:xfrm>
          <a:off x="1513234" y="2083038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64BD15-29D9-4EC4-AAC3-B72CA891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6365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C393563-2F27-4498-8C9D-5602EF37CAC5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9385992-3358-4885-BF11-028D445F69B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F58EFB4-F6D0-4FB0-BFC0-2C5F8E0926A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4950174-B6A7-4962-8278-1571D5D9018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B28C2A28-9CE8-4241-8327-0E4B2F5EB11B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97486-2548-4AA6-8860-3C433CEB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2C36310-1033-4774-9DFB-9B193A06DEB3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A7597F5-7CB0-4025-8A49-A3879ED2F33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C8B389F-7013-4BAA-991C-262F92D6BDA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0CCB636-54D3-40B7-BF60-95D07AADC38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D674AFA7-65C2-46CB-BA87-C1E40C0DB31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6E2B3D-E6E0-46CC-B4B8-EA9284DF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04817F-8729-4C43-8CFE-E18EA15C4C3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0B1779AB-CA72-4BA9-B311-82DCC652DC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76424D6F-60EF-4AC3-8AB5-8A7D60CCFFE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B1CDEB-22F7-4932-95A5-FF006AE46A0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5D17764-1BEA-42BE-9E0F-418A9B1A30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3016F1-77EA-4C4D-A046-28EFA5F5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124F365-454D-4F05-828C-C3FA5F5463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8763FEF-6C73-42C4-8020-510782F55E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409A9A4-3C76-419A-A05D-C603AFB5224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07AEB72B-6132-4241-9DCF-5816E298D88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31739A89-3E58-4EF0-A00A-1CA0CDA9A2D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44BA2-DA4D-4111-97C3-74494F76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00BBCE4-89BB-47AA-BDC7-F830853B3D9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00E2A0E-DEFF-4A56-8C80-31107C6B36B5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84B6E97-303C-4197-BD78-4676768B84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C4F1717-6601-4D2B-B45C-DB1116783B4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4FDF61-B548-4C6D-8A5E-3F007039232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5B4B49-42B6-4900-8ECD-738E8F40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E9CA216-1E92-47BD-8E70-746887222EA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57103B7-DB55-4CFB-881B-436CAB55A1C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FE5758F-F5FE-4EAA-AA7D-B365015E9F52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DEA2A89-06E9-44D9-8AF4-A964CA77C165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FB38021-2E0A-4172-B678-E19A340311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ABCCF-C48F-49C1-ABBA-71D2AE8B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AA3BD97-89A7-44E6-9DB4-B612F9C87978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B920F1A-7D00-49D3-954F-ECE6ED88952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B281AD6-68E4-47C7-AB74-4558C92530C4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4EDFE0-6840-4F5C-84E6-CAE67E47654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0CD5A8D-6B65-464E-A253-87ACEB256BE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33D22-6AA5-4147-A137-A08CDDEA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nY" refreshedDate="44839.476025810189" createdVersion="5" refreshedVersion="8" minRefreshableVersion="3" recordCount="5" xr:uid="{00000000-000A-0000-FFFF-FFFF00000000}">
  <cacheSource type="worksheet">
    <worksheetSource name="Table2"/>
  </cacheSource>
  <cacheFields count="5">
    <cacheField name="Date" numFmtId="169">
      <sharedItems containsSemiMixedTypes="0" containsNonDate="0" containsDate="1" containsString="0" minDate="2021-01-01T00:00:00" maxDate="2021-06-05T00:00:00" count="7">
        <d v="2021-05-01T00:00:00"/>
        <d v="2021-01-01T00:00:00"/>
        <d v="2021-02-26T00:00:00"/>
        <d v="2021-03-19T00:00:00"/>
        <d v="2021-04-01T00:00:00"/>
        <d v="2021-05-15T00:00:00" u="1"/>
        <d v="2021-06-04T00:00:00" u="1"/>
      </sharedItems>
    </cacheField>
    <cacheField name="Profits in TR" numFmtId="40">
      <sharedItems containsMixedTypes="1" containsNumber="1" minValue="11.12" maxValue="12.38"/>
    </cacheField>
    <cacheField name="$ Value of TR" numFmtId="8">
      <sharedItems containsMixedTypes="1" containsNumber="1" containsInteger="1" minValue="1000" maxValue="1000"/>
    </cacheField>
    <cacheField name="Profits in $" numFmtId="8">
      <sharedItems containsSemiMixedTypes="0" containsString="0" containsNumber="1" containsInteger="1" minValue="11120" maxValue="100000"/>
    </cacheField>
    <cacheField name="Cumulative Equity" numFmtId="8">
      <sharedItems containsSemiMixedTypes="0" containsString="0" containsNumber="1" containsInteger="1" minValue="100000" maxValue="112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12.12"/>
    <n v="1000"/>
    <n v="12120"/>
    <n v="112120"/>
  </r>
  <r>
    <x v="1"/>
    <s v="Starting Capital"/>
    <s v="Starting Capital"/>
    <n v="100000"/>
    <n v="100000"/>
  </r>
  <r>
    <x v="2"/>
    <n v="12.27"/>
    <n v="1000"/>
    <n v="12270"/>
    <n v="112270"/>
  </r>
  <r>
    <x v="3"/>
    <n v="11.12"/>
    <n v="1000"/>
    <n v="11120"/>
    <n v="111120"/>
  </r>
  <r>
    <x v="4"/>
    <n v="12.38"/>
    <n v="1000"/>
    <n v="12380"/>
    <n v="112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v1" cacheId="0" applyNumberFormats="0" applyBorderFormats="0" applyFontFormats="0" applyPatternFormats="0" applyAlignmentFormats="0" applyWidthHeightFormats="1" dataCaption="Values" updatedVersion="8" minRefreshableVersion="3" itemPrintTitles="1" createdVersion="5" indent="0" outline="1" outlineData="1" multipleFieldFilters="0" chartFormat="23" rowHeaderCaption="Closed Weekending Friday">
  <location ref="H1:I7" firstHeaderRow="1" firstDataRow="1" firstDataCol="1"/>
  <pivotFields count="5">
    <pivotField axis="axisRow" numFmtId="169" showAll="0" sortType="ascending">
      <items count="8">
        <item x="1"/>
        <item x="2"/>
        <item x="3"/>
        <item x="4"/>
        <item x="0"/>
        <item m="1" x="5"/>
        <item m="1" x="6"/>
        <item t="default"/>
      </items>
    </pivotField>
    <pivotField numFmtId="40" showAll="0" defaultSubtotal="0"/>
    <pivotField showAll="0" defaultSubtotal="0"/>
    <pivotField showAll="0" defaultSubtotal="0"/>
    <pivotField dataField="1" numFmtId="8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umulative Equity" fld="4" baseField="0" baseItem="0"/>
  </dataFields>
  <formats count="2">
    <format dxfId="352">
      <pivotArea outline="0" collapsedLevelsAreSubtotals="1" fieldPosition="0"/>
    </format>
    <format dxfId="351">
      <pivotArea dataOnly="0" labelOnly="1" outline="0" axis="axisValues" fieldPosition="0"/>
    </format>
  </formats>
  <chartFormats count="1">
    <chartFormat chart="2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CA7A6-C7B2-44C8-8EED-B060291C5834}" name="Tabla33610673" displayName="Tabla33610673" ref="B16:AG837" totalsRowShown="0" headerRowDxfId="386" dataDxfId="385">
  <autoFilter ref="B16:AG837" xr:uid="{00000000-0009-0000-0100-000009000000}"/>
  <sortState xmlns:xlrd2="http://schemas.microsoft.com/office/spreadsheetml/2017/richdata2" ref="B17:AG837">
    <sortCondition descending="1" ref="D16:D837"/>
  </sortState>
  <tableColumns count="32">
    <tableColumn id="1" xr3:uid="{B15662EF-D0AC-434F-8B47-408F7FCCC37C}" name="Inst" dataDxfId="384"/>
    <tableColumn id="2" xr3:uid="{B919035C-AA92-4CD6-861E-3B9A656147B8}" name="L/S" dataDxfId="383"/>
    <tableColumn id="3" xr3:uid="{2F10A06D-FA54-48C7-8BC2-07EAE086A4D2}" name="O/C" dataDxfId="382">
      <calculatedColumnFormula>IF(E17&lt;&gt;"",IF(K17&lt;&gt;"","C","O"),"")</calculatedColumnFormula>
    </tableColumn>
    <tableColumn id="4" xr3:uid="{147AE279-32CE-43AA-BFEC-F45979B7E5D1}" name="DATE" dataDxfId="381"/>
    <tableColumn id="5" xr3:uid="{707AB2EE-BC12-485E-9041-EBD9803ACDA6}" name="INST." dataDxfId="380"/>
    <tableColumn id="6" xr3:uid="{3BBFD836-1046-434F-9B1C-5BFD15F3E89B}" name="ENTRY " dataDxfId="379"/>
    <tableColumn id="7" xr3:uid="{6C2E69DE-E47B-441E-AA57-89A5E08DC324}" name="STOP " dataDxfId="378"/>
    <tableColumn id="8" xr3:uid="{B59AA87C-48D4-4C46-8204-364A9AC67159}" name="TR_x000a_(in Pips)" dataDxfId="377">
      <calculatedColumnFormula>ABS(G17-H17)</calculatedColumnFormula>
    </tableColumn>
    <tableColumn id="9" xr3:uid="{7C1A8A5E-D518-4CF7-84B6-B173DEF8DE68}" name="TARGET" dataDxfId="376"/>
    <tableColumn id="10" xr3:uid="{506757E9-E41A-4A85-BAC1-79B5E6868689}" name="DATE2" dataDxfId="375"/>
    <tableColumn id="11" xr3:uid="{13659F03-391C-46D2-9BEA-0E0EBEBE010E}" name="EXIT" dataDxfId="374"/>
    <tableColumn id="12" xr3:uid="{831DBDFC-F195-4CE1-B170-A525D354DA89}" name="RESULT" dataDxfId="373">
      <calculatedColumnFormula>ROUND(IF(C17="L",(L17-G17),(G17-L17)),4)</calculatedColumnFormula>
    </tableColumn>
    <tableColumn id="13" xr3:uid="{A37158FA-405D-469F-87BF-AC951BC89B9E}" name="No. of Rs" dataDxfId="372">
      <calculatedColumnFormula>IFERROR(ROUND((M17/I17),2),"")</calculatedColumnFormula>
    </tableColumn>
    <tableColumn id="14" xr3:uid="{BE84FA64-7DDB-48AE-B961-8DA7E546F50A}" name="Heat" dataDxfId="371">
      <calculatedColumnFormula>IF(D17="O",IF(N17&lt;0,N17,0),0)</calculatedColumnFormula>
    </tableColumn>
    <tableColumn id="15" xr3:uid="{EED040D1-B364-4D44-B657-340EFF426D39}" name=" TR WIN" dataDxfId="370">
      <calculatedColumnFormula>IF(N17&gt;= 0,N17,0)</calculatedColumnFormula>
    </tableColumn>
    <tableColumn id="16" xr3:uid="{9647B9C9-3E6A-4288-8C8A-EB585E3976BF}" name=" TR LOSS" dataDxfId="369">
      <calculatedColumnFormula>IF(N17&lt;0,N17,0)</calculatedColumnFormula>
    </tableColumn>
    <tableColumn id="33" xr3:uid="{26501DD6-B0BD-4C5F-9719-095EAB3AB922}" name="Initial Losing Trade" dataDxfId="368">
      <calculatedColumnFormula>IF(AND(OFFSET(Tabla33610673[[#This Row],[Equity]],1,0)="",Tabla33610673[[#This Row],[No. of Rs]]&lt;0),"Yes",IF(AND(OFFSET(Tabla33610673[[#This Row],[Initial Losing Trade]],1,0)="Yes",Tabla33610673[[#This Row],[No. of Rs]]&lt;0),"Yes","No"))</calculatedColumnFormula>
    </tableColumn>
    <tableColumn id="30" xr3:uid="{A8942EA1-B60F-4060-B354-A9A5319F7BAB}" name="Equity" dataDxfId="367">
      <calculatedColumnFormula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calculatedColumnFormula>
    </tableColumn>
    <tableColumn id="32" xr3:uid="{AD3EBF58-B5B4-4F53-80F1-2B58CD7E638D}" name="Equity Peak" dataDxfId="366">
      <calculatedColumnFormula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calculatedColumnFormula>
    </tableColumn>
    <tableColumn id="31" xr3:uid="{398F8D3E-58DA-43C6-A52E-D88D257A4E77}" name="Drawdown" dataDxfId="365">
      <calculatedColumnFormula>IF(Tabla33610673[[#This Row],[Equity]]&lt;Tabla33610673[[#This Row],[Equity Peak]],(Tabla33610673[[#This Row],[Equity Peak]]-Tabla33610673[[#This Row],[Equity]])/Tabla33610673[[#This Row],[Equity Peak]],"")</calculatedColumnFormula>
    </tableColumn>
    <tableColumn id="17" xr3:uid="{884048EE-E192-4CDD-AC98-589F1C40B528}" name="Currency" dataDxfId="364">
      <calculatedColumnFormula>IF(B17="FX",N17,0)</calculatedColumnFormula>
    </tableColumn>
    <tableColumn id="18" xr3:uid="{7A4ED22B-3893-4DF6-B718-4A8D7B5B6C84}" name="Heat3" dataDxfId="363">
      <calculatedColumnFormula>IF(D17="O",IF(V17&lt;0,V17,0),0)</calculatedColumnFormula>
    </tableColumn>
    <tableColumn id="19" xr3:uid="{10339926-36C5-4D13-A0BC-39A5BBCA82EF}" name="Commodities" dataDxfId="362">
      <calculatedColumnFormula>IF(B17="COM",N17,0)</calculatedColumnFormula>
    </tableColumn>
    <tableColumn id="20" xr3:uid="{2270C49F-0D13-4C03-9BE1-255E683E3EFC}" name="Heat4" dataDxfId="361">
      <calculatedColumnFormula>IF(D17="O",IF(X17&lt;0,X17,0),0)</calculatedColumnFormula>
    </tableColumn>
    <tableColumn id="21" xr3:uid="{CA210692-9647-419E-BD1D-4DBA4A103ABB}" name="Index" dataDxfId="360">
      <calculatedColumnFormula>IF(B17="IND",N17,0)</calculatedColumnFormula>
    </tableColumn>
    <tableColumn id="22" xr3:uid="{40222399-5374-4E90-B67A-E1D2EECADABB}" name="Heat5" dataDxfId="359">
      <calculatedColumnFormula>IF(D17="O",IF(Z17&lt;0,Z17,0),0)</calculatedColumnFormula>
    </tableColumn>
    <tableColumn id="27" xr3:uid="{AA5E82E1-0C9C-4564-93CE-89D5B82DCA91}" name="Cryptocurrency" dataDxfId="358">
      <calculatedColumnFormula>IF(B17="CRYPTO",N17,0)</calculatedColumnFormula>
    </tableColumn>
    <tableColumn id="28" xr3:uid="{ED02066B-D18D-4824-9807-83D29C3666FF}" name="Heat6" dataDxfId="357">
      <calculatedColumnFormula>IF(D17="O",IF(AB17&lt;0,AB17,0),0)</calculatedColumnFormula>
    </tableColumn>
    <tableColumn id="23" xr3:uid="{06E8FBB8-DB6F-405D-AB12-B3463C16A22E}" name="Length of _x000a_Trade" dataDxfId="356">
      <calculatedColumnFormula>IF(K17&lt;&gt;"",K17-E17,0)</calculatedColumnFormula>
    </tableColumn>
    <tableColumn id="24" xr3:uid="{BBBC94FC-0CD0-47C9-A958-1315A25086C3}" name="Win" dataDxfId="355">
      <calculatedColumnFormula>IF(N17&gt;0,AD17,0)</calculatedColumnFormula>
    </tableColumn>
    <tableColumn id="25" xr3:uid="{2797C778-0647-4B10-ADD9-4878ED310DDC}" name="Loss" dataDxfId="354">
      <calculatedColumnFormula>IF(N17&lt;0,AD17,0)</calculatedColumnFormula>
    </tableColumn>
    <tableColumn id="26" xr3:uid="{FEE65B8C-AC5A-4B4F-A845-03F48884A072}" name="Breakeven" dataDxfId="353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1:E6" totalsRowShown="0" headerRowDxfId="350" dataDxfId="349" headerRowCellStyle="Normal 2" dataCellStyle="Normal 2">
  <autoFilter ref="A1:E6" xr:uid="{00000000-0009-0000-0100-000001000000}"/>
  <tableColumns count="5">
    <tableColumn id="1" xr3:uid="{00000000-0010-0000-0100-000001000000}" name="Date" dataDxfId="348" dataCellStyle="Normal 2"/>
    <tableColumn id="2" xr3:uid="{00000000-0010-0000-0100-000002000000}" name="Profits in TR" dataDxfId="347" dataCellStyle="Normal 2"/>
    <tableColumn id="4" xr3:uid="{00000000-0010-0000-0100-000004000000}" name="$ Value of TR" dataDxfId="346" dataCellStyle="Normal 2"/>
    <tableColumn id="5" xr3:uid="{00000000-0010-0000-0100-000005000000}" name="Profits in $" dataDxfId="345" dataCellStyle="Normal 2"/>
    <tableColumn id="6" xr3:uid="{00000000-0010-0000-0100-000006000000}" name="Cumulative Equity" dataDxfId="344" dataCellStyle="Normal 2">
      <calculatedColumnFormula>IF(Table2[[#This Row],[Date]]=MIN(Table2[Date]),Table2[[#This Row],[Profits in $]],SUMIFS(Table2[Profits in $],Table2[Date],MIN(Table2[Date]))+Table2[[#This Row],[Profits in $]])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st" displayName="Inst" ref="A1:B22" totalsRowShown="0">
  <autoFilter ref="A1:B22" xr:uid="{00000000-0009-0000-0100-000004000000}"/>
  <tableColumns count="2">
    <tableColumn id="1" xr3:uid="{00000000-0010-0000-0200-000001000000}" name="Sheet Name"/>
    <tableColumn id="2" xr3:uid="{00000000-0010-0000-0200-000002000000}" name="Instrument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115F30-25FC-4A93-9F54-058DF5C350C7}" name="Tabla3361067348" displayName="Tabla3361067348" ref="B16:AG17" insertRow="1" totalsRowShown="0" headerRowDxfId="343" dataDxfId="342">
  <autoFilter ref="B16:AG17" xr:uid="{00000000-0009-0000-0100-000009000000}"/>
  <sortState xmlns:xlrd2="http://schemas.microsoft.com/office/spreadsheetml/2017/richdata2" ref="B17:AG17">
    <sortCondition descending="1" ref="D16:D17"/>
  </sortState>
  <tableColumns count="32">
    <tableColumn id="1" xr3:uid="{E9BFDD93-1840-4127-8B17-C17CE84F1872}" name="Inst" dataDxfId="341"/>
    <tableColumn id="2" xr3:uid="{59A489DF-925E-4074-9726-3CF1F649768D}" name="L/S" dataDxfId="340"/>
    <tableColumn id="3" xr3:uid="{B19E5F55-6E9A-415A-8B1B-722A2A2EA243}" name="O/C" dataDxfId="339">
      <calculatedColumnFormula>IF(E17&lt;&gt;"",IF(K17&lt;&gt;"","C","O"),"")</calculatedColumnFormula>
    </tableColumn>
    <tableColumn id="4" xr3:uid="{FAF03623-4A90-40C5-9582-F3D97CE3601C}" name="DATE" dataDxfId="338"/>
    <tableColumn id="5" xr3:uid="{5873CC0B-5B6C-4551-AC38-460A38A3AC59}" name="INST." dataDxfId="337"/>
    <tableColumn id="6" xr3:uid="{42FB14B4-8692-4591-990A-E505185C411C}" name="ENTRY " dataDxfId="336"/>
    <tableColumn id="7" xr3:uid="{074A08F7-2E71-4163-9605-7B0CDD91E9DF}" name="STOP " dataDxfId="335"/>
    <tableColumn id="8" xr3:uid="{9B60959D-F2BC-482A-AB4C-EEDB88698F95}" name="TR_x000a_(in Pips)" dataDxfId="334">
      <calculatedColumnFormula>ABS(G17-H17)</calculatedColumnFormula>
    </tableColumn>
    <tableColumn id="9" xr3:uid="{C8B6CD34-0E0C-48F8-9E97-9B9BC1320E40}" name="TARGET" dataDxfId="333"/>
    <tableColumn id="10" xr3:uid="{4280FF29-26E4-4012-9CAE-A83D56336DB9}" name="DATE2" dataDxfId="332"/>
    <tableColumn id="11" xr3:uid="{6316768D-C24C-42F3-A168-BEBA8B315D46}" name="EXIT" dataDxfId="331"/>
    <tableColumn id="12" xr3:uid="{9D056B64-0A38-4F8C-9BE1-341E38B43297}" name="RESULT" dataDxfId="330">
      <calculatedColumnFormula>ROUND(IF(C17="L",(L17-G17),(G17-L17)),4)</calculatedColumnFormula>
    </tableColumn>
    <tableColumn id="13" xr3:uid="{D325A67B-0A5C-4873-BF22-8110AA7DD6F5}" name="No. of Rs" dataDxfId="329">
      <calculatedColumnFormula>IFERROR(ROUND((M17/I17),2),"")</calculatedColumnFormula>
    </tableColumn>
    <tableColumn id="14" xr3:uid="{94BFC759-0CD7-4AB3-86FE-9C3CFC481008}" name="Heat" dataDxfId="328">
      <calculatedColumnFormula>IF(D17="O",IF(N17&lt;0,N17,0),0)</calculatedColumnFormula>
    </tableColumn>
    <tableColumn id="15" xr3:uid="{0DBEC2DC-92B9-4DB5-9924-6F5D8A894AB0}" name=" TR WIN" dataDxfId="327">
      <calculatedColumnFormula>IF(N17&gt;= 0,N17,0)</calculatedColumnFormula>
    </tableColumn>
    <tableColumn id="16" xr3:uid="{740B4C97-6829-440F-9F2F-99196F5953C2}" name=" TR LOSS" dataDxfId="326">
      <calculatedColumnFormula>IF(N17&lt;0,N17,0)</calculatedColumnFormula>
    </tableColumn>
    <tableColumn id="33" xr3:uid="{01A9AE4B-A688-40BD-9E3A-A00CE741281F}" name="Initial Losing Trade" dataDxfId="325">
      <calculatedColumnFormula>IF(AND(OFFSET(Tabla3361067348[[#This Row],[Equity]],1,0)="",Tabla3361067348[[#This Row],[No. of Rs]]&lt;0),"Yes",IF(AND(OFFSET(Tabla3361067348[[#This Row],[Initial Losing Trade]],1,0)="Yes",Tabla3361067348[[#This Row],[No. of Rs]]&lt;0),"Yes","No"))</calculatedColumnFormula>
    </tableColumn>
    <tableColumn id="30" xr3:uid="{A2D09DE5-D593-4C46-ADEB-36D524C7B576}" name="Equity" dataDxfId="324">
      <calculatedColumnFormula>IF(OFFSET(Tabla3361067348[[#This Row],[Equity]],1,0)="",IF(Tabla3361067348[[#This Row],[No. of Rs]]="",$F$11,$F$11+($F$11*Tabla3361067348[[#This Row],[No. of Rs]]/100)),IF(Tabla3361067348[[#This Row],[No. of Rs]]="",OFFSET(Tabla3361067348[[#This Row],[Equity]],1,0),OFFSET(Tabla3361067348[[#This Row],[Equity]],1,0)+($F$11*Tabla3361067348[[#This Row],[No. of Rs]]/100)))</calculatedColumnFormula>
    </tableColumn>
    <tableColumn id="32" xr3:uid="{D3446AD1-A93A-4723-93DA-DB220EB75935}" name="Equity Peak" dataDxfId="323">
      <calculatedColumnFormula>IF(OFFSET(Tabla3361067348[[#This Row],[Equity Peak]],1,0)="",IF(Tabla3361067348[[#This Row],[Initial Losing Trade]]="Yes",$F$11,Tabla3361067348[[#This Row],[Equity]]),IF(OFFSET(Tabla3361067348[[#This Row],[Equity Peak]],1,0)&gt;Tabla3361067348[[#This Row],[Equity]],OFFSET(Tabla3361067348[[#This Row],[Equity Peak]],1,0),Tabla3361067348[[#This Row],[Equity]]))</calculatedColumnFormula>
    </tableColumn>
    <tableColumn id="31" xr3:uid="{B1087D81-48DB-4F73-B0F5-436F28159638}" name="Drawdown" dataDxfId="322">
      <calculatedColumnFormula>IF(Tabla3361067348[[#This Row],[Equity]]&lt;Tabla3361067348[[#This Row],[Equity Peak]],(Tabla3361067348[[#This Row],[Equity Peak]]-Tabla3361067348[[#This Row],[Equity]])/Tabla3361067348[[#This Row],[Equity Peak]],"")</calculatedColumnFormula>
    </tableColumn>
    <tableColumn id="17" xr3:uid="{27355424-BDF7-45F9-B5B9-1D0591BE25FE}" name="Currency" dataDxfId="321">
      <calculatedColumnFormula>IF(B17="FX",N17,0)</calculatedColumnFormula>
    </tableColumn>
    <tableColumn id="18" xr3:uid="{03A9C943-83D6-4C90-9FED-1CD41C89DD61}" name="Heat3" dataDxfId="320">
      <calculatedColumnFormula>IF(D17="O",IF(V17&lt;0,V17,0),0)</calculatedColumnFormula>
    </tableColumn>
    <tableColumn id="19" xr3:uid="{DFEFD9CD-474D-4341-8983-24B2DC09734B}" name="Commodities" dataDxfId="319">
      <calculatedColumnFormula>IF(B17="COM",N17,0)</calculatedColumnFormula>
    </tableColumn>
    <tableColumn id="20" xr3:uid="{F5DF204E-D500-4C80-B234-80AAF26492E3}" name="Heat4" dataDxfId="318">
      <calculatedColumnFormula>IF(D17="O",IF(X17&lt;0,X17,0),0)</calculatedColumnFormula>
    </tableColumn>
    <tableColumn id="21" xr3:uid="{DFCD6A4A-5137-4D08-9890-B9C2C39BFBE8}" name="Index" dataDxfId="317">
      <calculatedColumnFormula>IF(B17="IND",N17,0)</calculatedColumnFormula>
    </tableColumn>
    <tableColumn id="22" xr3:uid="{A7E70DB3-D8CF-4FDB-8D24-06D2B658F240}" name="Heat5" dataDxfId="316">
      <calculatedColumnFormula>IF(D17="O",IF(Z17&lt;0,Z17,0),0)</calculatedColumnFormula>
    </tableColumn>
    <tableColumn id="27" xr3:uid="{7559D316-E562-42B2-8916-54ED8FA60899}" name="Cryptocurrency" dataDxfId="315">
      <calculatedColumnFormula>IF(B17="CRYPTO",N17,0)</calculatedColumnFormula>
    </tableColumn>
    <tableColumn id="28" xr3:uid="{0C11D3E6-F52F-4669-8A69-1AAC98E2CEAF}" name="Heat6" dataDxfId="314">
      <calculatedColumnFormula>IF(D17="O",IF(AB17&lt;0,AB17,0),0)</calculatedColumnFormula>
    </tableColumn>
    <tableColumn id="23" xr3:uid="{9FBFA019-C035-4153-9E69-4F2981D13DA7}" name="Length of _x000a_Trade" dataDxfId="313">
      <calculatedColumnFormula>IF(K17&lt;&gt;"",K17-E17,0)</calculatedColumnFormula>
    </tableColumn>
    <tableColumn id="24" xr3:uid="{F119A218-CB9A-4385-A401-E93C27DDEAEF}" name="Win" dataDxfId="312">
      <calculatedColumnFormula>IF(N17&gt;0,AD17,0)</calculatedColumnFormula>
    </tableColumn>
    <tableColumn id="25" xr3:uid="{BC6204BE-303F-4D53-BA39-69CCAB605F30}" name="Loss" dataDxfId="311">
      <calculatedColumnFormula>IF(N17&lt;0,AD17,0)</calculatedColumnFormula>
    </tableColumn>
    <tableColumn id="26" xr3:uid="{49C2BD18-6B20-450F-919F-C592D0362164}" name="Breakeven" dataDxfId="31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B998D-8D13-4430-9F49-8A9992B5F83C}" name="Tabla33610673484" displayName="Tabla33610673484" ref="B16:AG101" totalsRowShown="0" headerRowDxfId="309" dataDxfId="308">
  <autoFilter ref="B16:AG101" xr:uid="{00000000-0009-0000-0100-000009000000}"/>
  <sortState xmlns:xlrd2="http://schemas.microsoft.com/office/spreadsheetml/2017/richdata2" ref="B17:AG101">
    <sortCondition descending="1" ref="D16:D101"/>
  </sortState>
  <tableColumns count="32">
    <tableColumn id="1" xr3:uid="{35C2B6A1-3B2A-4D12-BE26-C12372B037C7}" name="Inst" dataDxfId="307"/>
    <tableColumn id="2" xr3:uid="{D6D7903D-DE80-4A15-BC3B-046F228272F4}" name="L/S" dataDxfId="306"/>
    <tableColumn id="3" xr3:uid="{C207FF55-2A34-40A6-BBE1-A494E9C22F17}" name="O/C" dataDxfId="305">
      <calculatedColumnFormula>IF(E17&lt;&gt;"",IF(K17&lt;&gt;"","C","O"),"")</calculatedColumnFormula>
    </tableColumn>
    <tableColumn id="4" xr3:uid="{06BBA810-FC99-4957-96A2-548DBB97CB0F}" name="DATE" dataDxfId="304"/>
    <tableColumn id="5" xr3:uid="{EB6C7CCB-B630-490C-BCA9-96FA9CF22637}" name="INST." dataDxfId="303"/>
    <tableColumn id="6" xr3:uid="{9B7B837B-4425-4ADD-BA2B-50CAF2770CDA}" name="ENTRY " dataDxfId="302"/>
    <tableColumn id="7" xr3:uid="{EF80B065-6F52-475E-89DD-54E3D8EB648B}" name="STOP " dataDxfId="301"/>
    <tableColumn id="8" xr3:uid="{30C4316C-6480-480F-B255-E70E7FF2DD23}" name="TR_x000a_(in Pips)" dataDxfId="300">
      <calculatedColumnFormula>ABS(G17-H17)</calculatedColumnFormula>
    </tableColumn>
    <tableColumn id="9" xr3:uid="{4108627B-F63E-47AD-8339-D4706766B0BF}" name="TARGET" dataDxfId="299"/>
    <tableColumn id="10" xr3:uid="{8CB0176A-91A1-47D2-841D-246A670F9642}" name="DATE2" dataDxfId="298"/>
    <tableColumn id="11" xr3:uid="{6D809167-63D4-487E-87FD-777EFE46606F}" name="EXIT" dataDxfId="297"/>
    <tableColumn id="12" xr3:uid="{E86BDD47-5283-4E3D-885E-26184617D559}" name="RESULT" dataDxfId="296">
      <calculatedColumnFormula>ROUND(IF(C17="L",(L17-G17),(G17-L17)),4)</calculatedColumnFormula>
    </tableColumn>
    <tableColumn id="13" xr3:uid="{CC5B0E60-AEC1-4581-8D43-A37076DA7CD6}" name="No. of Rs" dataDxfId="295">
      <calculatedColumnFormula>IFERROR(ROUND((M17/I17),2),"")</calculatedColumnFormula>
    </tableColumn>
    <tableColumn id="14" xr3:uid="{F3F68330-CEE3-4412-B781-5CC293EDEB67}" name="Heat" dataDxfId="294">
      <calculatedColumnFormula>IF(D17="O",IF(N17&lt;0,N17,0),0)</calculatedColumnFormula>
    </tableColumn>
    <tableColumn id="15" xr3:uid="{EB100494-AB70-47E9-9F95-0E25E196C7C2}" name=" TR WIN" dataDxfId="293">
      <calculatedColumnFormula>IF(N17&gt;= 0,N17,0)</calculatedColumnFormula>
    </tableColumn>
    <tableColumn id="16" xr3:uid="{E384F001-4689-4F41-8F60-664B03D5974F}" name=" TR LOSS" dataDxfId="292">
      <calculatedColumnFormula>IF(N17&lt;0,N17,0)</calculatedColumnFormula>
    </tableColumn>
    <tableColumn id="33" xr3:uid="{0906746C-0CF2-458C-A04D-23F0791F096B}" name="Initial Losing Trade" dataDxfId="291">
      <calculatedColumnFormula>IF(AND(OFFSET(Tabla33610673484[[#This Row],[Equity]],1,0)="",Tabla33610673484[[#This Row],[No. of Rs]]&lt;0),"Yes",IF(AND(OFFSET(Tabla33610673484[[#This Row],[Initial Losing Trade]],1,0)="Yes",Tabla33610673484[[#This Row],[No. of Rs]]&lt;0),"Yes","No"))</calculatedColumnFormula>
    </tableColumn>
    <tableColumn id="30" xr3:uid="{1425E18C-E586-4D0E-BBF2-BB2709FAB757}" name="Equity" dataDxfId="290">
      <calculatedColumnFormula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calculatedColumnFormula>
    </tableColumn>
    <tableColumn id="32" xr3:uid="{63F4EAFD-1182-4B36-A3A1-6591D8388A07}" name="Equity Peak" dataDxfId="289">
      <calculatedColumnFormula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calculatedColumnFormula>
    </tableColumn>
    <tableColumn id="31" xr3:uid="{DF50E974-BE67-4744-B8D1-2B555BCC627F}" name="Drawdown" dataDxfId="288">
      <calculatedColumnFormula>IF(Tabla33610673484[[#This Row],[Equity]]&lt;Tabla33610673484[[#This Row],[Equity Peak]],(Tabla33610673484[[#This Row],[Equity Peak]]-Tabla33610673484[[#This Row],[Equity]])/Tabla33610673484[[#This Row],[Equity Peak]],"")</calculatedColumnFormula>
    </tableColumn>
    <tableColumn id="17" xr3:uid="{D2C7771B-291D-4525-BA19-3EAC8D41956C}" name="Currency" dataDxfId="287">
      <calculatedColumnFormula>IF(B17="FX",N17,0)</calculatedColumnFormula>
    </tableColumn>
    <tableColumn id="18" xr3:uid="{C2198234-61CA-4260-92CF-03C0D03EB1F1}" name="Heat3" dataDxfId="286">
      <calculatedColumnFormula>IF(D17="O",IF(V17&lt;0,V17,0),0)</calculatedColumnFormula>
    </tableColumn>
    <tableColumn id="19" xr3:uid="{70BC6ECF-E505-4A4A-A005-15C515FD78C9}" name="Commodities" dataDxfId="285">
      <calculatedColumnFormula>IF(B17="COM",N17,0)</calculatedColumnFormula>
    </tableColumn>
    <tableColumn id="20" xr3:uid="{C388C078-FF8F-412D-A451-766EC0CB574A}" name="Heat4" dataDxfId="284">
      <calculatedColumnFormula>IF(D17="O",IF(X17&lt;0,X17,0),0)</calculatedColumnFormula>
    </tableColumn>
    <tableColumn id="21" xr3:uid="{34391A6E-CB55-4F4A-BF0F-4A77D57D749D}" name="Index" dataDxfId="283">
      <calculatedColumnFormula>IF(B17="IND",N17,0)</calculatedColumnFormula>
    </tableColumn>
    <tableColumn id="22" xr3:uid="{463CC4D9-AF28-4ECA-B9C2-4B177D2550F6}" name="Heat5" dataDxfId="282">
      <calculatedColumnFormula>IF(D17="O",IF(Z17&lt;0,Z17,0),0)</calculatedColumnFormula>
    </tableColumn>
    <tableColumn id="27" xr3:uid="{2E92A3C9-052D-4D04-A85E-43335B721E2B}" name="Cryptocurrency" dataDxfId="281">
      <calculatedColumnFormula>IF(B17="CRYPTO",N17,0)</calculatedColumnFormula>
    </tableColumn>
    <tableColumn id="28" xr3:uid="{99497EE8-098C-4425-B85C-58A3EB99ACBE}" name="Heat6" dataDxfId="280">
      <calculatedColumnFormula>IF(D17="O",IF(AB17&lt;0,AB17,0),0)</calculatedColumnFormula>
    </tableColumn>
    <tableColumn id="23" xr3:uid="{60072D67-F899-4157-BCBC-4538963D3A4A}" name="Length of _x000a_Trade" dataDxfId="279">
      <calculatedColumnFormula>IF(K17&lt;&gt;"",K17-E17,0)</calculatedColumnFormula>
    </tableColumn>
    <tableColumn id="24" xr3:uid="{44318096-FBB8-4E23-870F-4527A118D267}" name="Win" dataDxfId="278">
      <calculatedColumnFormula>IF(N17&gt;0,AD17,0)</calculatedColumnFormula>
    </tableColumn>
    <tableColumn id="25" xr3:uid="{7010DD04-86FF-48A4-8FD5-6A9882AA04F9}" name="Loss" dataDxfId="277">
      <calculatedColumnFormula>IF(N17&lt;0,AD17,0)</calculatedColumnFormula>
    </tableColumn>
    <tableColumn id="26" xr3:uid="{67E00B17-2FBE-40CC-BFCB-E7BB65886DB6}" name="Breakeven" dataDxfId="27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C03A8E-E6D7-49B3-8DED-EDA1A68324A8}" name="Tabla33610673486" displayName="Tabla33610673486" ref="B16:AG180" totalsRowShown="0" headerRowDxfId="275" dataDxfId="274">
  <autoFilter ref="B16:AG180" xr:uid="{00000000-0009-0000-0100-000009000000}"/>
  <sortState xmlns:xlrd2="http://schemas.microsoft.com/office/spreadsheetml/2017/richdata2" ref="B17:AG180">
    <sortCondition descending="1" ref="D16:D180"/>
  </sortState>
  <tableColumns count="32">
    <tableColumn id="1" xr3:uid="{D340922A-49D2-4CC1-90FD-033258B8E2C4}" name="Inst" dataDxfId="273"/>
    <tableColumn id="2" xr3:uid="{6B5EA7B9-048C-4FDC-9221-14D24CEDF7BB}" name="L/S" dataDxfId="272"/>
    <tableColumn id="3" xr3:uid="{0B2225E9-A1AB-4C68-8402-8B60DC72CDE5}" name="O/C" dataDxfId="271">
      <calculatedColumnFormula>IF(E17&lt;&gt;"",IF(K17&lt;&gt;"","C","O"),"")</calculatedColumnFormula>
    </tableColumn>
    <tableColumn id="4" xr3:uid="{AB0468B2-2D94-4B0E-839E-A551F9AEBD64}" name="DATE" dataDxfId="270"/>
    <tableColumn id="5" xr3:uid="{E37210C6-9E7B-4676-9AC7-D4AA7E70EF80}" name="INST." dataDxfId="269"/>
    <tableColumn id="6" xr3:uid="{273EE200-EF48-4068-B9B7-2552CABCE1A1}" name="ENTRY " dataDxfId="268"/>
    <tableColumn id="7" xr3:uid="{3E581079-C1E3-4E9C-9911-E600D58B6CE9}" name="STOP " dataDxfId="267"/>
    <tableColumn id="8" xr3:uid="{3C6F9749-5D13-4168-A0AA-DEF4A71307D2}" name="TR_x000a_(in Pips)" dataDxfId="266">
      <calculatedColumnFormula>ABS(G17-H17)</calculatedColumnFormula>
    </tableColumn>
    <tableColumn id="9" xr3:uid="{01119C8C-B36F-4683-BEAA-410E5ED7D863}" name="TARGET" dataDxfId="265"/>
    <tableColumn id="10" xr3:uid="{2E15F228-E81C-484B-92E1-B1692EFEA0B8}" name="DATE2" dataDxfId="264"/>
    <tableColumn id="11" xr3:uid="{719B167C-4326-4680-A964-2EA627099EEE}" name="EXIT" dataDxfId="263"/>
    <tableColumn id="12" xr3:uid="{4CB5227F-58AE-49DB-8443-393E1218460B}" name="RESULT" dataDxfId="262">
      <calculatedColumnFormula>ROUND(IF(C17="L",(L17-G17),(G17-L17)),4)</calculatedColumnFormula>
    </tableColumn>
    <tableColumn id="13" xr3:uid="{D0488F0D-ED7E-4537-A4F2-B591526A7789}" name="No. of Rs" dataDxfId="261">
      <calculatedColumnFormula>IFERROR(ROUND((M17/I17),2),"")</calculatedColumnFormula>
    </tableColumn>
    <tableColumn id="14" xr3:uid="{0671EB80-57FA-4517-AE10-BE3E4420E1FB}" name="Heat" dataDxfId="260">
      <calculatedColumnFormula>IF(D17="O",IF(N17&lt;0,N17,0),0)</calculatedColumnFormula>
    </tableColumn>
    <tableColumn id="15" xr3:uid="{42D45C88-4B2C-485E-BC20-B7C6F00FB987}" name=" TR WIN" dataDxfId="259">
      <calculatedColumnFormula>IF(N17&gt;= 0,N17,0)</calculatedColumnFormula>
    </tableColumn>
    <tableColumn id="16" xr3:uid="{50CAFAF6-A4F0-4079-B583-81B2629D9E40}" name=" TR LOSS" dataDxfId="258">
      <calculatedColumnFormula>IF(N17&lt;0,N17,0)</calculatedColumnFormula>
    </tableColumn>
    <tableColumn id="33" xr3:uid="{6ABDA8D9-2AD5-40E8-9C15-1CFD15E6ADF7}" name="Initial Losing Trade" dataDxfId="257">
      <calculatedColumnFormula>IF(AND(OFFSET(Tabla33610673486[[#This Row],[Equity]],1,0)="",Tabla33610673486[[#This Row],[No. of Rs]]&lt;0),"Yes",IF(AND(OFFSET(Tabla33610673486[[#This Row],[Initial Losing Trade]],1,0)="Yes",Tabla33610673486[[#This Row],[No. of Rs]]&lt;0),"Yes","No"))</calculatedColumnFormula>
    </tableColumn>
    <tableColumn id="30" xr3:uid="{76ACB9BA-291E-4ABA-920B-784BB5436CC5}" name="Equity" dataDxfId="256">
      <calculatedColumnFormula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calculatedColumnFormula>
    </tableColumn>
    <tableColumn id="32" xr3:uid="{1DC52F9D-3A7C-451C-B9BC-88793E4F08FF}" name="Equity Peak" dataDxfId="255">
      <calculatedColumnFormula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calculatedColumnFormula>
    </tableColumn>
    <tableColumn id="31" xr3:uid="{E622EA1C-2E07-4E7E-965E-BC1597FC4B16}" name="Drawdown" dataDxfId="254">
      <calculatedColumnFormula>IF(Tabla33610673486[[#This Row],[Equity]]&lt;Tabla33610673486[[#This Row],[Equity Peak]],(Tabla33610673486[[#This Row],[Equity Peak]]-Tabla33610673486[[#This Row],[Equity]])/Tabla33610673486[[#This Row],[Equity Peak]],"")</calculatedColumnFormula>
    </tableColumn>
    <tableColumn id="17" xr3:uid="{36BD358E-1283-4635-901B-BD4347C5DAF7}" name="Currency" dataDxfId="253">
      <calculatedColumnFormula>IF(B17="FX",N17,0)</calculatedColumnFormula>
    </tableColumn>
    <tableColumn id="18" xr3:uid="{45C872BA-8FF6-49A0-8050-836243E2A146}" name="Heat3" dataDxfId="252">
      <calculatedColumnFormula>IF(D17="O",IF(V17&lt;0,V17,0),0)</calculatedColumnFormula>
    </tableColumn>
    <tableColumn id="19" xr3:uid="{8FD6A9CB-9DF0-44E7-9163-C77599170AC4}" name="Commodities" dataDxfId="251">
      <calculatedColumnFormula>IF(B17="COM",N17,0)</calculatedColumnFormula>
    </tableColumn>
    <tableColumn id="20" xr3:uid="{6633964F-38B2-43A9-8C13-59533B8DBE48}" name="Heat4" dataDxfId="250">
      <calculatedColumnFormula>IF(D17="O",IF(X17&lt;0,X17,0),0)</calculatedColumnFormula>
    </tableColumn>
    <tableColumn id="21" xr3:uid="{1F1C2C3B-E248-46B7-9800-55A63E3D6CDA}" name="Index" dataDxfId="249">
      <calculatedColumnFormula>IF(B17="IND",N17,0)</calculatedColumnFormula>
    </tableColumn>
    <tableColumn id="22" xr3:uid="{A18E2505-4A09-4E9F-BCE4-E2F3C2F557D6}" name="Heat5" dataDxfId="248">
      <calculatedColumnFormula>IF(D17="O",IF(Z17&lt;0,Z17,0),0)</calculatedColumnFormula>
    </tableColumn>
    <tableColumn id="27" xr3:uid="{31791ACC-502D-4960-9917-9EC2DC2CD1C4}" name="Cryptocurrency" dataDxfId="247">
      <calculatedColumnFormula>IF(B17="CRYPTO",N17,0)</calculatedColumnFormula>
    </tableColumn>
    <tableColumn id="28" xr3:uid="{ED78A28C-A416-4696-8521-7CDA75158909}" name="Heat6" dataDxfId="246">
      <calculatedColumnFormula>IF(D17="O",IF(AB17&lt;0,AB17,0),0)</calculatedColumnFormula>
    </tableColumn>
    <tableColumn id="23" xr3:uid="{6DF9ED41-D4AD-43D1-B2A5-A36A148CF4D7}" name="Length of _x000a_Trade" dataDxfId="245">
      <calculatedColumnFormula>IF(K17&lt;&gt;"",K17-E17,0)</calculatedColumnFormula>
    </tableColumn>
    <tableColumn id="24" xr3:uid="{34B55CAB-CAE5-42DC-A098-6932F32E5A92}" name="Win" dataDxfId="244">
      <calculatedColumnFormula>IF(N17&gt;0,AD17,0)</calculatedColumnFormula>
    </tableColumn>
    <tableColumn id="25" xr3:uid="{119273FF-F5D5-4DBF-96AC-29371F93A6A1}" name="Loss" dataDxfId="243">
      <calculatedColumnFormula>IF(N17&lt;0,AD17,0)</calculatedColumnFormula>
    </tableColumn>
    <tableColumn id="26" xr3:uid="{2F1D2166-56E1-473A-8150-5A6DFBDD46F5}" name="Breakeven" dataDxfId="24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DCA823-828C-481A-9188-69D21C457E30}" name="Tabla33610673487" displayName="Tabla33610673487" ref="B16:AG85" totalsRowShown="0" headerRowDxfId="241" dataDxfId="240">
  <autoFilter ref="B16:AG85" xr:uid="{00000000-0009-0000-0100-000009000000}"/>
  <sortState xmlns:xlrd2="http://schemas.microsoft.com/office/spreadsheetml/2017/richdata2" ref="B17:AG85">
    <sortCondition descending="1" ref="D16:D85"/>
  </sortState>
  <tableColumns count="32">
    <tableColumn id="1" xr3:uid="{4605BAAA-E080-4432-9B73-DBD2235D2819}" name="Inst" dataDxfId="239"/>
    <tableColumn id="2" xr3:uid="{C0839395-578D-4CDC-BA63-4ADEFAD603AD}" name="L/S" dataDxfId="238"/>
    <tableColumn id="3" xr3:uid="{C6ED6F34-7E9A-4BD0-A8CE-0A4DC887C8BA}" name="O/C" dataDxfId="237">
      <calculatedColumnFormula>IF(E17&lt;&gt;"",IF(K17&lt;&gt;"","C","O"),"")</calculatedColumnFormula>
    </tableColumn>
    <tableColumn id="4" xr3:uid="{A9F43AB1-C3AB-41E8-BBE1-3F4CFB04CC82}" name="DATE" dataDxfId="236"/>
    <tableColumn id="5" xr3:uid="{66FF759F-C333-443A-A853-DBE7A8AFDA71}" name="INST." dataDxfId="235"/>
    <tableColumn id="6" xr3:uid="{89899C3B-AA75-42DE-83CF-57CE5D0A8729}" name="ENTRY " dataDxfId="234"/>
    <tableColumn id="7" xr3:uid="{F858B79A-F6E2-479B-BBEE-874CE9A283BF}" name="STOP " dataDxfId="233"/>
    <tableColumn id="8" xr3:uid="{4250225D-7C88-441C-BCD0-7490A3EE9B57}" name="TR_x000a_(in Pips)" dataDxfId="232">
      <calculatedColumnFormula>ABS(G17-H17)</calculatedColumnFormula>
    </tableColumn>
    <tableColumn id="9" xr3:uid="{D2A6617F-EACF-4FF3-8639-D66DEA261F25}" name="TARGET" dataDxfId="231"/>
    <tableColumn id="10" xr3:uid="{A7DE512D-B84C-4E8D-A6BD-2A9202BF4650}" name="DATE2" dataDxfId="230"/>
    <tableColumn id="11" xr3:uid="{10643205-20B7-45FC-8F7C-05778FCEB867}" name="EXIT" dataDxfId="229"/>
    <tableColumn id="12" xr3:uid="{8DD248FD-EBFF-46B2-AE67-CFC27BA15813}" name="RESULT" dataDxfId="228">
      <calculatedColumnFormula>ROUND(IF(C17="L",(L17-G17),(G17-L17)),4)</calculatedColumnFormula>
    </tableColumn>
    <tableColumn id="13" xr3:uid="{4921F856-9A68-4066-911D-5252B0A8197A}" name="No. of Rs" dataDxfId="227">
      <calculatedColumnFormula>IFERROR(ROUND((M17/I17),2),"")</calculatedColumnFormula>
    </tableColumn>
    <tableColumn id="14" xr3:uid="{95AA26AB-369C-482E-B90B-B425BAC7DDFE}" name="Heat" dataDxfId="226">
      <calculatedColumnFormula>IF(D17="O",IF(N17&lt;0,N17,0),0)</calculatedColumnFormula>
    </tableColumn>
    <tableColumn id="15" xr3:uid="{4CFDDBE5-F918-4430-B04D-2B644EF6085F}" name=" TR WIN" dataDxfId="225">
      <calculatedColumnFormula>IF(N17&gt;= 0,N17,0)</calculatedColumnFormula>
    </tableColumn>
    <tableColumn id="16" xr3:uid="{116EBDB1-4415-46B2-ACE1-DB3BA7A5B4B7}" name=" TR LOSS" dataDxfId="224">
      <calculatedColumnFormula>IF(N17&lt;0,N17,0)</calculatedColumnFormula>
    </tableColumn>
    <tableColumn id="33" xr3:uid="{F44A9986-7A16-478A-8476-DD11323A2587}" name="Initial Losing Trade" dataDxfId="223">
      <calculatedColumnFormula>IF(AND(OFFSET(Tabla33610673487[[#This Row],[Equity]],1,0)="",Tabla33610673487[[#This Row],[No. of Rs]]&lt;0),"Yes",IF(AND(OFFSET(Tabla33610673487[[#This Row],[Initial Losing Trade]],1,0)="Yes",Tabla33610673487[[#This Row],[No. of Rs]]&lt;0),"Yes","No"))</calculatedColumnFormula>
    </tableColumn>
    <tableColumn id="30" xr3:uid="{0877814F-3D0A-46B4-89D3-CE29B47C4D8C}" name="Equity" dataDxfId="222">
      <calculatedColumnFormula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calculatedColumnFormula>
    </tableColumn>
    <tableColumn id="32" xr3:uid="{B5DA1650-EDCA-43E5-BC70-A47E69675DF4}" name="Equity Peak" dataDxfId="221">
      <calculatedColumnFormula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calculatedColumnFormula>
    </tableColumn>
    <tableColumn id="31" xr3:uid="{21872658-69A7-4E4A-A11A-C31FD64E8B90}" name="Drawdown" dataDxfId="220">
      <calculatedColumnFormula>IF(Tabla33610673487[[#This Row],[Equity]]&lt;Tabla33610673487[[#This Row],[Equity Peak]],(Tabla33610673487[[#This Row],[Equity Peak]]-Tabla33610673487[[#This Row],[Equity]])/Tabla33610673487[[#This Row],[Equity Peak]],"")</calculatedColumnFormula>
    </tableColumn>
    <tableColumn id="17" xr3:uid="{E7665350-3CEA-4565-8EFB-564BAECFC76D}" name="Currency" dataDxfId="219">
      <calculatedColumnFormula>IF(B17="FX",N17,0)</calculatedColumnFormula>
    </tableColumn>
    <tableColumn id="18" xr3:uid="{E109A1A8-F707-40EB-91F7-6D7AAEE52A15}" name="Heat3" dataDxfId="218">
      <calculatedColumnFormula>IF(D17="O",IF(V17&lt;0,V17,0),0)</calculatedColumnFormula>
    </tableColumn>
    <tableColumn id="19" xr3:uid="{211A9DC5-F5CB-434A-A425-69414120CBEB}" name="Commodities" dataDxfId="217">
      <calculatedColumnFormula>IF(B17="COM",N17,0)</calculatedColumnFormula>
    </tableColumn>
    <tableColumn id="20" xr3:uid="{E1B42C24-B710-4768-BD4A-00413A1EC3DB}" name="Heat4" dataDxfId="216">
      <calculatedColumnFormula>IF(D17="O",IF(X17&lt;0,X17,0),0)</calculatedColumnFormula>
    </tableColumn>
    <tableColumn id="21" xr3:uid="{67371655-9382-47DE-80C5-C4B6BCB394DF}" name="Index" dataDxfId="215">
      <calculatedColumnFormula>IF(B17="IND",N17,0)</calculatedColumnFormula>
    </tableColumn>
    <tableColumn id="22" xr3:uid="{5EB862B9-0536-4B36-93BF-E175564B8DEC}" name="Heat5" dataDxfId="214">
      <calculatedColumnFormula>IF(D17="O",IF(Z17&lt;0,Z17,0),0)</calculatedColumnFormula>
    </tableColumn>
    <tableColumn id="27" xr3:uid="{B217A3C7-501F-4A98-9FAD-2DBDE248A2E1}" name="Cryptocurrency" dataDxfId="213">
      <calculatedColumnFormula>IF(B17="CRYPTO",N17,0)</calculatedColumnFormula>
    </tableColumn>
    <tableColumn id="28" xr3:uid="{4864EFC1-CD9D-4C14-8F9F-40226A819FC8}" name="Heat6" dataDxfId="212">
      <calculatedColumnFormula>IF(D17="O",IF(AB17&lt;0,AB17,0),0)</calculatedColumnFormula>
    </tableColumn>
    <tableColumn id="23" xr3:uid="{62982577-9E1F-42C1-8F0D-6393F5304BB4}" name="Length of _x000a_Trade" dataDxfId="211">
      <calculatedColumnFormula>IF(K17&lt;&gt;"",K17-E17,0)</calculatedColumnFormula>
    </tableColumn>
    <tableColumn id="24" xr3:uid="{215576A8-5C83-4D10-B143-AA4156E11038}" name="Win" dataDxfId="210">
      <calculatedColumnFormula>IF(N17&gt;0,AD17,0)</calculatedColumnFormula>
    </tableColumn>
    <tableColumn id="25" xr3:uid="{3B64A97B-5C3C-48F9-8CD4-90412237B9AD}" name="Loss" dataDxfId="209">
      <calculatedColumnFormula>IF(N17&lt;0,AD17,0)</calculatedColumnFormula>
    </tableColumn>
    <tableColumn id="26" xr3:uid="{CCC44D5E-F005-4DE6-B08C-E8DDE4CE6373}" name="Breakeven" dataDxfId="20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7EED59-A505-4735-ABB7-55238989D4F5}" name="Tabla33610673489" displayName="Tabla33610673489" ref="B16:AG93" totalsRowShown="0" headerRowDxfId="207" dataDxfId="206">
  <autoFilter ref="B16:AG93" xr:uid="{00000000-0009-0000-0100-000009000000}"/>
  <sortState xmlns:xlrd2="http://schemas.microsoft.com/office/spreadsheetml/2017/richdata2" ref="B17:AG93">
    <sortCondition descending="1" ref="D16:D93"/>
  </sortState>
  <tableColumns count="32">
    <tableColumn id="1" xr3:uid="{D6C25AA8-4C9C-4374-9E33-30642C2592D5}" name="Inst" dataDxfId="205"/>
    <tableColumn id="2" xr3:uid="{ED0142E5-5212-44A6-AB08-8DB8F9E569C2}" name="L/S" dataDxfId="204"/>
    <tableColumn id="3" xr3:uid="{B2D2BA38-01D7-4AE3-B499-D3ECEF8B4725}" name="O/C" dataDxfId="203">
      <calculatedColumnFormula>IF(E17&lt;&gt;"",IF(K17&lt;&gt;"","C","O"),"")</calculatedColumnFormula>
    </tableColumn>
    <tableColumn id="4" xr3:uid="{B3743894-D648-4D35-A15B-9B9558E30DE8}" name="DATE" dataDxfId="202"/>
    <tableColumn id="5" xr3:uid="{F5454CEC-36C1-4976-8CD4-82D6A3D21894}" name="INST." dataDxfId="201"/>
    <tableColumn id="6" xr3:uid="{8C24A514-6246-496A-AF9D-4ACFB58E380D}" name="ENTRY " dataDxfId="200"/>
    <tableColumn id="7" xr3:uid="{7ADCA3AF-6271-4FB2-8A0E-9565700BACF7}" name="STOP " dataDxfId="199"/>
    <tableColumn id="8" xr3:uid="{4B3EA27F-7DB2-4FA7-AC7A-9EC9DED54ECE}" name="TR_x000a_(in Pips)" dataDxfId="198">
      <calculatedColumnFormula>ABS(G17-H17)</calculatedColumnFormula>
    </tableColumn>
    <tableColumn id="9" xr3:uid="{7E529C42-0136-4CCF-80BC-812B6A412B84}" name="TARGET" dataDxfId="197"/>
    <tableColumn id="10" xr3:uid="{2D05E442-A103-4F70-9FF7-A12076B5A877}" name="DATE2" dataDxfId="196"/>
    <tableColumn id="11" xr3:uid="{33B1B2DD-DFB8-427B-9E29-9858708E7862}" name="EXIT" dataDxfId="195"/>
    <tableColumn id="12" xr3:uid="{0051016F-AC27-4A25-A8E2-C73C38B918ED}" name="RESULT" dataDxfId="194">
      <calculatedColumnFormula>ROUND(IF(C17="L",(L17-G17),(G17-L17)),4)</calculatedColumnFormula>
    </tableColumn>
    <tableColumn id="13" xr3:uid="{8BD635E1-035F-4173-9FD7-BD23E9C2F1AB}" name="No. of Rs" dataDxfId="193">
      <calculatedColumnFormula>IFERROR(ROUND((M17/I17),2),"")</calculatedColumnFormula>
    </tableColumn>
    <tableColumn id="14" xr3:uid="{41F8303F-F3AF-4509-BF3E-D8DFC1D35C59}" name="Heat" dataDxfId="192">
      <calculatedColumnFormula>IF(D17="O",IF(N17&lt;0,N17,0),0)</calculatedColumnFormula>
    </tableColumn>
    <tableColumn id="15" xr3:uid="{C9A6FAF0-29D3-4F6E-B0B6-8089D415A43C}" name=" TR WIN" dataDxfId="191">
      <calculatedColumnFormula>IF(N17&gt;= 0,N17,0)</calculatedColumnFormula>
    </tableColumn>
    <tableColumn id="16" xr3:uid="{21FB96AB-3116-4163-A142-4B3A7B732970}" name=" TR LOSS" dataDxfId="190">
      <calculatedColumnFormula>IF(N17&lt;0,N17,0)</calculatedColumnFormula>
    </tableColumn>
    <tableColumn id="33" xr3:uid="{710B54AA-28A2-46DD-B18B-3A11B05559E0}" name="Initial Losing Trade" dataDxfId="189">
      <calculatedColumnFormula>IF(AND(OFFSET(Tabla33610673489[[#This Row],[Equity]],1,0)="",Tabla33610673489[[#This Row],[No. of Rs]]&lt;0),"Yes",IF(AND(OFFSET(Tabla33610673489[[#This Row],[Initial Losing Trade]],1,0)="Yes",Tabla33610673489[[#This Row],[No. of Rs]]&lt;0),"Yes","No"))</calculatedColumnFormula>
    </tableColumn>
    <tableColumn id="30" xr3:uid="{9CF8498F-CA42-4CB4-823C-E9DAFB509E90}" name="Equity" dataDxfId="188">
      <calculatedColumnFormula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calculatedColumnFormula>
    </tableColumn>
    <tableColumn id="32" xr3:uid="{DD95A26B-747B-4511-8324-73B665FF7B65}" name="Equity Peak" dataDxfId="187">
      <calculatedColumnFormula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calculatedColumnFormula>
    </tableColumn>
    <tableColumn id="31" xr3:uid="{BE167F1E-AEA0-4324-ADCC-D0B12EC35DF9}" name="Drawdown" dataDxfId="186">
      <calculatedColumnFormula>IF(Tabla33610673489[[#This Row],[Equity]]&lt;Tabla33610673489[[#This Row],[Equity Peak]],(Tabla33610673489[[#This Row],[Equity Peak]]-Tabla33610673489[[#This Row],[Equity]])/Tabla33610673489[[#This Row],[Equity Peak]],"")</calculatedColumnFormula>
    </tableColumn>
    <tableColumn id="17" xr3:uid="{6979F90E-6CF9-41AF-B1B1-ABA0FCB21631}" name="Currency" dataDxfId="185">
      <calculatedColumnFormula>IF(B17="FX",N17,0)</calculatedColumnFormula>
    </tableColumn>
    <tableColumn id="18" xr3:uid="{06658DD1-6520-4EC1-9CE6-95E06F64CC91}" name="Heat3" dataDxfId="184">
      <calculatedColumnFormula>IF(D17="O",IF(V17&lt;0,V17,0),0)</calculatedColumnFormula>
    </tableColumn>
    <tableColumn id="19" xr3:uid="{5FB277B2-386D-4402-837B-EA650E616424}" name="Commodities" dataDxfId="183">
      <calculatedColumnFormula>IF(B17="COM",N17,0)</calculatedColumnFormula>
    </tableColumn>
    <tableColumn id="20" xr3:uid="{5C7BE74E-F7F1-4315-A7B7-08E1162BD6D9}" name="Heat4" dataDxfId="182">
      <calculatedColumnFormula>IF(D17="O",IF(X17&lt;0,X17,0),0)</calculatedColumnFormula>
    </tableColumn>
    <tableColumn id="21" xr3:uid="{12D25617-2543-43E6-AE08-AA62CF873488}" name="Index" dataDxfId="181">
      <calculatedColumnFormula>IF(B17="IND",N17,0)</calculatedColumnFormula>
    </tableColumn>
    <tableColumn id="22" xr3:uid="{9ABEC3C0-DBA3-4935-B18C-BAEFD7201FC7}" name="Heat5" dataDxfId="180">
      <calculatedColumnFormula>IF(D17="O",IF(Z17&lt;0,Z17,0),0)</calculatedColumnFormula>
    </tableColumn>
    <tableColumn id="27" xr3:uid="{55418DE8-28F4-4F5B-AA7C-47249CE78957}" name="Cryptocurrency" dataDxfId="179">
      <calculatedColumnFormula>IF(B17="CRYPTO",N17,0)</calculatedColumnFormula>
    </tableColumn>
    <tableColumn id="28" xr3:uid="{CBE36B60-65F8-4EC6-872E-B967011C689F}" name="Heat6" dataDxfId="178">
      <calculatedColumnFormula>IF(D17="O",IF(AB17&lt;0,AB17,0),0)</calculatedColumnFormula>
    </tableColumn>
    <tableColumn id="23" xr3:uid="{7ACCB82F-9042-42B9-BCC3-FFF03C909595}" name="Length of _x000a_Trade" dataDxfId="177">
      <calculatedColumnFormula>IF(K17&lt;&gt;"",K17-E17,0)</calculatedColumnFormula>
    </tableColumn>
    <tableColumn id="24" xr3:uid="{F8BA6D8E-C951-4D69-BAF3-0DF90BD3EC5E}" name="Win" dataDxfId="176">
      <calculatedColumnFormula>IF(N17&gt;0,AD17,0)</calculatedColumnFormula>
    </tableColumn>
    <tableColumn id="25" xr3:uid="{282D384C-AB75-4CC3-B2B2-AC2D24FBD8B7}" name="Loss" dataDxfId="175">
      <calculatedColumnFormula>IF(N17&lt;0,AD17,0)</calculatedColumnFormula>
    </tableColumn>
    <tableColumn id="26" xr3:uid="{56EB4FBA-C987-48E0-A9B4-2E455009D843}" name="Breakeven" dataDxfId="17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8464C3-384A-4632-AD06-3E3BF4C9D76C}" name="Tabla336106734810" displayName="Tabla336106734810" ref="B16:AG124" totalsRowShown="0" headerRowDxfId="173" dataDxfId="172">
  <autoFilter ref="B16:AG124" xr:uid="{00000000-0009-0000-0100-000009000000}"/>
  <sortState xmlns:xlrd2="http://schemas.microsoft.com/office/spreadsheetml/2017/richdata2" ref="B17:AG124">
    <sortCondition descending="1" ref="D16:D124"/>
  </sortState>
  <tableColumns count="32">
    <tableColumn id="1" xr3:uid="{298990E8-D8BD-4720-A4C9-51EB7F96E208}" name="Inst" dataDxfId="171"/>
    <tableColumn id="2" xr3:uid="{6A51912E-7EF0-4F7A-9E9D-6E0917E07758}" name="L/S" dataDxfId="170"/>
    <tableColumn id="3" xr3:uid="{EA085394-568D-4EF7-A943-9A25D9349042}" name="O/C" dataDxfId="169">
      <calculatedColumnFormula>IF(E17&lt;&gt;"",IF(K17&lt;&gt;"","C","O"),"")</calculatedColumnFormula>
    </tableColumn>
    <tableColumn id="4" xr3:uid="{5D0D52E0-2786-4DD1-A3EF-1E91DE83EB9C}" name="DATE" dataDxfId="168"/>
    <tableColumn id="5" xr3:uid="{5E685B8B-61ED-45BC-A83E-2B6EEE8A56BA}" name="INST." dataDxfId="167"/>
    <tableColumn id="6" xr3:uid="{6CE941AA-890C-4278-9F76-D71B181D2179}" name="ENTRY " dataDxfId="166"/>
    <tableColumn id="7" xr3:uid="{24006556-A6D7-457F-8244-A8C60307A3B9}" name="STOP " dataDxfId="165"/>
    <tableColumn id="8" xr3:uid="{FF5475CF-43F9-4532-A8C7-30E19C55B2BC}" name="TR_x000a_(in Pips)" dataDxfId="164">
      <calculatedColumnFormula>ABS(G17-H17)</calculatedColumnFormula>
    </tableColumn>
    <tableColumn id="9" xr3:uid="{DFB04AC0-77FC-470C-B845-ED5FA1BEA83E}" name="TARGET" dataDxfId="163"/>
    <tableColumn id="10" xr3:uid="{684F1373-8CE2-47A0-B46D-F5164A05CCE5}" name="DATE2" dataDxfId="162"/>
    <tableColumn id="11" xr3:uid="{DB7EC1AC-2156-4FAA-AF98-7F331047E660}" name="EXIT" dataDxfId="161"/>
    <tableColumn id="12" xr3:uid="{6BF07722-2C56-4057-91E3-0ED790FA9103}" name="RESULT" dataDxfId="160">
      <calculatedColumnFormula>ROUND(IF(C17="L",(L17-G17),(G17-L17)),4)</calculatedColumnFormula>
    </tableColumn>
    <tableColumn id="13" xr3:uid="{AF978F4E-DA74-4B85-93A5-4BC294C97E8F}" name="No. of Rs" dataDxfId="159">
      <calculatedColumnFormula>IFERROR(ROUND((M17/I17),2),"")</calculatedColumnFormula>
    </tableColumn>
    <tableColumn id="14" xr3:uid="{42296D02-EE5F-4AEF-ABA7-31B4933FD0DB}" name="Heat" dataDxfId="158">
      <calculatedColumnFormula>IF(D17="O",IF(N17&lt;0,N17,0),0)</calculatedColumnFormula>
    </tableColumn>
    <tableColumn id="15" xr3:uid="{44AF871E-C29F-4F08-8B2A-D063011CA8F6}" name=" TR WIN" dataDxfId="157">
      <calculatedColumnFormula>IF(N17&gt;= 0,N17,0)</calculatedColumnFormula>
    </tableColumn>
    <tableColumn id="16" xr3:uid="{5A161A08-0860-4E32-A3F5-2AA346FD6261}" name=" TR LOSS" dataDxfId="156">
      <calculatedColumnFormula>IF(N17&lt;0,N17,0)</calculatedColumnFormula>
    </tableColumn>
    <tableColumn id="33" xr3:uid="{05F83F5D-73D1-459D-84E3-022DBCBE7CB0}" name="Initial Losing Trade" dataDxfId="155">
      <calculatedColumnFormula>IF(AND(OFFSET(Tabla336106734810[[#This Row],[Equity]],1,0)="",Tabla336106734810[[#This Row],[No. of Rs]]&lt;0),"Yes",IF(AND(OFFSET(Tabla336106734810[[#This Row],[Initial Losing Trade]],1,0)="Yes",Tabla336106734810[[#This Row],[No. of Rs]]&lt;0),"Yes","No"))</calculatedColumnFormula>
    </tableColumn>
    <tableColumn id="30" xr3:uid="{F9924444-10C7-487B-B02E-64F4A1D00375}" name="Equity" dataDxfId="154">
      <calculatedColumnFormula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calculatedColumnFormula>
    </tableColumn>
    <tableColumn id="32" xr3:uid="{14330FB8-B0DB-4EDA-8E44-4735D83A3F48}" name="Equity Peak" dataDxfId="153">
      <calculatedColumnFormula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calculatedColumnFormula>
    </tableColumn>
    <tableColumn id="31" xr3:uid="{DE73C393-DB7B-4221-8129-754DD53D0B52}" name="Drawdown" dataDxfId="152">
      <calculatedColumnFormula>IF(Tabla336106734810[[#This Row],[Equity]]&lt;Tabla336106734810[[#This Row],[Equity Peak]],(Tabla336106734810[[#This Row],[Equity Peak]]-Tabla336106734810[[#This Row],[Equity]])/Tabla336106734810[[#This Row],[Equity Peak]],"")</calculatedColumnFormula>
    </tableColumn>
    <tableColumn id="17" xr3:uid="{E832EA41-CCF7-4274-B7A7-F37B244136B2}" name="Currency" dataDxfId="151">
      <calculatedColumnFormula>IF(B17="FX",N17,0)</calculatedColumnFormula>
    </tableColumn>
    <tableColumn id="18" xr3:uid="{4D1D7E25-C875-40BA-AFA3-63B485D6CCAD}" name="Heat3" dataDxfId="150">
      <calculatedColumnFormula>IF(D17="O",IF(V17&lt;0,V17,0),0)</calculatedColumnFormula>
    </tableColumn>
    <tableColumn id="19" xr3:uid="{6AD69C0C-A236-4F46-BD44-1866540BE721}" name="Commodities" dataDxfId="149">
      <calculatedColumnFormula>IF(B17="COM",N17,0)</calculatedColumnFormula>
    </tableColumn>
    <tableColumn id="20" xr3:uid="{62440544-E31C-48F7-B0A6-4C90570A8695}" name="Heat4" dataDxfId="148">
      <calculatedColumnFormula>IF(D17="O",IF(X17&lt;0,X17,0),0)</calculatedColumnFormula>
    </tableColumn>
    <tableColumn id="21" xr3:uid="{7165CDF9-8F23-4F73-B840-9197731E888E}" name="Index" dataDxfId="147">
      <calculatedColumnFormula>IF(B17="IND",N17,0)</calculatedColumnFormula>
    </tableColumn>
    <tableColumn id="22" xr3:uid="{1ADDDF1C-22CB-449B-9B58-D23DB881D344}" name="Heat5" dataDxfId="146">
      <calculatedColumnFormula>IF(D17="O",IF(Z17&lt;0,Z17,0),0)</calculatedColumnFormula>
    </tableColumn>
    <tableColumn id="27" xr3:uid="{51AD1466-1544-4D4D-97AC-ABF2DB15718D}" name="Cryptocurrency" dataDxfId="145">
      <calculatedColumnFormula>IF(B17="CRYPTO",N17,0)</calculatedColumnFormula>
    </tableColumn>
    <tableColumn id="28" xr3:uid="{3C0EDA77-1466-4CD9-8804-9803E2B71356}" name="Heat6" dataDxfId="144">
      <calculatedColumnFormula>IF(D17="O",IF(AB17&lt;0,AB17,0),0)</calculatedColumnFormula>
    </tableColumn>
    <tableColumn id="23" xr3:uid="{2CD3BFE0-8262-4810-919E-F980DCC46BC8}" name="Length of _x000a_Trade" dataDxfId="143">
      <calculatedColumnFormula>IF(K17&lt;&gt;"",K17-E17,0)</calculatedColumnFormula>
    </tableColumn>
    <tableColumn id="24" xr3:uid="{8B33B193-6B1F-4787-BCD3-279A4B0DD8DC}" name="Win" dataDxfId="142">
      <calculatedColumnFormula>IF(N17&gt;0,AD17,0)</calculatedColumnFormula>
    </tableColumn>
    <tableColumn id="25" xr3:uid="{230DBCE2-03E1-467C-ABA8-54A3B568751B}" name="Loss" dataDxfId="141">
      <calculatedColumnFormula>IF(N17&lt;0,AD17,0)</calculatedColumnFormula>
    </tableColumn>
    <tableColumn id="26" xr3:uid="{4288B496-5D73-415A-B257-866325B914AF}" name="Breakeven" dataDxfId="14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7C6D2A-1FDB-41FD-AF1C-1963A7490F74}" name="Tabla336106734811" displayName="Tabla336106734811" ref="B16:AG163" totalsRowShown="0" headerRowDxfId="139" dataDxfId="138">
  <autoFilter ref="B16:AG163" xr:uid="{00000000-0009-0000-0100-000009000000}"/>
  <sortState xmlns:xlrd2="http://schemas.microsoft.com/office/spreadsheetml/2017/richdata2" ref="B17:AG163">
    <sortCondition descending="1" ref="D16:D163"/>
  </sortState>
  <tableColumns count="32">
    <tableColumn id="1" xr3:uid="{FF1E4D5D-EA8E-414A-9586-A4E0841AD60A}" name="Inst" dataDxfId="137"/>
    <tableColumn id="2" xr3:uid="{5FEF7A20-2C02-4C7B-819D-315126E706FA}" name="L/S" dataDxfId="136"/>
    <tableColumn id="3" xr3:uid="{9E32EB8B-F3B0-4D8A-872D-59D492AD9B83}" name="O/C" dataDxfId="135">
      <calculatedColumnFormula>IF(E17&lt;&gt;"",IF(K17&lt;&gt;"","C","O"),"")</calculatedColumnFormula>
    </tableColumn>
    <tableColumn id="4" xr3:uid="{2C2EB770-50EB-457D-B75F-FDFEA71CF28F}" name="DATE" dataDxfId="134"/>
    <tableColumn id="5" xr3:uid="{C788ACE4-6254-4F88-96FB-59066F6B2C1A}" name="INST." dataDxfId="133"/>
    <tableColumn id="6" xr3:uid="{07469194-375A-4E48-87A8-5636749F8782}" name="ENTRY " dataDxfId="132"/>
    <tableColumn id="7" xr3:uid="{EA2F072A-33BD-47D3-A2CA-CD7116B7361E}" name="STOP " dataDxfId="131"/>
    <tableColumn id="8" xr3:uid="{0BC93AD0-F67A-47C4-8DF0-44264358FEA6}" name="TR_x000a_(in Pips)" dataDxfId="130">
      <calculatedColumnFormula>ABS(G17-H17)</calculatedColumnFormula>
    </tableColumn>
    <tableColumn id="9" xr3:uid="{D4BE0477-9071-45AD-B62E-A259B8BD7600}" name="TARGET" dataDxfId="129"/>
    <tableColumn id="10" xr3:uid="{693B6F3C-D122-4CE6-A9A3-BC1838D89746}" name="DATE2" dataDxfId="128"/>
    <tableColumn id="11" xr3:uid="{2B4F6125-9E2C-44E4-8B66-EFF697F7CFD0}" name="EXIT" dataDxfId="127"/>
    <tableColumn id="12" xr3:uid="{DAB7F0CC-EF56-47C5-B7B1-BB6F814B78AD}" name="RESULT" dataDxfId="126">
      <calculatedColumnFormula>ROUND(IF(C17="L",(L17-G17),(G17-L17)),4)</calculatedColumnFormula>
    </tableColumn>
    <tableColumn id="13" xr3:uid="{28DB8BF7-9D3B-4BA9-9B50-64A598BAD451}" name="No. of Rs" dataDxfId="125">
      <calculatedColumnFormula>IFERROR(ROUND((M17/I17),2),"")</calculatedColumnFormula>
    </tableColumn>
    <tableColumn id="14" xr3:uid="{F3D66531-B53E-464F-A0B5-3BEA25466A35}" name="Heat" dataDxfId="124">
      <calculatedColumnFormula>IF(D17="O",IF(N17&lt;0,N17,0),0)</calculatedColumnFormula>
    </tableColumn>
    <tableColumn id="15" xr3:uid="{486CDF2E-CACB-44E1-AA0C-BF7E7D3E55CB}" name=" TR WIN" dataDxfId="123">
      <calculatedColumnFormula>IF(N17&gt;= 0,N17,0)</calculatedColumnFormula>
    </tableColumn>
    <tableColumn id="16" xr3:uid="{E08DBB0B-BBD8-40A2-968B-4A74EE33E028}" name=" TR LOSS" dataDxfId="122">
      <calculatedColumnFormula>IF(N17&lt;0,N17,0)</calculatedColumnFormula>
    </tableColumn>
    <tableColumn id="33" xr3:uid="{04AE0A89-43B3-4DA6-A953-0DAF9CD60527}" name="Initial Losing Trade" dataDxfId="121">
      <calculatedColumnFormula>IF(AND(OFFSET(Tabla336106734811[[#This Row],[Equity]],1,0)="",Tabla336106734811[[#This Row],[No. of Rs]]&lt;0),"Yes",IF(AND(OFFSET(Tabla336106734811[[#This Row],[Initial Losing Trade]],1,0)="Yes",Tabla336106734811[[#This Row],[No. of Rs]]&lt;0),"Yes","No"))</calculatedColumnFormula>
    </tableColumn>
    <tableColumn id="30" xr3:uid="{456A6795-EAFA-4469-AD48-D11105B7CDF4}" name="Equity" dataDxfId="120">
      <calculatedColumnFormula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calculatedColumnFormula>
    </tableColumn>
    <tableColumn id="32" xr3:uid="{F1F127AC-E396-46B3-83FF-4022821D67B3}" name="Equity Peak" dataDxfId="119">
      <calculatedColumnFormula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calculatedColumnFormula>
    </tableColumn>
    <tableColumn id="31" xr3:uid="{64D8F805-D9CD-48E2-BA81-6F3636097B00}" name="Drawdown" dataDxfId="118">
      <calculatedColumnFormula>IF(Tabla336106734811[[#This Row],[Equity]]&lt;Tabla336106734811[[#This Row],[Equity Peak]],(Tabla336106734811[[#This Row],[Equity Peak]]-Tabla336106734811[[#This Row],[Equity]])/Tabla336106734811[[#This Row],[Equity Peak]],"")</calculatedColumnFormula>
    </tableColumn>
    <tableColumn id="17" xr3:uid="{DBCEE32D-A82C-4493-B189-1095E1441A8B}" name="Currency" dataDxfId="117">
      <calculatedColumnFormula>IF(B17="FX",N17,0)</calculatedColumnFormula>
    </tableColumn>
    <tableColumn id="18" xr3:uid="{9A0ECD79-D65B-44D3-A525-974B1926374E}" name="Heat3" dataDxfId="116">
      <calculatedColumnFormula>IF(D17="O",IF(V17&lt;0,V17,0),0)</calculatedColumnFormula>
    </tableColumn>
    <tableColumn id="19" xr3:uid="{45F34A07-626A-4712-BF1A-A167EC7DA6B7}" name="Commodities" dataDxfId="115">
      <calculatedColumnFormula>IF(B17="COM",N17,0)</calculatedColumnFormula>
    </tableColumn>
    <tableColumn id="20" xr3:uid="{4DBA2330-364E-4CAC-9BF3-396A00AC3DBB}" name="Heat4" dataDxfId="114">
      <calculatedColumnFormula>IF(D17="O",IF(X17&lt;0,X17,0),0)</calculatedColumnFormula>
    </tableColumn>
    <tableColumn id="21" xr3:uid="{754809B7-83A4-4406-A130-3BD247541254}" name="Index" dataDxfId="113">
      <calculatedColumnFormula>IF(B17="IND",N17,0)</calculatedColumnFormula>
    </tableColumn>
    <tableColumn id="22" xr3:uid="{CFFB37D0-CC51-496A-BAD5-8D280D6723D9}" name="Heat5" dataDxfId="112">
      <calculatedColumnFormula>IF(D17="O",IF(Z17&lt;0,Z17,0),0)</calculatedColumnFormula>
    </tableColumn>
    <tableColumn id="27" xr3:uid="{C57EA122-F311-409B-9BA2-6EC200C69B24}" name="Cryptocurrency" dataDxfId="111">
      <calculatedColumnFormula>IF(B17="CRYPTO",N17,0)</calculatedColumnFormula>
    </tableColumn>
    <tableColumn id="28" xr3:uid="{FE8D8ACC-73FC-47C6-96B7-445D2EA4F08F}" name="Heat6" dataDxfId="110">
      <calculatedColumnFormula>IF(D17="O",IF(AB17&lt;0,AB17,0),0)</calculatedColumnFormula>
    </tableColumn>
    <tableColumn id="23" xr3:uid="{D56470F7-09E1-4F68-97AD-9369CA7C5DF4}" name="Length of _x000a_Trade" dataDxfId="109">
      <calculatedColumnFormula>IF(K17&lt;&gt;"",K17-E17,0)</calculatedColumnFormula>
    </tableColumn>
    <tableColumn id="24" xr3:uid="{789281FB-83F1-4DAA-96FD-B98D3DF787B8}" name="Win" dataDxfId="108">
      <calculatedColumnFormula>IF(N17&gt;0,AD17,0)</calculatedColumnFormula>
    </tableColumn>
    <tableColumn id="25" xr3:uid="{300EAEF3-513E-4EED-9356-F72C4E7B501C}" name="Loss" dataDxfId="107">
      <calculatedColumnFormula>IF(N17&lt;0,AD17,0)</calculatedColumnFormula>
    </tableColumn>
    <tableColumn id="26" xr3:uid="{469AEFE2-940B-4F5C-8749-FAC56C1E312B}" name="Breakeven" dataDxfId="10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E817CC-D324-4089-A4D3-70736BAFDBED}" name="Tabla336106734812" displayName="Tabla336106734812" ref="B16:AG187" totalsRowShown="0" headerRowDxfId="105" dataDxfId="104">
  <autoFilter ref="B16:AG187" xr:uid="{00000000-0009-0000-0100-000009000000}"/>
  <sortState xmlns:xlrd2="http://schemas.microsoft.com/office/spreadsheetml/2017/richdata2" ref="B17:AG187">
    <sortCondition descending="1" ref="D16:D187"/>
  </sortState>
  <tableColumns count="32">
    <tableColumn id="1" xr3:uid="{53A972DA-7383-49EE-84EA-858DC559D742}" name="Inst" dataDxfId="103"/>
    <tableColumn id="2" xr3:uid="{CB02D374-1F1E-4926-A81C-5B7FE8183078}" name="L/S" dataDxfId="102"/>
    <tableColumn id="3" xr3:uid="{FAE8484F-9320-4B8E-B715-15D1F9A9CBE2}" name="O/C" dataDxfId="101">
      <calculatedColumnFormula>IF(E17&lt;&gt;"",IF(K17&lt;&gt;"","C","O"),"")</calculatedColumnFormula>
    </tableColumn>
    <tableColumn id="4" xr3:uid="{F963E4A7-4FA7-444C-A44E-B85CEBAB164B}" name="DATE" dataDxfId="100"/>
    <tableColumn id="5" xr3:uid="{311CA312-A860-400B-A894-FCB33BA6C06C}" name="INST." dataDxfId="99"/>
    <tableColumn id="6" xr3:uid="{0F50911E-8AA0-46D2-A520-FA14D0425371}" name="ENTRY " dataDxfId="98"/>
    <tableColumn id="7" xr3:uid="{47B4BF33-B8E3-4FC6-BE42-A17F8566A7DC}" name="STOP " dataDxfId="97"/>
    <tableColumn id="8" xr3:uid="{A2DCF3E4-FF53-4661-A898-8347BD06BB33}" name="TR_x000a_(in Pips)" dataDxfId="96">
      <calculatedColumnFormula>ABS(G17-H17)</calculatedColumnFormula>
    </tableColumn>
    <tableColumn id="9" xr3:uid="{E49B9930-BB18-46DD-B899-94A8A6AC8908}" name="TARGET" dataDxfId="95"/>
    <tableColumn id="10" xr3:uid="{3E6C6DA6-9D96-44CD-8EFE-952EE68B20E0}" name="DATE2" dataDxfId="94"/>
    <tableColumn id="11" xr3:uid="{FF9754C7-EFF1-4FF5-BC0D-5CFB5DE3E015}" name="EXIT" dataDxfId="93"/>
    <tableColumn id="12" xr3:uid="{32A8C413-A8D3-41B4-BFFB-C86378094E18}" name="RESULT" dataDxfId="92">
      <calculatedColumnFormula>ROUND(IF(C17="L",(L17-G17),(G17-L17)),4)</calculatedColumnFormula>
    </tableColumn>
    <tableColumn id="13" xr3:uid="{5E472420-A60E-42F0-9E7A-1B27F3F0901A}" name="No. of Rs" dataDxfId="91">
      <calculatedColumnFormula>IFERROR(ROUND((M17/I17),2),"")</calculatedColumnFormula>
    </tableColumn>
    <tableColumn id="14" xr3:uid="{BE9FE3F6-5D17-406E-82E6-33867DB59770}" name="Heat" dataDxfId="90">
      <calculatedColumnFormula>IF(D17="O",IF(N17&lt;0,N17,0),0)</calculatedColumnFormula>
    </tableColumn>
    <tableColumn id="15" xr3:uid="{D2FDBC9C-C1EA-40D0-867A-3BB05819BE16}" name=" TR WIN" dataDxfId="89">
      <calculatedColumnFormula>IF(N17&gt;= 0,N17,0)</calculatedColumnFormula>
    </tableColumn>
    <tableColumn id="16" xr3:uid="{B4587BD9-50D7-4093-B1E3-7EF934A589F1}" name=" TR LOSS" dataDxfId="88">
      <calculatedColumnFormula>IF(N17&lt;0,N17,0)</calculatedColumnFormula>
    </tableColumn>
    <tableColumn id="33" xr3:uid="{DC329D3D-8B88-4763-B5C8-58D1A0177D16}" name="Initial Losing Trade" dataDxfId="87">
      <calculatedColumnFormula>IF(AND(OFFSET(Tabla336106734812[[#This Row],[Equity]],1,0)="",Tabla336106734812[[#This Row],[No. of Rs]]&lt;0),"Yes",IF(AND(OFFSET(Tabla336106734812[[#This Row],[Initial Losing Trade]],1,0)="Yes",Tabla336106734812[[#This Row],[No. of Rs]]&lt;0),"Yes","No"))</calculatedColumnFormula>
    </tableColumn>
    <tableColumn id="30" xr3:uid="{3BDB2B29-2471-4DF7-B0AE-00BE70501A99}" name="Equity" dataDxfId="86">
      <calculatedColumnFormula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calculatedColumnFormula>
    </tableColumn>
    <tableColumn id="32" xr3:uid="{84E24910-D7F4-49BE-A6D5-3CE907036A5F}" name="Equity Peak" dataDxfId="85">
      <calculatedColumnFormula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calculatedColumnFormula>
    </tableColumn>
    <tableColumn id="31" xr3:uid="{CD81295E-4CCD-4A3C-A4CE-0E91FBD415DA}" name="Drawdown" dataDxfId="84">
      <calculatedColumnFormula>IF(Tabla336106734812[[#This Row],[Equity]]&lt;Tabla336106734812[[#This Row],[Equity Peak]],(Tabla336106734812[[#This Row],[Equity Peak]]-Tabla336106734812[[#This Row],[Equity]])/Tabla336106734812[[#This Row],[Equity Peak]],"")</calculatedColumnFormula>
    </tableColumn>
    <tableColumn id="17" xr3:uid="{CEC67D3F-EA1C-49E3-93F2-DC8033E500A9}" name="Currency" dataDxfId="83">
      <calculatedColumnFormula>IF(B17="FX",N17,0)</calculatedColumnFormula>
    </tableColumn>
    <tableColumn id="18" xr3:uid="{C2FEBD76-7980-48D2-9401-70A3A37CD167}" name="Heat3" dataDxfId="82">
      <calculatedColumnFormula>IF(D17="O",IF(V17&lt;0,V17,0),0)</calculatedColumnFormula>
    </tableColumn>
    <tableColumn id="19" xr3:uid="{C1358CE8-457E-4BAB-A3EA-72D8F9DE0EDD}" name="Commodities" dataDxfId="81">
      <calculatedColumnFormula>IF(B17="COM",N17,0)</calculatedColumnFormula>
    </tableColumn>
    <tableColumn id="20" xr3:uid="{EA29754C-BEA1-49D0-8007-A1345A1F4E5E}" name="Heat4" dataDxfId="80">
      <calculatedColumnFormula>IF(D17="O",IF(X17&lt;0,X17,0),0)</calculatedColumnFormula>
    </tableColumn>
    <tableColumn id="21" xr3:uid="{77779734-1687-4949-BBE2-FC716C6D282A}" name="Index" dataDxfId="79">
      <calculatedColumnFormula>IF(B17="IND",N17,0)</calculatedColumnFormula>
    </tableColumn>
    <tableColumn id="22" xr3:uid="{5191A4A2-3172-435F-81BB-3CAB9AD645A9}" name="Heat5" dataDxfId="78">
      <calculatedColumnFormula>IF(D17="O",IF(Z17&lt;0,Z17,0),0)</calculatedColumnFormula>
    </tableColumn>
    <tableColumn id="27" xr3:uid="{3BC0364D-B57E-4968-A828-B676E1271C08}" name="Cryptocurrency" dataDxfId="77">
      <calculatedColumnFormula>IF(B17="CRYPTO",N17,0)</calculatedColumnFormula>
    </tableColumn>
    <tableColumn id="28" xr3:uid="{34E7642A-D014-4D90-855D-A3532FB0B2F5}" name="Heat6" dataDxfId="76">
      <calculatedColumnFormula>IF(D17="O",IF(AB17&lt;0,AB17,0),0)</calculatedColumnFormula>
    </tableColumn>
    <tableColumn id="23" xr3:uid="{07D34815-28C7-4171-9B9D-DBDB27D1F75A}" name="Length of _x000a_Trade" dataDxfId="75">
      <calculatedColumnFormula>IF(K17&lt;&gt;"",K17-E17,0)</calculatedColumnFormula>
    </tableColumn>
    <tableColumn id="24" xr3:uid="{5AC12D34-9D0C-4F9A-81DD-FF818C82681B}" name="Win" dataDxfId="74">
      <calculatedColumnFormula>IF(N17&gt;0,AD17,0)</calculatedColumnFormula>
    </tableColumn>
    <tableColumn id="25" xr3:uid="{5FBB941C-4CAA-461D-A7F6-58C8493F5889}" name="Loss" dataDxfId="73">
      <calculatedColumnFormula>IF(N17&lt;0,AD17,0)</calculatedColumnFormula>
    </tableColumn>
    <tableColumn id="26" xr3:uid="{723FEC19-3F43-4741-B9F0-40D6062E787A}" name="Breakeven" dataDxfId="72">
      <calculatedColumnFormula>IF(N17=0,AD17,0)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13C3-47FF-4FE9-8595-476BF59175BE}">
  <sheetPr codeName="Hoja8">
    <pageSetUpPr fitToPage="1"/>
  </sheetPr>
  <dimension ref="A1:AX83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COUNTA(Tabla33610673[Inst])</f>
        <v>821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369.25000000000028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194.19000000000014</v>
      </c>
      <c r="W6" s="18"/>
      <c r="X6" s="17">
        <f>+X13</f>
        <v>-1.4000000000000006</v>
      </c>
      <c r="Y6" s="19"/>
      <c r="Z6" s="17">
        <f>+Z13</f>
        <v>176.46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COUNTIF(Tabla33610673[No. of Rs],"&gt;0")</f>
        <v>249</v>
      </c>
      <c r="G7" s="24">
        <f>IFERROR((F7/$F$6),"")</f>
        <v>0.30328867235079171</v>
      </c>
      <c r="H7" s="78">
        <f>IFERROR((+P13/F7),"")</f>
        <v>3.3168674698795204</v>
      </c>
      <c r="I7" s="227">
        <f>H7/H9</f>
        <v>4.1111288469326812</v>
      </c>
      <c r="J7" s="227">
        <f>AVERAGE(Tabla33610673[No. of Rs])</f>
        <v>0.44975639464068246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0.52590385917400129</v>
      </c>
      <c r="W7" s="27"/>
      <c r="X7" s="26">
        <f>IFERROR((X6/N6),"")</f>
        <v>-3.791469194312795E-3</v>
      </c>
      <c r="Y7" s="28"/>
      <c r="Z7" s="26">
        <f>IFERROR((Z6/N6),"")</f>
        <v>0.4778876100203111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COUNTIF(Tabla33610673[No. of Rs],"=0")</f>
        <v>6</v>
      </c>
      <c r="G8" s="24">
        <f>IFERROR((F8/$F$6),"")</f>
        <v>7.3081607795371494E-3</v>
      </c>
      <c r="H8" s="78"/>
      <c r="I8" s="228"/>
      <c r="J8" s="228"/>
      <c r="K8" s="163"/>
      <c r="L8" s="212" t="s">
        <v>112</v>
      </c>
      <c r="M8" s="213"/>
      <c r="N8" s="195">
        <f ca="1">OFFSET(Tabla33610673[[#Headers],[Equity]],1,0)</f>
        <v>46925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1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COUNTIF(Tabla33610673[No. of Rs],"&lt;0")</f>
        <v>566</v>
      </c>
      <c r="G9" s="32">
        <f>IFERROR((F9/$F$6),"")</f>
        <v>0.68940316686967118</v>
      </c>
      <c r="H9" s="79">
        <f>IFERROR((-Q13/F9),"")</f>
        <v>0.80680212014134256</v>
      </c>
      <c r="I9" s="229"/>
      <c r="J9" s="229"/>
      <c r="K9" s="149"/>
      <c r="L9" s="230" t="s">
        <v>106</v>
      </c>
      <c r="M9" s="231"/>
      <c r="N9" s="125">
        <f ca="1">MAX(Tabla33610673[Drawdown])</f>
        <v>0.1019081902456118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1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COUNTIF(Tabla33610673[Heat],"&lt;0")</f>
        <v>1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>
        <f>IF(COUNTIFS(Tabla33610673[O/C],"O")&lt;1,"None",COUNTIFS(Tabla33610673[O/C],"O"))</f>
        <v>2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SUM(Tabla33610673[No. of Rs])</f>
        <v>369.25000000000028</v>
      </c>
      <c r="O13" s="42">
        <f>SUM(Tabla33610673[Heat])</f>
        <v>-1</v>
      </c>
      <c r="P13" s="43">
        <f>SUM(Tabla33610673[[ TR WIN]])</f>
        <v>825.90000000000055</v>
      </c>
      <c r="Q13" s="43">
        <f>SUM(Tabla33610673[[ TR LOSS]])</f>
        <v>-456.64999999999986</v>
      </c>
      <c r="R13" s="114"/>
      <c r="S13" s="115"/>
      <c r="T13" s="115"/>
      <c r="U13" s="121"/>
      <c r="V13" s="44">
        <f>SUM(Tabla33610673[Currency])</f>
        <v>194.19000000000014</v>
      </c>
      <c r="W13" s="44">
        <f>SUM(Tabla33610673[Heat3])</f>
        <v>0</v>
      </c>
      <c r="X13" s="44">
        <f>SUM(Tabla33610673[Commodities])</f>
        <v>-1.4000000000000006</v>
      </c>
      <c r="Y13" s="44">
        <f>SUM(Tabla33610673[Heat4])</f>
        <v>0</v>
      </c>
      <c r="Z13" s="44">
        <f>SUM(Tabla33610673[Index])</f>
        <v>176.46</v>
      </c>
      <c r="AA13" s="44">
        <f>SUM(Tabla33610673[Heat5])</f>
        <v>-1</v>
      </c>
      <c r="AB13" s="44">
        <f>SUM(Tabla33610673[Cryptocurrency])</f>
        <v>0</v>
      </c>
      <c r="AC13" s="44">
        <f>SUM(Tabla33610673[Heat6])</f>
        <v>0</v>
      </c>
      <c r="AD13" s="75" t="e">
        <f>AVERAGEIF(Tabla33610673[Length of 
Trade],"&lt;&gt;0")</f>
        <v>#VALUE!</v>
      </c>
      <c r="AE13" s="75" t="e">
        <f>AVERAGEIF(Tabla33610673[Win],"&lt;&gt;0")</f>
        <v>#VALUE!</v>
      </c>
      <c r="AF13" s="75" t="e">
        <f>AVERAGEIF(Tabla33610673[Loss],"&lt;&gt;0")</f>
        <v>#VALUE!</v>
      </c>
      <c r="AG13" s="76">
        <f>AVERAGEIF(Tabla33610673[Breakeven],"&lt;&gt;0")</f>
        <v>1.0234953703705589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96" t="s">
        <v>7</v>
      </c>
      <c r="C17" s="197" t="s">
        <v>15</v>
      </c>
      <c r="D17" s="246" t="str">
        <f>IF(E17&lt;&gt;"",IF(K17&lt;&gt;"","C","O"),"")</f>
        <v>O</v>
      </c>
      <c r="E17" s="199">
        <v>44875.65625</v>
      </c>
      <c r="F17" s="200" t="s">
        <v>114</v>
      </c>
      <c r="G17" s="235">
        <v>1.0119899999999999</v>
      </c>
      <c r="H17" s="235">
        <v>1.0079400000000001</v>
      </c>
      <c r="I17" s="247">
        <f>ABS(G17-H17)</f>
        <v>4.049999999999887E-3</v>
      </c>
      <c r="J17" s="235">
        <v>1.0484</v>
      </c>
      <c r="K17" s="199"/>
      <c r="L17" s="235">
        <v>1.0309600000000001</v>
      </c>
      <c r="M17" s="248">
        <f>ROUND(IF(C17="L",(L17-G17),(G17-L17)),4)</f>
        <v>1.9E-2</v>
      </c>
      <c r="N17" s="249">
        <f>IFERROR(ROUND((M17/I17),2),"")</f>
        <v>4.6900000000000004</v>
      </c>
      <c r="O17" s="250">
        <f>IF(D17="O",IF(N17&lt;0,N17,0),0)</f>
        <v>0</v>
      </c>
      <c r="P17" s="251">
        <f>IF(N17&gt;= 0,N17,0)</f>
        <v>4.6900000000000004</v>
      </c>
      <c r="Q17" s="251">
        <f>IF(N17&lt;0,N17,0)</f>
        <v>0</v>
      </c>
      <c r="R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46925</v>
      </c>
      <c r="T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46925</v>
      </c>
      <c r="U1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17" s="254">
        <f>IF(B17="FX",N17,0)</f>
        <v>4.6900000000000004</v>
      </c>
      <c r="W17" s="254">
        <f>IF(D17="O",IF(V17&lt;0,V17,0),0)</f>
        <v>0</v>
      </c>
      <c r="X17" s="254">
        <f>IF(B17="COM",N17,0)</f>
        <v>0</v>
      </c>
      <c r="Y17" s="254">
        <f>IF(D17="O",IF(X17&lt;0,X17,0),0)</f>
        <v>0</v>
      </c>
      <c r="Z17" s="254">
        <f>IF(B17="IND",N17,0)</f>
        <v>0</v>
      </c>
      <c r="AA17" s="250">
        <f>IF(D17="O",IF(Z17&lt;0,Z17,0),0)</f>
        <v>0</v>
      </c>
      <c r="AB17" s="254">
        <f>IF(B17="CRYPTO",N17,0)</f>
        <v>0</v>
      </c>
      <c r="AC17" s="250">
        <f>IF(D17="O",IF(AB17&lt;0,AB17,0),0)</f>
        <v>0</v>
      </c>
      <c r="AD17" s="255">
        <f>IF(K17&lt;&gt;"",K17-E17,0)</f>
        <v>0</v>
      </c>
      <c r="AE17" s="255">
        <f>IF(N17&gt;0,AD17,0)</f>
        <v>0</v>
      </c>
      <c r="AF17" s="255">
        <f>IF(N17&lt;0,AD17,0)</f>
        <v>0</v>
      </c>
      <c r="AG17" s="255">
        <f>IF(N17=0,AD17,0)</f>
        <v>0</v>
      </c>
      <c r="AH17" s="176"/>
      <c r="AI17" s="109"/>
    </row>
    <row r="18" spans="1:35" ht="15" customHeight="1" x14ac:dyDescent="0.3">
      <c r="B18" s="196" t="s">
        <v>5</v>
      </c>
      <c r="C18" s="197" t="s">
        <v>15</v>
      </c>
      <c r="D18" s="246" t="str">
        <f>IF(E18&lt;&gt;"",IF(K18&lt;&gt;"","C","O"),"")</f>
        <v>O</v>
      </c>
      <c r="E18" s="199">
        <v>44876.854166666664</v>
      </c>
      <c r="F18" s="200" t="s">
        <v>91</v>
      </c>
      <c r="G18" s="235">
        <v>14302.04</v>
      </c>
      <c r="H18" s="235">
        <v>14264.77</v>
      </c>
      <c r="I18" s="247">
        <f>ABS(G18-H18)</f>
        <v>37.270000000000437</v>
      </c>
      <c r="J18" s="235">
        <v>14997.73</v>
      </c>
      <c r="K18" s="199"/>
      <c r="L18" s="235">
        <v>14264.77</v>
      </c>
      <c r="M18" s="248">
        <f>ROUND(IF(C18="L",(L18-G18),(G18-L18)),4)</f>
        <v>-37.270000000000003</v>
      </c>
      <c r="N18" s="249">
        <f>IFERROR(ROUND((M18/I18),2),"")</f>
        <v>-1</v>
      </c>
      <c r="O18" s="250">
        <f>IF(D18="O",IF(N18&lt;0,N18,0),0)</f>
        <v>-1</v>
      </c>
      <c r="P18" s="251">
        <f>IF(N18&gt;= 0,N18,0)</f>
        <v>0</v>
      </c>
      <c r="Q18" s="251">
        <f>IF(N18&lt;0,N18,0)</f>
        <v>-1</v>
      </c>
      <c r="R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46456</v>
      </c>
      <c r="T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46656</v>
      </c>
      <c r="U18" s="253">
        <f ca="1">IF(Tabla33610673[[#This Row],[Equity]]&lt;Tabla33610673[[#This Row],[Equity Peak]],(Tabla33610673[[#This Row],[Equity Peak]]-Tabla33610673[[#This Row],[Equity]])/Tabla33610673[[#This Row],[Equity Peak]],"")</f>
        <v>4.2866941015089165E-3</v>
      </c>
      <c r="V18" s="254">
        <f>IF(B18="FX",N18,0)</f>
        <v>0</v>
      </c>
      <c r="W18" s="254">
        <f>IF(D18="O",IF(V18&lt;0,V18,0),0)</f>
        <v>0</v>
      </c>
      <c r="X18" s="254">
        <f>IF(B18="COM",N18,0)</f>
        <v>0</v>
      </c>
      <c r="Y18" s="254">
        <f>IF(D18="O",IF(X18&lt;0,X18,0),0)</f>
        <v>0</v>
      </c>
      <c r="Z18" s="254">
        <f>IF(B18="IND",N18,0)</f>
        <v>-1</v>
      </c>
      <c r="AA18" s="250">
        <f>IF(D18="O",IF(Z18&lt;0,Z18,0),0)</f>
        <v>-1</v>
      </c>
      <c r="AB18" s="254">
        <f>IF(B18="CRYPTO",N18,0)</f>
        <v>0</v>
      </c>
      <c r="AC18" s="250">
        <f>IF(D18="O",IF(AB18&lt;0,AB18,0),0)</f>
        <v>0</v>
      </c>
      <c r="AD18" s="255">
        <f>IF(K18&lt;&gt;"",K18-E18,0)</f>
        <v>0</v>
      </c>
      <c r="AE18" s="255">
        <f>IF(N18&gt;0,AD18,0)</f>
        <v>0</v>
      </c>
      <c r="AF18" s="255">
        <f>IF(N18&lt;0,AD18,0)</f>
        <v>0</v>
      </c>
      <c r="AG18" s="255">
        <f>IF(N18=0,AD18,0)</f>
        <v>0</v>
      </c>
    </row>
    <row r="19" spans="1:35" ht="15" customHeight="1" x14ac:dyDescent="0.3">
      <c r="B19" s="196" t="s">
        <v>5</v>
      </c>
      <c r="C19" s="197" t="s">
        <v>15</v>
      </c>
      <c r="D19" s="246" t="str">
        <f>IF(E19&lt;&gt;"",IF(K19&lt;&gt;"","C","O"),"")</f>
        <v>C</v>
      </c>
      <c r="E19" s="199">
        <v>44876.09375</v>
      </c>
      <c r="F19" s="200" t="s">
        <v>91</v>
      </c>
      <c r="G19" s="235">
        <v>14193.04</v>
      </c>
      <c r="H19" s="235">
        <v>14158.76</v>
      </c>
      <c r="I19" s="247">
        <f>ABS(G19-H19)</f>
        <v>34.280000000000655</v>
      </c>
      <c r="J19" s="235">
        <v>14832.93</v>
      </c>
      <c r="K19" s="199" t="s">
        <v>118</v>
      </c>
      <c r="L19" s="235">
        <v>14158.76</v>
      </c>
      <c r="M19" s="248">
        <f>ROUND(IF(C19="L",(L19-G19),(G19-L19)),4)</f>
        <v>-34.28</v>
      </c>
      <c r="N19" s="249">
        <f>IFERROR(ROUND((M19/I19),2),"")</f>
        <v>-1</v>
      </c>
      <c r="O19" s="250">
        <f>IF(D19="O",IF(N19&lt;0,N19,0),0)</f>
        <v>0</v>
      </c>
      <c r="P19" s="251">
        <f>IF(N19&gt;= 0,N19,0)</f>
        <v>0</v>
      </c>
      <c r="Q19" s="251">
        <f>IF(N19&lt;0,N19,0)</f>
        <v>-1</v>
      </c>
      <c r="R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46556</v>
      </c>
      <c r="T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46656</v>
      </c>
      <c r="U19" s="253">
        <f ca="1">IF(Tabla33610673[[#This Row],[Equity]]&lt;Tabla33610673[[#This Row],[Equity Peak]],(Tabla33610673[[#This Row],[Equity Peak]]-Tabla33610673[[#This Row],[Equity]])/Tabla33610673[[#This Row],[Equity Peak]],"")</f>
        <v>2.1433470507544582E-3</v>
      </c>
      <c r="V19" s="254">
        <f>IF(B19="FX",N19,0)</f>
        <v>0</v>
      </c>
      <c r="W19" s="254">
        <f>IF(D19="O",IF(V19&lt;0,V19,0),0)</f>
        <v>0</v>
      </c>
      <c r="X19" s="254">
        <f>IF(B19="COM",N19,0)</f>
        <v>0</v>
      </c>
      <c r="Y19" s="254">
        <f>IF(D19="O",IF(X19&lt;0,X19,0),0)</f>
        <v>0</v>
      </c>
      <c r="Z19" s="254">
        <f>IF(B19="IND",N19,0)</f>
        <v>-1</v>
      </c>
      <c r="AA19" s="250">
        <f>IF(D19="O",IF(Z19&lt;0,Z19,0),0)</f>
        <v>0</v>
      </c>
      <c r="AB19" s="254">
        <f>IF(B19="CRYPTO",N19,0)</f>
        <v>0</v>
      </c>
      <c r="AC19" s="250">
        <f>IF(D19="O",IF(AB19&lt;0,AB19,0),0)</f>
        <v>0</v>
      </c>
      <c r="AD19" s="255" t="e">
        <f>IF(K19&lt;&gt;"",K19-E19,0)</f>
        <v>#VALUE!</v>
      </c>
      <c r="AE19" s="255">
        <f>IF(N19&gt;0,AD19,0)</f>
        <v>0</v>
      </c>
      <c r="AF19" s="255" t="e">
        <f>IF(N19&lt;0,AD19,0)</f>
        <v>#VALUE!</v>
      </c>
      <c r="AG19" s="255">
        <f>IF(N19=0,AD19,0)</f>
        <v>0</v>
      </c>
    </row>
    <row r="20" spans="1:35" ht="15" customHeight="1" x14ac:dyDescent="0.3">
      <c r="B20" s="196" t="s">
        <v>7</v>
      </c>
      <c r="C20" s="197" t="s">
        <v>15</v>
      </c>
      <c r="D20" s="246" t="str">
        <f>IF(E20&lt;&gt;"",IF(K20&lt;&gt;"","C","O"),"")</f>
        <v>C</v>
      </c>
      <c r="E20" s="199">
        <v>44873.71875</v>
      </c>
      <c r="F20" s="200" t="s">
        <v>114</v>
      </c>
      <c r="G20" s="235">
        <v>1.0042800000000001</v>
      </c>
      <c r="H20" s="235">
        <v>1.0022599999999999</v>
      </c>
      <c r="I20" s="247">
        <f>ABS(G20-H20)</f>
        <v>2.0200000000001328E-3</v>
      </c>
      <c r="J20" s="235">
        <v>1.02217</v>
      </c>
      <c r="K20" s="199" t="s">
        <v>117</v>
      </c>
      <c r="L20" s="235">
        <v>1.0043800000000001</v>
      </c>
      <c r="M20" s="248">
        <f>ROUND(IF(C20="L",(L20-G20),(G20-L20)),4)</f>
        <v>1E-4</v>
      </c>
      <c r="N20" s="249">
        <f>IFERROR(ROUND((M20/I20),2),"")</f>
        <v>0.05</v>
      </c>
      <c r="O20" s="250">
        <f>IF(D20="O",IF(N20&lt;0,N20,0),0)</f>
        <v>0</v>
      </c>
      <c r="P20" s="251">
        <f>IF(N20&gt;= 0,N20,0)</f>
        <v>0.05</v>
      </c>
      <c r="Q20" s="251">
        <f>IF(N20&lt;0,N20,0)</f>
        <v>0</v>
      </c>
      <c r="R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46656</v>
      </c>
      <c r="T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46656</v>
      </c>
      <c r="U2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0" s="254">
        <f>IF(B20="FX",N20,0)</f>
        <v>0.05</v>
      </c>
      <c r="W20" s="254">
        <f>IF(D20="O",IF(V20&lt;0,V20,0),0)</f>
        <v>0</v>
      </c>
      <c r="X20" s="254">
        <f>IF(B20="COM",N20,0)</f>
        <v>0</v>
      </c>
      <c r="Y20" s="254">
        <f>IF(D20="O",IF(X20&lt;0,X20,0),0)</f>
        <v>0</v>
      </c>
      <c r="Z20" s="254">
        <f>IF(B20="IND",N20,0)</f>
        <v>0</v>
      </c>
      <c r="AA20" s="250">
        <f>IF(D20="O",IF(Z20&lt;0,Z20,0),0)</f>
        <v>0</v>
      </c>
      <c r="AB20" s="254">
        <f>IF(B20="CRYPTO",N20,0)</f>
        <v>0</v>
      </c>
      <c r="AC20" s="250">
        <f>IF(D20="O",IF(AB20&lt;0,AB20,0),0)</f>
        <v>0</v>
      </c>
      <c r="AD20" s="255" t="e">
        <f>IF(K20&lt;&gt;"",K20-E20,0)</f>
        <v>#VALUE!</v>
      </c>
      <c r="AE20" s="255" t="e">
        <f>IF(N20&gt;0,AD20,0)</f>
        <v>#VALUE!</v>
      </c>
      <c r="AF20" s="255">
        <f>IF(N20&lt;0,AD20,0)</f>
        <v>0</v>
      </c>
      <c r="AG20" s="255">
        <f>IF(N20=0,AD20,0)</f>
        <v>0</v>
      </c>
    </row>
    <row r="21" spans="1:35" ht="15" customHeight="1" x14ac:dyDescent="0.3">
      <c r="B21" s="196" t="s">
        <v>5</v>
      </c>
      <c r="C21" s="197" t="s">
        <v>15</v>
      </c>
      <c r="D21" s="246" t="str">
        <f>IF(E21&lt;&gt;"",IF(K21&lt;&gt;"","C","O"),"")</f>
        <v>C</v>
      </c>
      <c r="E21" s="199">
        <v>44875.65625</v>
      </c>
      <c r="F21" s="200" t="s">
        <v>92</v>
      </c>
      <c r="G21" s="235">
        <v>11225.2</v>
      </c>
      <c r="H21" s="235">
        <v>11187.43</v>
      </c>
      <c r="I21" s="247">
        <f>ABS(G21-H21)</f>
        <v>37.770000000000437</v>
      </c>
      <c r="J21" s="235">
        <v>11930.16</v>
      </c>
      <c r="K21" s="199">
        <v>44876.688888888886</v>
      </c>
      <c r="L21" s="235">
        <v>11557.87</v>
      </c>
      <c r="M21" s="248">
        <f>ROUND(IF(C21="L",(L21-G21),(G21-L21)),4)</f>
        <v>332.67</v>
      </c>
      <c r="N21" s="249">
        <f>IFERROR(ROUND((M21/I21),2),"")</f>
        <v>8.81</v>
      </c>
      <c r="O21" s="250">
        <f>IF(D21="O",IF(N21&lt;0,N21,0),0)</f>
        <v>0</v>
      </c>
      <c r="P21" s="251">
        <f>IF(N21&gt;= 0,N21,0)</f>
        <v>8.81</v>
      </c>
      <c r="Q21" s="251">
        <f>IF(N21&lt;0,N21,0)</f>
        <v>0</v>
      </c>
      <c r="R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46651</v>
      </c>
      <c r="T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46651</v>
      </c>
      <c r="U2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1" s="254">
        <f>IF(B21="FX",N21,0)</f>
        <v>0</v>
      </c>
      <c r="W21" s="254">
        <f>IF(D21="O",IF(V21&lt;0,V21,0),0)</f>
        <v>0</v>
      </c>
      <c r="X21" s="254">
        <f>IF(B21="COM",N21,0)</f>
        <v>0</v>
      </c>
      <c r="Y21" s="254">
        <f>IF(D21="O",IF(X21&lt;0,X21,0),0)</f>
        <v>0</v>
      </c>
      <c r="Z21" s="254">
        <f>IF(B21="IND",N21,0)</f>
        <v>8.81</v>
      </c>
      <c r="AA21" s="250">
        <f>IF(D21="O",IF(Z21&lt;0,Z21,0),0)</f>
        <v>0</v>
      </c>
      <c r="AB21" s="254">
        <f>IF(B21="CRYPTO",N21,0)</f>
        <v>0</v>
      </c>
      <c r="AC21" s="250">
        <f>IF(D21="O",IF(AB21&lt;0,AB21,0),0)</f>
        <v>0</v>
      </c>
      <c r="AD21" s="255">
        <f>IF(K21&lt;&gt;"",K21-E21,0)</f>
        <v>1.0326388888861402</v>
      </c>
      <c r="AE21" s="255">
        <f>IF(N21&gt;0,AD21,0)</f>
        <v>1.0326388888861402</v>
      </c>
      <c r="AF21" s="255">
        <f>IF(N21&lt;0,AD21,0)</f>
        <v>0</v>
      </c>
      <c r="AG21" s="255">
        <f>IF(N21=0,AD21,0)</f>
        <v>0</v>
      </c>
    </row>
    <row r="22" spans="1:35" ht="15" customHeight="1" x14ac:dyDescent="0.3">
      <c r="B22" s="196" t="s">
        <v>5</v>
      </c>
      <c r="C22" s="197" t="s">
        <v>15</v>
      </c>
      <c r="D22" s="246" t="str">
        <f>IF(E22&lt;&gt;"",IF(K22&lt;&gt;"","C","O"),"")</f>
        <v>C</v>
      </c>
      <c r="E22" s="199">
        <v>44875.65625</v>
      </c>
      <c r="F22" s="200" t="s">
        <v>93</v>
      </c>
      <c r="G22" s="235">
        <v>3863.92</v>
      </c>
      <c r="H22" s="235">
        <v>3851.63</v>
      </c>
      <c r="I22" s="247">
        <f>ABS(G22-H22)</f>
        <v>12.289999999999964</v>
      </c>
      <c r="J22" s="235">
        <v>3994.98</v>
      </c>
      <c r="K22" s="199">
        <v>44876.688888888886</v>
      </c>
      <c r="L22" s="235">
        <v>3953.49</v>
      </c>
      <c r="M22" s="248">
        <f>ROUND(IF(C22="L",(L22-G22),(G22-L22)),4)</f>
        <v>89.57</v>
      </c>
      <c r="N22" s="249">
        <f>IFERROR(ROUND((M22/I22),2),"")</f>
        <v>7.29</v>
      </c>
      <c r="O22" s="250">
        <f>IF(D22="O",IF(N22&lt;0,N22,0),0)</f>
        <v>0</v>
      </c>
      <c r="P22" s="251">
        <f>IF(N22&gt;= 0,N22,0)</f>
        <v>7.29</v>
      </c>
      <c r="Q22" s="251">
        <f>IF(N22&lt;0,N22,0)</f>
        <v>0</v>
      </c>
      <c r="R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45770</v>
      </c>
      <c r="T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2" s="253">
        <f ca="1">IF(Tabla33610673[[#This Row],[Equity]]&lt;Tabla33610673[[#This Row],[Equity Peak]],(Tabla33610673[[#This Row],[Equity Peak]]-Tabla33610673[[#This Row],[Equity]])/Tabla33610673[[#This Row],[Equity Peak]],"")</f>
        <v>6.4471313521609827E-3</v>
      </c>
      <c r="V22" s="254">
        <f>IF(B22="FX",N22,0)</f>
        <v>0</v>
      </c>
      <c r="W22" s="254">
        <f>IF(D22="O",IF(V22&lt;0,V22,0),0)</f>
        <v>0</v>
      </c>
      <c r="X22" s="254">
        <f>IF(B22="COM",N22,0)</f>
        <v>0</v>
      </c>
      <c r="Y22" s="254">
        <f>IF(D22="O",IF(X22&lt;0,X22,0),0)</f>
        <v>0</v>
      </c>
      <c r="Z22" s="254">
        <f>IF(B22="IND",N22,0)</f>
        <v>7.29</v>
      </c>
      <c r="AA22" s="250">
        <f>IF(D22="O",IF(Z22&lt;0,Z22,0),0)</f>
        <v>0</v>
      </c>
      <c r="AB22" s="254">
        <f>IF(B22="CRYPTO",N22,0)</f>
        <v>0</v>
      </c>
      <c r="AC22" s="250">
        <f>IF(D22="O",IF(AB22&lt;0,AB22,0),0)</f>
        <v>0</v>
      </c>
      <c r="AD22" s="255">
        <f>IF(K22&lt;&gt;"",K22-E22,0)</f>
        <v>1.0326388888861402</v>
      </c>
      <c r="AE22" s="255">
        <f>IF(N22&gt;0,AD22,0)</f>
        <v>1.0326388888861402</v>
      </c>
      <c r="AF22" s="255">
        <f>IF(N22&lt;0,AD22,0)</f>
        <v>0</v>
      </c>
      <c r="AG22" s="255">
        <f>IF(N22=0,AD22,0)</f>
        <v>0</v>
      </c>
    </row>
    <row r="23" spans="1:35" ht="15" customHeight="1" x14ac:dyDescent="0.3">
      <c r="B23" s="196" t="s">
        <v>7</v>
      </c>
      <c r="C23" s="197" t="s">
        <v>13</v>
      </c>
      <c r="D23" s="246" t="str">
        <f>IF(E23&lt;&gt;"",IF(K23&lt;&gt;"","C","O"),"")</f>
        <v>C</v>
      </c>
      <c r="E23" s="199">
        <v>44876.510416666664</v>
      </c>
      <c r="F23" s="200" t="s">
        <v>115</v>
      </c>
      <c r="G23" s="235">
        <v>163.78200000000001</v>
      </c>
      <c r="H23" s="235">
        <v>164.58500000000001</v>
      </c>
      <c r="I23" s="247">
        <f>ABS(G23-H23)</f>
        <v>0.80299999999999727</v>
      </c>
      <c r="J23" s="235">
        <v>161.48699999999999</v>
      </c>
      <c r="K23" s="199">
        <v>44876.60833333333</v>
      </c>
      <c r="L23" s="235">
        <v>164.34800000000001</v>
      </c>
      <c r="M23" s="248">
        <f>ROUND(IF(C23="L",(L23-G23),(G23-L23)),4)</f>
        <v>-0.56599999999999995</v>
      </c>
      <c r="N23" s="249">
        <f>IFERROR(ROUND((M23/I23),2),"")</f>
        <v>-0.7</v>
      </c>
      <c r="O23" s="250">
        <f>IF(D23="O",IF(N23&lt;0,N23,0),0)</f>
        <v>0</v>
      </c>
      <c r="P23" s="251">
        <f>IF(N23&gt;= 0,N23,0)</f>
        <v>0</v>
      </c>
      <c r="Q23" s="251">
        <f>IF(N23&lt;0,N23,0)</f>
        <v>-0.7</v>
      </c>
      <c r="R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45041</v>
      </c>
      <c r="T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3" s="253">
        <f ca="1">IF(Tabla33610673[[#This Row],[Equity]]&lt;Tabla33610673[[#This Row],[Equity Peak]],(Tabla33610673[[#This Row],[Equity Peak]]-Tabla33610673[[#This Row],[Equity]])/Tabla33610673[[#This Row],[Equity Peak]],"")</f>
        <v>2.2271908307465213E-2</v>
      </c>
      <c r="V23" s="254">
        <f>IF(B23="FX",N23,0)</f>
        <v>-0.7</v>
      </c>
      <c r="W23" s="254">
        <f>IF(D23="O",IF(V23&lt;0,V23,0),0)</f>
        <v>0</v>
      </c>
      <c r="X23" s="254">
        <f>IF(B23="COM",N23,0)</f>
        <v>0</v>
      </c>
      <c r="Y23" s="254">
        <f>IF(D23="O",IF(X23&lt;0,X23,0),0)</f>
        <v>0</v>
      </c>
      <c r="Z23" s="254">
        <f>IF(B23="IND",N23,0)</f>
        <v>0</v>
      </c>
      <c r="AA23" s="250">
        <f>IF(D23="O",IF(Z23&lt;0,Z23,0),0)</f>
        <v>0</v>
      </c>
      <c r="AB23" s="254">
        <f>IF(B23="CRYPTO",N23,0)</f>
        <v>0</v>
      </c>
      <c r="AC23" s="250">
        <f>IF(D23="O",IF(AB23&lt;0,AB23,0),0)</f>
        <v>0</v>
      </c>
      <c r="AD23" s="255">
        <f>IF(K23&lt;&gt;"",K23-E23,0)</f>
        <v>9.7916666665696539E-2</v>
      </c>
      <c r="AE23" s="255">
        <f>IF(N23&gt;0,AD23,0)</f>
        <v>0</v>
      </c>
      <c r="AF23" s="255">
        <f>IF(N23&lt;0,AD23,0)</f>
        <v>9.7916666665696539E-2</v>
      </c>
      <c r="AG23" s="255">
        <f>IF(N23=0,AD23,0)</f>
        <v>0</v>
      </c>
    </row>
    <row r="24" spans="1:35" ht="15" customHeight="1" x14ac:dyDescent="0.3">
      <c r="B24" s="196" t="s">
        <v>5</v>
      </c>
      <c r="C24" s="197" t="s">
        <v>15</v>
      </c>
      <c r="D24" s="246" t="str">
        <f>IF(E24&lt;&gt;"",IF(K24&lt;&gt;"","C","O"),"")</f>
        <v>C</v>
      </c>
      <c r="E24" s="199">
        <v>44876.28125</v>
      </c>
      <c r="F24" s="200" t="s">
        <v>91</v>
      </c>
      <c r="G24" s="235">
        <v>14231.04</v>
      </c>
      <c r="H24" s="235">
        <v>14197.46</v>
      </c>
      <c r="I24" s="247">
        <f>ABS(G24-H24)</f>
        <v>33.580000000001746</v>
      </c>
      <c r="J24" s="235">
        <v>14857.93</v>
      </c>
      <c r="K24" s="199">
        <v>44876.417361111111</v>
      </c>
      <c r="L24" s="235">
        <v>14199.94</v>
      </c>
      <c r="M24" s="248">
        <f>ROUND(IF(C24="L",(L24-G24),(G24-L24)),4)</f>
        <v>-31.1</v>
      </c>
      <c r="N24" s="249">
        <f>IFERROR(ROUND((M24/I24),2),"")</f>
        <v>-0.93</v>
      </c>
      <c r="O24" s="250">
        <f>IF(D24="O",IF(N24&lt;0,N24,0),0)</f>
        <v>0</v>
      </c>
      <c r="P24" s="251">
        <f>IF(N24&gt;= 0,N24,0)</f>
        <v>0</v>
      </c>
      <c r="Q24" s="251">
        <f>IF(N24&lt;0,N24,0)</f>
        <v>-0.93</v>
      </c>
      <c r="R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45111</v>
      </c>
      <c r="T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4" s="253">
        <f ca="1">IF(Tabla33610673[[#This Row],[Equity]]&lt;Tabla33610673[[#This Row],[Equity Peak]],(Tabla33610673[[#This Row],[Equity Peak]]-Tabla33610673[[#This Row],[Equity]])/Tabla33610673[[#This Row],[Equity Peak]],"")</f>
        <v>2.0752382399548484E-2</v>
      </c>
      <c r="V24" s="254">
        <f>IF(B24="FX",N24,0)</f>
        <v>0</v>
      </c>
      <c r="W24" s="254">
        <f>IF(D24="O",IF(V24&lt;0,V24,0),0)</f>
        <v>0</v>
      </c>
      <c r="X24" s="254">
        <f>IF(B24="COM",N24,0)</f>
        <v>0</v>
      </c>
      <c r="Y24" s="254">
        <f>IF(D24="O",IF(X24&lt;0,X24,0),0)</f>
        <v>0</v>
      </c>
      <c r="Z24" s="254">
        <f>IF(B24="IND",N24,0)</f>
        <v>-0.93</v>
      </c>
      <c r="AA24" s="250">
        <f>IF(D24="O",IF(Z24&lt;0,Z24,0),0)</f>
        <v>0</v>
      </c>
      <c r="AB24" s="254">
        <f>IF(B24="CRYPTO",N24,0)</f>
        <v>0</v>
      </c>
      <c r="AC24" s="250">
        <f>IF(D24="O",IF(AB24&lt;0,AB24,0),0)</f>
        <v>0</v>
      </c>
      <c r="AD24" s="255">
        <f>IF(K24&lt;&gt;"",K24-E24,0)</f>
        <v>0.13611111111094942</v>
      </c>
      <c r="AE24" s="255">
        <f>IF(N24&gt;0,AD24,0)</f>
        <v>0</v>
      </c>
      <c r="AF24" s="255">
        <f>IF(N24&lt;0,AD24,0)</f>
        <v>0.13611111111094942</v>
      </c>
      <c r="AG24" s="255">
        <f>IF(N24=0,AD24,0)</f>
        <v>0</v>
      </c>
    </row>
    <row r="25" spans="1:35" ht="15" customHeight="1" x14ac:dyDescent="0.3">
      <c r="B25" s="196" t="s">
        <v>7</v>
      </c>
      <c r="C25" s="197" t="s">
        <v>13</v>
      </c>
      <c r="D25" s="246" t="str">
        <f>IF(E25&lt;&gt;"",IF(K25&lt;&gt;"","C","O"),"")</f>
        <v>C</v>
      </c>
      <c r="E25" s="199">
        <v>44875.697916666664</v>
      </c>
      <c r="F25" s="200" t="s">
        <v>115</v>
      </c>
      <c r="G25" s="235">
        <v>165.649</v>
      </c>
      <c r="H25" s="235">
        <v>166.36</v>
      </c>
      <c r="I25" s="247">
        <f>ABS(G25-H25)</f>
        <v>0.71100000000001273</v>
      </c>
      <c r="J25" s="235">
        <v>163.61799999999999</v>
      </c>
      <c r="K25" s="199">
        <v>44876.024305555555</v>
      </c>
      <c r="L25" s="235">
        <v>165.67099999999999</v>
      </c>
      <c r="M25" s="248">
        <f>ROUND(IF(C25="L",(L25-G25),(G25-L25)),4)</f>
        <v>-2.1999999999999999E-2</v>
      </c>
      <c r="N25" s="249">
        <f>IFERROR(ROUND((M25/I25),2),"")</f>
        <v>-0.03</v>
      </c>
      <c r="O25" s="250">
        <f>IF(D25="O",IF(N25&lt;0,N25,0),0)</f>
        <v>0</v>
      </c>
      <c r="P25" s="251">
        <f>IF(N25&gt;= 0,N25,0)</f>
        <v>0</v>
      </c>
      <c r="Q25" s="251">
        <f>IF(N25&lt;0,N25,0)</f>
        <v>-0.03</v>
      </c>
      <c r="R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45204</v>
      </c>
      <c r="T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5" s="253">
        <f ca="1">IF(Tabla33610673[[#This Row],[Equity]]&lt;Tabla33610673[[#This Row],[Equity Peak]],(Tabla33610673[[#This Row],[Equity Peak]]-Tabla33610673[[#This Row],[Equity]])/Tabla33610673[[#This Row],[Equity Peak]],"")</f>
        <v>1.8733583693316257E-2</v>
      </c>
      <c r="V25" s="254">
        <f>IF(B25="FX",N25,0)</f>
        <v>-0.03</v>
      </c>
      <c r="W25" s="254">
        <f>IF(D25="O",IF(V25&lt;0,V25,0),0)</f>
        <v>0</v>
      </c>
      <c r="X25" s="254">
        <f>IF(B25="COM",N25,0)</f>
        <v>0</v>
      </c>
      <c r="Y25" s="254">
        <f>IF(D25="O",IF(X25&lt;0,X25,0),0)</f>
        <v>0</v>
      </c>
      <c r="Z25" s="254">
        <f>IF(B25="IND",N25,0)</f>
        <v>0</v>
      </c>
      <c r="AA25" s="250">
        <f>IF(D25="O",IF(Z25&lt;0,Z25,0),0)</f>
        <v>0</v>
      </c>
      <c r="AB25" s="254">
        <f>IF(B25="CRYPTO",N25,0)</f>
        <v>0</v>
      </c>
      <c r="AC25" s="250">
        <f>IF(D25="O",IF(AB25&lt;0,AB25,0),0)</f>
        <v>0</v>
      </c>
      <c r="AD25" s="255">
        <f>IF(K25&lt;&gt;"",K25-E25,0)</f>
        <v>0.32638888889050577</v>
      </c>
      <c r="AE25" s="255">
        <f>IF(N25&gt;0,AD25,0)</f>
        <v>0</v>
      </c>
      <c r="AF25" s="255">
        <f>IF(N25&lt;0,AD25,0)</f>
        <v>0.32638888889050577</v>
      </c>
      <c r="AG25" s="255">
        <f>IF(N25=0,AD25,0)</f>
        <v>0</v>
      </c>
    </row>
    <row r="26" spans="1:35" ht="15" customHeight="1" x14ac:dyDescent="0.3">
      <c r="B26" s="196" t="s">
        <v>5</v>
      </c>
      <c r="C26" s="197" t="s">
        <v>15</v>
      </c>
      <c r="D26" s="246" t="str">
        <f>IF(E26&lt;&gt;"",IF(K26&lt;&gt;"","C","O"),"")</f>
        <v>C</v>
      </c>
      <c r="E26" s="199">
        <v>44875.770833333336</v>
      </c>
      <c r="F26" s="200" t="s">
        <v>91</v>
      </c>
      <c r="G26" s="235">
        <v>14162.92</v>
      </c>
      <c r="H26" s="235">
        <v>14128.05</v>
      </c>
      <c r="I26" s="247">
        <f>ABS(G26-H26)</f>
        <v>34.8700000000008</v>
      </c>
      <c r="J26" s="235">
        <v>14813.81</v>
      </c>
      <c r="K26" s="199">
        <v>44875.808333333334</v>
      </c>
      <c r="L26" s="235">
        <v>14128.05</v>
      </c>
      <c r="M26" s="248">
        <f>ROUND(IF(C26="L",(L26-G26),(G26-L26)),4)</f>
        <v>-34.869999999999997</v>
      </c>
      <c r="N26" s="249">
        <f>IFERROR(ROUND((M26/I26),2),"")</f>
        <v>-1</v>
      </c>
      <c r="O26" s="250">
        <f>IF(D26="O",IF(N26&lt;0,N26,0),0)</f>
        <v>0</v>
      </c>
      <c r="P26" s="251">
        <f>IF(N26&gt;= 0,N26,0)</f>
        <v>0</v>
      </c>
      <c r="Q26" s="251">
        <f>IF(N26&lt;0,N26,0)</f>
        <v>-1</v>
      </c>
      <c r="R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45207</v>
      </c>
      <c r="T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6" s="253">
        <f ca="1">IF(Tabla33610673[[#This Row],[Equity]]&lt;Tabla33610673[[#This Row],[Equity Peak]],(Tabla33610673[[#This Row],[Equity Peak]]-Tabla33610673[[#This Row],[Equity]])/Tabla33610673[[#This Row],[Equity Peak]],"")</f>
        <v>1.8668461154405541E-2</v>
      </c>
      <c r="V26" s="254">
        <f>IF(B26="FX",N26,0)</f>
        <v>0</v>
      </c>
      <c r="W26" s="254">
        <f>IF(D26="O",IF(V26&lt;0,V26,0),0)</f>
        <v>0</v>
      </c>
      <c r="X26" s="254">
        <f>IF(B26="COM",N26,0)</f>
        <v>0</v>
      </c>
      <c r="Y26" s="254">
        <f>IF(D26="O",IF(X26&lt;0,X26,0),0)</f>
        <v>0</v>
      </c>
      <c r="Z26" s="254">
        <f>IF(B26="IND",N26,0)</f>
        <v>-1</v>
      </c>
      <c r="AA26" s="250">
        <f>IF(D26="O",IF(Z26&lt;0,Z26,0),0)</f>
        <v>0</v>
      </c>
      <c r="AB26" s="254">
        <f>IF(B26="CRYPTO",N26,0)</f>
        <v>0</v>
      </c>
      <c r="AC26" s="250">
        <f>IF(D26="O",IF(AB26&lt;0,AB26,0),0)</f>
        <v>0</v>
      </c>
      <c r="AD26" s="255">
        <f>IF(K26&lt;&gt;"",K26-E26,0)</f>
        <v>3.7499999998544808E-2</v>
      </c>
      <c r="AE26" s="255">
        <f>IF(N26&gt;0,AD26,0)</f>
        <v>0</v>
      </c>
      <c r="AF26" s="255">
        <f>IF(N26&lt;0,AD26,0)</f>
        <v>3.7499999998544808E-2</v>
      </c>
      <c r="AG26" s="255">
        <f>IF(N26=0,AD26,0)</f>
        <v>0</v>
      </c>
    </row>
    <row r="27" spans="1:35" ht="15" customHeight="1" x14ac:dyDescent="0.3">
      <c r="B27" s="196" t="s">
        <v>5</v>
      </c>
      <c r="C27" s="197" t="s">
        <v>15</v>
      </c>
      <c r="D27" s="246" t="str">
        <f>IF(E27&lt;&gt;"",IF(K27&lt;&gt;"","C","O"),"")</f>
        <v>C</v>
      </c>
      <c r="E27" s="199">
        <v>44875.729166666664</v>
      </c>
      <c r="F27" s="200" t="s">
        <v>91</v>
      </c>
      <c r="G27" s="235">
        <v>14148.92</v>
      </c>
      <c r="H27" s="235">
        <v>14114.93</v>
      </c>
      <c r="I27" s="247">
        <f>ABS(G27-H27)</f>
        <v>33.989999999999782</v>
      </c>
      <c r="J27" s="235">
        <v>14798.31</v>
      </c>
      <c r="K27" s="199">
        <v>44875.731249999997</v>
      </c>
      <c r="L27" s="235">
        <v>14113.72</v>
      </c>
      <c r="M27" s="248">
        <f>ROUND(IF(C27="L",(L27-G27),(G27-L27)),4)</f>
        <v>-35.200000000000003</v>
      </c>
      <c r="N27" s="249">
        <f>IFERROR(ROUND((M27/I27),2),"")</f>
        <v>-1.04</v>
      </c>
      <c r="O27" s="250">
        <f>IF(D27="O",IF(N27&lt;0,N27,0),0)</f>
        <v>0</v>
      </c>
      <c r="P27" s="251">
        <f>IF(N27&gt;= 0,N27,0)</f>
        <v>0</v>
      </c>
      <c r="Q27" s="251">
        <f>IF(N27&lt;0,N27,0)</f>
        <v>-1.04</v>
      </c>
      <c r="R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45307</v>
      </c>
      <c r="T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7" s="253">
        <f ca="1">IF(Tabla33610673[[#This Row],[Equity]]&lt;Tabla33610673[[#This Row],[Equity Peak]],(Tabla33610673[[#This Row],[Equity Peak]]-Tabla33610673[[#This Row],[Equity]])/Tabla33610673[[#This Row],[Equity Peak]],"")</f>
        <v>1.6497709857381641E-2</v>
      </c>
      <c r="V27" s="254">
        <f>IF(B27="FX",N27,0)</f>
        <v>0</v>
      </c>
      <c r="W27" s="254">
        <f>IF(D27="O",IF(V27&lt;0,V27,0),0)</f>
        <v>0</v>
      </c>
      <c r="X27" s="254">
        <f>IF(B27="COM",N27,0)</f>
        <v>0</v>
      </c>
      <c r="Y27" s="254">
        <f>IF(D27="O",IF(X27&lt;0,X27,0),0)</f>
        <v>0</v>
      </c>
      <c r="Z27" s="254">
        <f>IF(B27="IND",N27,0)</f>
        <v>-1.04</v>
      </c>
      <c r="AA27" s="250">
        <f>IF(D27="O",IF(Z27&lt;0,Z27,0),0)</f>
        <v>0</v>
      </c>
      <c r="AB27" s="254">
        <f>IF(B27="CRYPTO",N27,0)</f>
        <v>0</v>
      </c>
      <c r="AC27" s="250">
        <f>IF(D27="O",IF(AB27&lt;0,AB27,0),0)</f>
        <v>0</v>
      </c>
      <c r="AD27" s="255">
        <f>IF(K27&lt;&gt;"",K27-E27,0)</f>
        <v>2.0833333328482695E-3</v>
      </c>
      <c r="AE27" s="255">
        <f>IF(N27&gt;0,AD27,0)</f>
        <v>0</v>
      </c>
      <c r="AF27" s="255">
        <f>IF(N27&lt;0,AD27,0)</f>
        <v>2.0833333328482695E-3</v>
      </c>
      <c r="AG27" s="255">
        <f>IF(N27=0,AD27,0)</f>
        <v>0</v>
      </c>
    </row>
    <row r="28" spans="1:35" ht="15" customHeight="1" x14ac:dyDescent="0.3">
      <c r="B28" s="196" t="s">
        <v>5</v>
      </c>
      <c r="C28" s="197" t="s">
        <v>15</v>
      </c>
      <c r="D28" s="246" t="str">
        <f>IF(E28&lt;&gt;"",IF(K28&lt;&gt;"","C","O"),"")</f>
        <v>C</v>
      </c>
      <c r="E28" s="199">
        <v>44875.65625</v>
      </c>
      <c r="F28" s="200" t="s">
        <v>91</v>
      </c>
      <c r="G28" s="235">
        <v>14036.92</v>
      </c>
      <c r="H28" s="235">
        <v>14003.8</v>
      </c>
      <c r="I28" s="247">
        <f>ABS(G28-H28)</f>
        <v>33.1200000000008</v>
      </c>
      <c r="J28" s="235">
        <v>14655.21</v>
      </c>
      <c r="K28" s="199">
        <v>44875.661111111112</v>
      </c>
      <c r="L28" s="235">
        <v>14003.8</v>
      </c>
      <c r="M28" s="248">
        <f>ROUND(IF(C28="L",(L28-G28),(G28-L28)),4)</f>
        <v>-33.119999999999997</v>
      </c>
      <c r="N28" s="249">
        <f>IFERROR(ROUND((M28/I28),2),"")</f>
        <v>-1</v>
      </c>
      <c r="O28" s="250">
        <f>IF(D28="O",IF(N28&lt;0,N28,0),0)</f>
        <v>0</v>
      </c>
      <c r="P28" s="251">
        <f>IF(N28&gt;= 0,N28,0)</f>
        <v>0</v>
      </c>
      <c r="Q28" s="251">
        <f>IF(N28&lt;0,N28,0)</f>
        <v>-1</v>
      </c>
      <c r="R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45411</v>
      </c>
      <c r="T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8" s="253">
        <f ca="1">IF(Tabla33610673[[#This Row],[Equity]]&lt;Tabla33610673[[#This Row],[Equity Peak]],(Tabla33610673[[#This Row],[Equity Peak]]-Tabla33610673[[#This Row],[Equity]])/Tabla33610673[[#This Row],[Equity Peak]],"")</f>
        <v>1.4240128508476784E-2</v>
      </c>
      <c r="V28" s="254">
        <f>IF(B28="FX",N28,0)</f>
        <v>0</v>
      </c>
      <c r="W28" s="254">
        <f>IF(D28="O",IF(V28&lt;0,V28,0),0)</f>
        <v>0</v>
      </c>
      <c r="X28" s="254">
        <f>IF(B28="COM",N28,0)</f>
        <v>0</v>
      </c>
      <c r="Y28" s="254">
        <f>IF(D28="O",IF(X28&lt;0,X28,0),0)</f>
        <v>0</v>
      </c>
      <c r="Z28" s="254">
        <f>IF(B28="IND",N28,0)</f>
        <v>-1</v>
      </c>
      <c r="AA28" s="250">
        <f>IF(D28="O",IF(Z28&lt;0,Z28,0),0)</f>
        <v>0</v>
      </c>
      <c r="AB28" s="254">
        <f>IF(B28="CRYPTO",N28,0)</f>
        <v>0</v>
      </c>
      <c r="AC28" s="250">
        <f>IF(D28="O",IF(AB28&lt;0,AB28,0),0)</f>
        <v>0</v>
      </c>
      <c r="AD28" s="255">
        <f>IF(K28&lt;&gt;"",K28-E28,0)</f>
        <v>4.8611111124046147E-3</v>
      </c>
      <c r="AE28" s="255">
        <f>IF(N28&gt;0,AD28,0)</f>
        <v>0</v>
      </c>
      <c r="AF28" s="255">
        <f>IF(N28&lt;0,AD28,0)</f>
        <v>4.8611111124046147E-3</v>
      </c>
      <c r="AG28" s="255">
        <f>IF(N28=0,AD28,0)</f>
        <v>0</v>
      </c>
    </row>
    <row r="29" spans="1:35" ht="15" customHeight="1" x14ac:dyDescent="0.3">
      <c r="B29" s="196" t="s">
        <v>7</v>
      </c>
      <c r="C29" s="197" t="s">
        <v>13</v>
      </c>
      <c r="D29" s="246" t="str">
        <f>IF(E29&lt;&gt;"",IF(K29&lt;&gt;"","C","O"),"")</f>
        <v>C</v>
      </c>
      <c r="E29" s="199">
        <v>44874.739583333336</v>
      </c>
      <c r="F29" s="200" t="s">
        <v>115</v>
      </c>
      <c r="G29" s="235">
        <v>166.292</v>
      </c>
      <c r="H29" s="235">
        <v>166.95500000000001</v>
      </c>
      <c r="I29" s="247">
        <f>ABS(G29-H29)</f>
        <v>0.66300000000001091</v>
      </c>
      <c r="J29" s="235">
        <v>164.39699999999999</v>
      </c>
      <c r="K29" s="199">
        <v>44875.513194444444</v>
      </c>
      <c r="L29" s="235">
        <v>166.87100000000001</v>
      </c>
      <c r="M29" s="248">
        <f>ROUND(IF(C29="L",(L29-G29),(G29-L29)),4)</f>
        <v>-0.57899999999999996</v>
      </c>
      <c r="N29" s="249">
        <f>IFERROR(ROUND((M29/I29),2),"")</f>
        <v>-0.87</v>
      </c>
      <c r="O29" s="250">
        <f>IF(D29="O",IF(N29&lt;0,N29,0),0)</f>
        <v>0</v>
      </c>
      <c r="P29" s="251">
        <f>IF(N29&gt;= 0,N29,0)</f>
        <v>0</v>
      </c>
      <c r="Q29" s="251">
        <f>IF(N29&lt;0,N29,0)</f>
        <v>-0.87</v>
      </c>
      <c r="R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45511</v>
      </c>
      <c r="T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29" s="253">
        <f ca="1">IF(Tabla33610673[[#This Row],[Equity]]&lt;Tabla33610673[[#This Row],[Equity Peak]],(Tabla33610673[[#This Row],[Equity Peak]]-Tabla33610673[[#This Row],[Equity]])/Tabla33610673[[#This Row],[Equity Peak]],"")</f>
        <v>1.2069377211452884E-2</v>
      </c>
      <c r="V29" s="254">
        <f>IF(B29="FX",N29,0)</f>
        <v>-0.87</v>
      </c>
      <c r="W29" s="254">
        <f>IF(D29="O",IF(V29&lt;0,V29,0),0)</f>
        <v>0</v>
      </c>
      <c r="X29" s="254">
        <f>IF(B29="COM",N29,0)</f>
        <v>0</v>
      </c>
      <c r="Y29" s="254">
        <f>IF(D29="O",IF(X29&lt;0,X29,0),0)</f>
        <v>0</v>
      </c>
      <c r="Z29" s="254">
        <f>IF(B29="IND",N29,0)</f>
        <v>0</v>
      </c>
      <c r="AA29" s="250">
        <f>IF(D29="O",IF(Z29&lt;0,Z29,0),0)</f>
        <v>0</v>
      </c>
      <c r="AB29" s="254">
        <f>IF(B29="CRYPTO",N29,0)</f>
        <v>0</v>
      </c>
      <c r="AC29" s="250">
        <f>IF(D29="O",IF(AB29&lt;0,AB29,0),0)</f>
        <v>0</v>
      </c>
      <c r="AD29" s="255">
        <f>IF(K29&lt;&gt;"",K29-E29,0)</f>
        <v>0.77361111110803904</v>
      </c>
      <c r="AE29" s="255">
        <f>IF(N29&gt;0,AD29,0)</f>
        <v>0</v>
      </c>
      <c r="AF29" s="255">
        <f>IF(N29&lt;0,AD29,0)</f>
        <v>0.77361111110803904</v>
      </c>
      <c r="AG29" s="255">
        <f>IF(N29=0,AD29,0)</f>
        <v>0</v>
      </c>
    </row>
    <row r="30" spans="1:35" ht="15" customHeight="1" x14ac:dyDescent="0.3">
      <c r="B30" s="196" t="s">
        <v>5</v>
      </c>
      <c r="C30" s="197" t="s">
        <v>13</v>
      </c>
      <c r="D30" s="246" t="str">
        <f>IF(E30&lt;&gt;"",IF(K30&lt;&gt;"","C","O"),"")</f>
        <v>C</v>
      </c>
      <c r="E30" s="199">
        <v>44874.947916666664</v>
      </c>
      <c r="F30" s="200" t="s">
        <v>93</v>
      </c>
      <c r="G30" s="235">
        <v>3747.34</v>
      </c>
      <c r="H30" s="235">
        <v>3759.63</v>
      </c>
      <c r="I30" s="247">
        <f>ABS(G30-H30)</f>
        <v>12.289999999999964</v>
      </c>
      <c r="J30" s="235">
        <v>3616.28</v>
      </c>
      <c r="K30" s="199">
        <v>44875.443749999999</v>
      </c>
      <c r="L30" s="235">
        <v>3759.42</v>
      </c>
      <c r="M30" s="248">
        <f>ROUND(IF(C30="L",(L30-G30),(G30-L30)),4)</f>
        <v>-12.08</v>
      </c>
      <c r="N30" s="249">
        <f>IFERROR(ROUND((M30/I30),2),"")</f>
        <v>-0.98</v>
      </c>
      <c r="O30" s="250">
        <f>IF(D30="O",IF(N30&lt;0,N30,0),0)</f>
        <v>0</v>
      </c>
      <c r="P30" s="251">
        <f>IF(N30&gt;= 0,N30,0)</f>
        <v>0</v>
      </c>
      <c r="Q30" s="251">
        <f>IF(N30&lt;0,N30,0)</f>
        <v>-0.98</v>
      </c>
      <c r="R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45598</v>
      </c>
      <c r="T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0" s="253">
        <f ca="1">IF(Tabla33610673[[#This Row],[Equity]]&lt;Tabla33610673[[#This Row],[Equity Peak]],(Tabla33610673[[#This Row],[Equity Peak]]-Tabla33610673[[#This Row],[Equity]])/Tabla33610673[[#This Row],[Equity Peak]],"")</f>
        <v>1.0180823583042091E-2</v>
      </c>
      <c r="V30" s="254">
        <f>IF(B30="FX",N30,0)</f>
        <v>0</v>
      </c>
      <c r="W30" s="254">
        <f>IF(D30="O",IF(V30&lt;0,V30,0),0)</f>
        <v>0</v>
      </c>
      <c r="X30" s="254">
        <f>IF(B30="COM",N30,0)</f>
        <v>0</v>
      </c>
      <c r="Y30" s="254">
        <f>IF(D30="O",IF(X30&lt;0,X30,0),0)</f>
        <v>0</v>
      </c>
      <c r="Z30" s="254">
        <f>IF(B30="IND",N30,0)</f>
        <v>-0.98</v>
      </c>
      <c r="AA30" s="250">
        <f>IF(D30="O",IF(Z30&lt;0,Z30,0),0)</f>
        <v>0</v>
      </c>
      <c r="AB30" s="254">
        <f>IF(B30="CRYPTO",N30,0)</f>
        <v>0</v>
      </c>
      <c r="AC30" s="250">
        <f>IF(D30="O",IF(AB30&lt;0,AB30,0),0)</f>
        <v>0</v>
      </c>
      <c r="AD30" s="255">
        <f>IF(K30&lt;&gt;"",K30-E30,0)</f>
        <v>0.49583333333430346</v>
      </c>
      <c r="AE30" s="255">
        <f>IF(N30&gt;0,AD30,0)</f>
        <v>0</v>
      </c>
      <c r="AF30" s="255">
        <f>IF(N30&lt;0,AD30,0)</f>
        <v>0.49583333333430346</v>
      </c>
      <c r="AG30" s="255">
        <f>IF(N30=0,AD30,0)</f>
        <v>0</v>
      </c>
    </row>
    <row r="31" spans="1:35" ht="15" customHeight="1" x14ac:dyDescent="0.3">
      <c r="B31" s="196" t="s">
        <v>5</v>
      </c>
      <c r="C31" s="197" t="s">
        <v>13</v>
      </c>
      <c r="D31" s="246" t="str">
        <f>IF(E31&lt;&gt;"",IF(K31&lt;&gt;"","C","O"),"")</f>
        <v>C</v>
      </c>
      <c r="E31" s="199">
        <v>44874.958333333336</v>
      </c>
      <c r="F31" s="200" t="s">
        <v>92</v>
      </c>
      <c r="G31" s="235">
        <v>10796.39</v>
      </c>
      <c r="H31" s="235">
        <v>10844.52</v>
      </c>
      <c r="I31" s="247">
        <f>ABS(G31-H31)</f>
        <v>48.130000000001019</v>
      </c>
      <c r="J31" s="235">
        <v>9898</v>
      </c>
      <c r="K31" s="199">
        <v>44875.128472222219</v>
      </c>
      <c r="L31" s="235">
        <v>10847.15</v>
      </c>
      <c r="M31" s="248">
        <f>ROUND(IF(C31="L",(L31-G31),(G31-L31)),4)</f>
        <v>-50.76</v>
      </c>
      <c r="N31" s="249">
        <f>IFERROR(ROUND((M31/I31),2),"")</f>
        <v>-1.05</v>
      </c>
      <c r="O31" s="250">
        <f>IF(D31="O",IF(N31&lt;0,N31,0),0)</f>
        <v>0</v>
      </c>
      <c r="P31" s="251">
        <f>IF(N31&gt;= 0,N31,0)</f>
        <v>0</v>
      </c>
      <c r="Q31" s="251">
        <f>IF(N31&lt;0,N31,0)</f>
        <v>-1.05</v>
      </c>
      <c r="R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45696</v>
      </c>
      <c r="T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1" s="253">
        <f ca="1">IF(Tabla33610673[[#This Row],[Equity]]&lt;Tabla33610673[[#This Row],[Equity Peak]],(Tabla33610673[[#This Row],[Equity Peak]]-Tabla33610673[[#This Row],[Equity]])/Tabla33610673[[#This Row],[Equity Peak]],"")</f>
        <v>8.0534873119586688E-3</v>
      </c>
      <c r="V31" s="254">
        <f>IF(B31="FX",N31,0)</f>
        <v>0</v>
      </c>
      <c r="W31" s="254">
        <f>IF(D31="O",IF(V31&lt;0,V31,0),0)</f>
        <v>0</v>
      </c>
      <c r="X31" s="254">
        <f>IF(B31="COM",N31,0)</f>
        <v>0</v>
      </c>
      <c r="Y31" s="254">
        <f>IF(D31="O",IF(X31&lt;0,X31,0),0)</f>
        <v>0</v>
      </c>
      <c r="Z31" s="254">
        <f>IF(B31="IND",N31,0)</f>
        <v>-1.05</v>
      </c>
      <c r="AA31" s="250">
        <f>IF(D31="O",IF(Z31&lt;0,Z31,0),0)</f>
        <v>0</v>
      </c>
      <c r="AB31" s="254">
        <f>IF(B31="CRYPTO",N31,0)</f>
        <v>0</v>
      </c>
      <c r="AC31" s="250">
        <f>IF(D31="O",IF(AB31&lt;0,AB31,0),0)</f>
        <v>0</v>
      </c>
      <c r="AD31" s="255">
        <f>IF(K31&lt;&gt;"",K31-E31,0)</f>
        <v>0.17013888888322981</v>
      </c>
      <c r="AE31" s="255">
        <f>IF(N31&gt;0,AD31,0)</f>
        <v>0</v>
      </c>
      <c r="AF31" s="255">
        <f>IF(N31&lt;0,AD31,0)</f>
        <v>0.17013888888322981</v>
      </c>
      <c r="AG31" s="255">
        <f>IF(N31=0,AD31,0)</f>
        <v>0</v>
      </c>
    </row>
    <row r="32" spans="1:35" ht="15" customHeight="1" x14ac:dyDescent="0.3">
      <c r="B32" s="196" t="s">
        <v>5</v>
      </c>
      <c r="C32" s="197" t="s">
        <v>13</v>
      </c>
      <c r="D32" s="246" t="str">
        <f>IF(E32&lt;&gt;"",IF(K32&lt;&gt;"","C","O"),"")</f>
        <v>C</v>
      </c>
      <c r="E32" s="199">
        <v>44874.916666666664</v>
      </c>
      <c r="F32" s="200" t="s">
        <v>92</v>
      </c>
      <c r="G32" s="235">
        <v>10805.01</v>
      </c>
      <c r="H32" s="235">
        <v>10851.9</v>
      </c>
      <c r="I32" s="247">
        <f>ABS(G32-H32)</f>
        <v>46.889999999999418</v>
      </c>
      <c r="J32" s="235">
        <v>9929.69</v>
      </c>
      <c r="K32" s="199">
        <v>44874.92291666667</v>
      </c>
      <c r="L32" s="235">
        <v>10853.66</v>
      </c>
      <c r="M32" s="248">
        <f>ROUND(IF(C32="L",(L32-G32),(G32-L32)),4)</f>
        <v>-48.65</v>
      </c>
      <c r="N32" s="249">
        <f>IFERROR(ROUND((M32/I32),2),"")</f>
        <v>-1.04</v>
      </c>
      <c r="O32" s="250">
        <f>IF(D32="O",IF(N32&lt;0,N32,0),0)</f>
        <v>0</v>
      </c>
      <c r="P32" s="251">
        <f>IF(N32&gt;= 0,N32,0)</f>
        <v>0</v>
      </c>
      <c r="Q32" s="251">
        <f>IF(N32&lt;0,N32,0)</f>
        <v>-1.04</v>
      </c>
      <c r="R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45801</v>
      </c>
      <c r="T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2" s="253">
        <f ca="1">IF(Tabla33610673[[#This Row],[Equity]]&lt;Tabla33610673[[#This Row],[Equity Peak]],(Tabla33610673[[#This Row],[Equity Peak]]-Tabla33610673[[#This Row],[Equity]])/Tabla33610673[[#This Row],[Equity Peak]],"")</f>
        <v>5.7741984500835741E-3</v>
      </c>
      <c r="V32" s="254">
        <f>IF(B32="FX",N32,0)</f>
        <v>0</v>
      </c>
      <c r="W32" s="254">
        <f>IF(D32="O",IF(V32&lt;0,V32,0),0)</f>
        <v>0</v>
      </c>
      <c r="X32" s="254">
        <f>IF(B32="COM",N32,0)</f>
        <v>0</v>
      </c>
      <c r="Y32" s="254">
        <f>IF(D32="O",IF(X32&lt;0,X32,0),0)</f>
        <v>0</v>
      </c>
      <c r="Z32" s="254">
        <f>IF(B32="IND",N32,0)</f>
        <v>-1.04</v>
      </c>
      <c r="AA32" s="250">
        <f>IF(D32="O",IF(Z32&lt;0,Z32,0),0)</f>
        <v>0</v>
      </c>
      <c r="AB32" s="254">
        <f>IF(B32="CRYPTO",N32,0)</f>
        <v>0</v>
      </c>
      <c r="AC32" s="250">
        <f>IF(D32="O",IF(AB32&lt;0,AB32,0),0)</f>
        <v>0</v>
      </c>
      <c r="AD32" s="255">
        <f>IF(K32&lt;&gt;"",K32-E32,0)</f>
        <v>6.2500000058207661E-3</v>
      </c>
      <c r="AE32" s="255">
        <f>IF(N32&gt;0,AD32,0)</f>
        <v>0</v>
      </c>
      <c r="AF32" s="255">
        <f>IF(N32&lt;0,AD32,0)</f>
        <v>6.2500000058207661E-3</v>
      </c>
      <c r="AG32" s="255">
        <f>IF(N32=0,AD32,0)</f>
        <v>0</v>
      </c>
    </row>
    <row r="33" spans="2:33" ht="15" customHeight="1" x14ac:dyDescent="0.3">
      <c r="B33" s="196" t="s">
        <v>5</v>
      </c>
      <c r="C33" s="197" t="s">
        <v>13</v>
      </c>
      <c r="D33" s="246" t="str">
        <f>IF(E33&lt;&gt;"",IF(K33&lt;&gt;"","C","O"),"")</f>
        <v>C</v>
      </c>
      <c r="E33" s="199">
        <v>44874.916666666664</v>
      </c>
      <c r="F33" s="200" t="s">
        <v>93</v>
      </c>
      <c r="G33" s="235">
        <v>3752.09</v>
      </c>
      <c r="H33" s="235">
        <v>3764.52</v>
      </c>
      <c r="I33" s="247">
        <f>ABS(G33-H33)</f>
        <v>12.429999999999836</v>
      </c>
      <c r="J33" s="235">
        <v>3619.52</v>
      </c>
      <c r="K33" s="199">
        <v>44874.922222222223</v>
      </c>
      <c r="L33" s="235">
        <v>3764.87</v>
      </c>
      <c r="M33" s="248">
        <f>ROUND(IF(C33="L",(L33-G33),(G33-L33)),4)</f>
        <v>-12.78</v>
      </c>
      <c r="N33" s="249">
        <f>IFERROR(ROUND((M33/I33),2),"")</f>
        <v>-1.03</v>
      </c>
      <c r="O33" s="250">
        <f>IF(D33="O",IF(N33&lt;0,N33,0),0)</f>
        <v>0</v>
      </c>
      <c r="P33" s="251">
        <f>IF(N33&gt;= 0,N33,0)</f>
        <v>0</v>
      </c>
      <c r="Q33" s="251">
        <f>IF(N33&lt;0,N33,0)</f>
        <v>-1.03</v>
      </c>
      <c r="R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45905</v>
      </c>
      <c r="T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3" s="253">
        <f ca="1">IF(Tabla33610673[[#This Row],[Equity]]&lt;Tabla33610673[[#This Row],[Equity Peak]],(Tabla33610673[[#This Row],[Equity Peak]]-Tabla33610673[[#This Row],[Equity]])/Tabla33610673[[#This Row],[Equity Peak]],"")</f>
        <v>3.5166171011787178E-3</v>
      </c>
      <c r="V33" s="254">
        <f>IF(B33="FX",N33,0)</f>
        <v>0</v>
      </c>
      <c r="W33" s="254">
        <f>IF(D33="O",IF(V33&lt;0,V33,0),0)</f>
        <v>0</v>
      </c>
      <c r="X33" s="254">
        <f>IF(B33="COM",N33,0)</f>
        <v>0</v>
      </c>
      <c r="Y33" s="254">
        <f>IF(D33="O",IF(X33&lt;0,X33,0),0)</f>
        <v>0</v>
      </c>
      <c r="Z33" s="254">
        <f>IF(B33="IND",N33,0)</f>
        <v>-1.03</v>
      </c>
      <c r="AA33" s="250">
        <f>IF(D33="O",IF(Z33&lt;0,Z33,0),0)</f>
        <v>0</v>
      </c>
      <c r="AB33" s="254">
        <f>IF(B33="CRYPTO",N33,0)</f>
        <v>0</v>
      </c>
      <c r="AC33" s="250">
        <f>IF(D33="O",IF(AB33&lt;0,AB33,0),0)</f>
        <v>0</v>
      </c>
      <c r="AD33" s="255">
        <f>IF(K33&lt;&gt;"",K33-E33,0)</f>
        <v>5.5555555591126904E-3</v>
      </c>
      <c r="AE33" s="255">
        <f>IF(N33&gt;0,AD33,0)</f>
        <v>0</v>
      </c>
      <c r="AF33" s="255">
        <f>IF(N33&lt;0,AD33,0)</f>
        <v>5.5555555591126904E-3</v>
      </c>
      <c r="AG33" s="255">
        <f>IF(N33=0,AD33,0)</f>
        <v>0</v>
      </c>
    </row>
    <row r="34" spans="2:33" ht="15" customHeight="1" x14ac:dyDescent="0.3">
      <c r="B34" s="196" t="s">
        <v>7</v>
      </c>
      <c r="C34" s="197" t="s">
        <v>13</v>
      </c>
      <c r="D34" s="246" t="str">
        <f>IF(E34&lt;&gt;"",IF(K34&lt;&gt;"","C","O"),"")</f>
        <v>C</v>
      </c>
      <c r="E34" s="199">
        <v>44874.489583333336</v>
      </c>
      <c r="F34" s="200" t="s">
        <v>115</v>
      </c>
      <c r="G34" s="235">
        <v>167.136</v>
      </c>
      <c r="H34" s="235">
        <v>167.73500000000001</v>
      </c>
      <c r="I34" s="247">
        <f>ABS(G34-H34)</f>
        <v>0.59900000000001796</v>
      </c>
      <c r="J34" s="235">
        <v>164.42500000000001</v>
      </c>
      <c r="K34" s="199">
        <v>44874.631944444445</v>
      </c>
      <c r="L34" s="235">
        <v>167.315</v>
      </c>
      <c r="M34" s="248">
        <f>ROUND(IF(C34="L",(L34-G34),(G34-L34)),4)</f>
        <v>-0.17899999999999999</v>
      </c>
      <c r="N34" s="249">
        <f>IFERROR(ROUND((M34/I34),2),"")</f>
        <v>-0.3</v>
      </c>
      <c r="O34" s="250">
        <f>IF(D34="O",IF(N34&lt;0,N34,0),0)</f>
        <v>0</v>
      </c>
      <c r="P34" s="251">
        <f>IF(N34&gt;= 0,N34,0)</f>
        <v>0</v>
      </c>
      <c r="Q34" s="251">
        <f>IF(N34&lt;0,N34,0)</f>
        <v>-0.3</v>
      </c>
      <c r="R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46008</v>
      </c>
      <c r="T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4" s="253">
        <f ca="1">IF(Tabla33610673[[#This Row],[Equity]]&lt;Tabla33610673[[#This Row],[Equity Peak]],(Tabla33610673[[#This Row],[Equity Peak]]-Tabla33610673[[#This Row],[Equity]])/Tabla33610673[[#This Row],[Equity Peak]],"")</f>
        <v>1.280743265244101E-3</v>
      </c>
      <c r="V34" s="254">
        <f>IF(B34="FX",N34,0)</f>
        <v>-0.3</v>
      </c>
      <c r="W34" s="254">
        <f>IF(D34="O",IF(V34&lt;0,V34,0),0)</f>
        <v>0</v>
      </c>
      <c r="X34" s="254">
        <f>IF(B34="COM",N34,0)</f>
        <v>0</v>
      </c>
      <c r="Y34" s="254">
        <f>IF(D34="O",IF(X34&lt;0,X34,0),0)</f>
        <v>0</v>
      </c>
      <c r="Z34" s="254">
        <f>IF(B34="IND",N34,0)</f>
        <v>0</v>
      </c>
      <c r="AA34" s="250">
        <f>IF(D34="O",IF(Z34&lt;0,Z34,0),0)</f>
        <v>0</v>
      </c>
      <c r="AB34" s="254">
        <f>IF(B34="CRYPTO",N34,0)</f>
        <v>0</v>
      </c>
      <c r="AC34" s="250">
        <f>IF(D34="O",IF(AB34&lt;0,AB34,0),0)</f>
        <v>0</v>
      </c>
      <c r="AD34" s="255">
        <f>IF(K34&lt;&gt;"",K34-E34,0)</f>
        <v>0.14236111110949423</v>
      </c>
      <c r="AE34" s="255">
        <f>IF(N34&gt;0,AD34,0)</f>
        <v>0</v>
      </c>
      <c r="AF34" s="255">
        <f>IF(N34&lt;0,AD34,0)</f>
        <v>0.14236111110949423</v>
      </c>
      <c r="AG34" s="255">
        <f>IF(N34=0,AD34,0)</f>
        <v>0</v>
      </c>
    </row>
    <row r="35" spans="2:33" ht="15" customHeight="1" x14ac:dyDescent="0.3">
      <c r="B35" s="196" t="s">
        <v>5</v>
      </c>
      <c r="C35" s="197" t="s">
        <v>15</v>
      </c>
      <c r="D35" s="246" t="str">
        <f>IF(E35&lt;&gt;"",IF(K35&lt;&gt;"","C","O"),"")</f>
        <v>C</v>
      </c>
      <c r="E35" s="199">
        <v>44873.697916666664</v>
      </c>
      <c r="F35" s="200" t="s">
        <v>91</v>
      </c>
      <c r="G35" s="235">
        <v>13619.53</v>
      </c>
      <c r="H35" s="235">
        <v>13584.15</v>
      </c>
      <c r="I35" s="247">
        <f>ABS(G35-H35)</f>
        <v>35.380000000001019</v>
      </c>
      <c r="J35" s="235">
        <v>14279.98</v>
      </c>
      <c r="K35" s="199">
        <v>44873.874305555553</v>
      </c>
      <c r="L35" s="235">
        <v>13609.33</v>
      </c>
      <c r="M35" s="248">
        <f>ROUND(IF(C35="L",(L35-G35),(G35-L35)),4)</f>
        <v>-10.199999999999999</v>
      </c>
      <c r="N35" s="249">
        <f>IFERROR(ROUND((M35/I35),2),"")</f>
        <v>-0.28999999999999998</v>
      </c>
      <c r="O35" s="250">
        <f>IF(D35="O",IF(N35&lt;0,N35,0),0)</f>
        <v>0</v>
      </c>
      <c r="P35" s="251">
        <f>IF(N35&gt;= 0,N35,0)</f>
        <v>0</v>
      </c>
      <c r="Q35" s="251">
        <f>IF(N35&lt;0,N35,0)</f>
        <v>-0.28999999999999998</v>
      </c>
      <c r="R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46038</v>
      </c>
      <c r="T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5" s="253">
        <f ca="1">IF(Tabla33610673[[#This Row],[Equity]]&lt;Tabla33610673[[#This Row],[Equity Peak]],(Tabla33610673[[#This Row],[Equity Peak]]-Tabla33610673[[#This Row],[Equity]])/Tabla33610673[[#This Row],[Equity Peak]],"")</f>
        <v>6.2951787613693103E-4</v>
      </c>
      <c r="V35" s="254">
        <f>IF(B35="FX",N35,0)</f>
        <v>0</v>
      </c>
      <c r="W35" s="254">
        <f>IF(D35="O",IF(V35&lt;0,V35,0),0)</f>
        <v>0</v>
      </c>
      <c r="X35" s="254">
        <f>IF(B35="COM",N35,0)</f>
        <v>0</v>
      </c>
      <c r="Y35" s="254">
        <f>IF(D35="O",IF(X35&lt;0,X35,0),0)</f>
        <v>0</v>
      </c>
      <c r="Z35" s="254">
        <f>IF(B35="IND",N35,0)</f>
        <v>-0.28999999999999998</v>
      </c>
      <c r="AA35" s="250">
        <f>IF(D35="O",IF(Z35&lt;0,Z35,0),0)</f>
        <v>0</v>
      </c>
      <c r="AB35" s="254">
        <f>IF(B35="CRYPTO",N35,0)</f>
        <v>0</v>
      </c>
      <c r="AC35" s="250">
        <f>IF(D35="O",IF(AB35&lt;0,AB35,0),0)</f>
        <v>0</v>
      </c>
      <c r="AD35" s="255">
        <f>IF(K35&lt;&gt;"",K35-E35,0)</f>
        <v>0.17638888888905058</v>
      </c>
      <c r="AE35" s="255">
        <f>IF(N35&gt;0,AD35,0)</f>
        <v>0</v>
      </c>
      <c r="AF35" s="255">
        <f>IF(N35&lt;0,AD35,0)</f>
        <v>0.17638888888905058</v>
      </c>
      <c r="AG35" s="255">
        <f>IF(N35=0,AD35,0)</f>
        <v>0</v>
      </c>
    </row>
    <row r="36" spans="2:33" ht="15" customHeight="1" x14ac:dyDescent="0.3">
      <c r="B36" s="196" t="s">
        <v>5</v>
      </c>
      <c r="C36" s="197" t="s">
        <v>15</v>
      </c>
      <c r="D36" s="246" t="str">
        <f>IF(E36&lt;&gt;"",IF(K36&lt;&gt;"","C","O"),"")</f>
        <v>C</v>
      </c>
      <c r="E36" s="199">
        <v>44873.729166666664</v>
      </c>
      <c r="F36" s="200" t="s">
        <v>93</v>
      </c>
      <c r="G36" s="235">
        <v>3827.1</v>
      </c>
      <c r="H36" s="235">
        <v>3818.68</v>
      </c>
      <c r="I36" s="247">
        <f>ABS(G36-H36)</f>
        <v>8.4200000000000728</v>
      </c>
      <c r="J36" s="235">
        <v>3916.92</v>
      </c>
      <c r="K36" s="199">
        <v>44873.849305555559</v>
      </c>
      <c r="L36" s="235">
        <v>3836.07</v>
      </c>
      <c r="M36" s="248">
        <f>ROUND(IF(C36="L",(L36-G36),(G36-L36)),4)</f>
        <v>8.9700000000000006</v>
      </c>
      <c r="N36" s="249">
        <f>IFERROR(ROUND((M36/I36),2),"")</f>
        <v>1.07</v>
      </c>
      <c r="O36" s="250">
        <f>IF(D36="O",IF(N36&lt;0,N36,0),0)</f>
        <v>0</v>
      </c>
      <c r="P36" s="251">
        <f>IF(N36&gt;= 0,N36,0)</f>
        <v>1.07</v>
      </c>
      <c r="Q36" s="251">
        <f>IF(N36&lt;0,N36,0)</f>
        <v>0</v>
      </c>
      <c r="R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46067</v>
      </c>
      <c r="T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46067</v>
      </c>
      <c r="U3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36" s="254">
        <f>IF(B36="FX",N36,0)</f>
        <v>0</v>
      </c>
      <c r="W36" s="254">
        <f>IF(D36="O",IF(V36&lt;0,V36,0),0)</f>
        <v>0</v>
      </c>
      <c r="X36" s="254">
        <f>IF(B36="COM",N36,0)</f>
        <v>0</v>
      </c>
      <c r="Y36" s="254">
        <f>IF(D36="O",IF(X36&lt;0,X36,0),0)</f>
        <v>0</v>
      </c>
      <c r="Z36" s="254">
        <f>IF(B36="IND",N36,0)</f>
        <v>1.07</v>
      </c>
      <c r="AA36" s="250">
        <f>IF(D36="O",IF(Z36&lt;0,Z36,0),0)</f>
        <v>0</v>
      </c>
      <c r="AB36" s="254">
        <f>IF(B36="CRYPTO",N36,0)</f>
        <v>0</v>
      </c>
      <c r="AC36" s="250">
        <f>IF(D36="O",IF(AB36&lt;0,AB36,0),0)</f>
        <v>0</v>
      </c>
      <c r="AD36" s="255">
        <f>IF(K36&lt;&gt;"",K36-E36,0)</f>
        <v>0.12013888889487134</v>
      </c>
      <c r="AE36" s="255">
        <f>IF(N36&gt;0,AD36,0)</f>
        <v>0.12013888889487134</v>
      </c>
      <c r="AF36" s="255">
        <f>IF(N36&lt;0,AD36,0)</f>
        <v>0</v>
      </c>
      <c r="AG36" s="255">
        <f>IF(N36=0,AD36,0)</f>
        <v>0</v>
      </c>
    </row>
    <row r="37" spans="2:33" ht="15" customHeight="1" x14ac:dyDescent="0.3">
      <c r="B37" s="196" t="s">
        <v>5</v>
      </c>
      <c r="C37" s="197" t="s">
        <v>15</v>
      </c>
      <c r="D37" s="246" t="str">
        <f>IF(E37&lt;&gt;"",IF(K37&lt;&gt;"","C","O"),"")</f>
        <v>C</v>
      </c>
      <c r="E37" s="199">
        <v>40855.78125</v>
      </c>
      <c r="F37" s="200" t="s">
        <v>92</v>
      </c>
      <c r="G37" s="235">
        <v>11171.94</v>
      </c>
      <c r="H37" s="235">
        <v>11141.54</v>
      </c>
      <c r="I37" s="247">
        <f>ABS(G37-H37)</f>
        <v>30.399999999999636</v>
      </c>
      <c r="J37" s="235">
        <v>11739.38</v>
      </c>
      <c r="K37" s="199">
        <v>44873.802777777775</v>
      </c>
      <c r="L37" s="235">
        <v>11140.03</v>
      </c>
      <c r="M37" s="248">
        <f>ROUND(IF(C37="L",(L37-G37),(G37-L37)),4)</f>
        <v>-31.91</v>
      </c>
      <c r="N37" s="249">
        <f>IFERROR(ROUND((M37/I37),2),"")</f>
        <v>-1.05</v>
      </c>
      <c r="O37" s="250">
        <f>IF(D37="O",IF(N37&lt;0,N37,0),0)</f>
        <v>0</v>
      </c>
      <c r="P37" s="251">
        <f>IF(N37&gt;= 0,N37,0)</f>
        <v>0</v>
      </c>
      <c r="Q37" s="251">
        <f>IF(N37&lt;0,N37,0)</f>
        <v>-1.05</v>
      </c>
      <c r="R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45960</v>
      </c>
      <c r="T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46065</v>
      </c>
      <c r="U37" s="253">
        <f ca="1">IF(Tabla33610673[[#This Row],[Equity]]&lt;Tabla33610673[[#This Row],[Equity Peak]],(Tabla33610673[[#This Row],[Equity Peak]]-Tabla33610673[[#This Row],[Equity]])/Tabla33610673[[#This Row],[Equity Peak]],"")</f>
        <v>2.2793878215564964E-3</v>
      </c>
      <c r="V37" s="254">
        <f>IF(B37="FX",N37,0)</f>
        <v>0</v>
      </c>
      <c r="W37" s="254">
        <f>IF(D37="O",IF(V37&lt;0,V37,0),0)</f>
        <v>0</v>
      </c>
      <c r="X37" s="254">
        <f>IF(B37="COM",N37,0)</f>
        <v>0</v>
      </c>
      <c r="Y37" s="254">
        <f>IF(D37="O",IF(X37&lt;0,X37,0),0)</f>
        <v>0</v>
      </c>
      <c r="Z37" s="254">
        <f>IF(B37="IND",N37,0)</f>
        <v>-1.05</v>
      </c>
      <c r="AA37" s="250">
        <f>IF(D37="O",IF(Z37&lt;0,Z37,0),0)</f>
        <v>0</v>
      </c>
      <c r="AB37" s="254">
        <f>IF(B37="CRYPTO",N37,0)</f>
        <v>0</v>
      </c>
      <c r="AC37" s="250">
        <f>IF(D37="O",IF(AB37&lt;0,AB37,0),0)</f>
        <v>0</v>
      </c>
      <c r="AD37" s="255">
        <f>IF(K37&lt;&gt;"",K37-E37,0)</f>
        <v>4018.0215277777752</v>
      </c>
      <c r="AE37" s="255">
        <f>IF(N37&gt;0,AD37,0)</f>
        <v>0</v>
      </c>
      <c r="AF37" s="255">
        <f>IF(N37&lt;0,AD37,0)</f>
        <v>4018.0215277777752</v>
      </c>
      <c r="AG37" s="255">
        <f>IF(N37=0,AD37,0)</f>
        <v>0</v>
      </c>
    </row>
    <row r="38" spans="2:33" ht="15" customHeight="1" x14ac:dyDescent="0.3">
      <c r="B38" s="196" t="s">
        <v>19</v>
      </c>
      <c r="C38" s="197" t="s">
        <v>15</v>
      </c>
      <c r="D38" s="246" t="str">
        <f>IF(E38&lt;&gt;"",IF(K38&lt;&gt;"","C","O"),"")</f>
        <v>C</v>
      </c>
      <c r="E38" s="199">
        <v>44873.6875</v>
      </c>
      <c r="F38" s="200" t="s">
        <v>88</v>
      </c>
      <c r="G38" s="235">
        <v>1676.35</v>
      </c>
      <c r="H38" s="235">
        <v>1672.02</v>
      </c>
      <c r="I38" s="247">
        <f>ABS(G38-H38)</f>
        <v>4.3299999999999272</v>
      </c>
      <c r="J38" s="235">
        <v>1706.68</v>
      </c>
      <c r="K38" s="199">
        <v>44873.72152777778</v>
      </c>
      <c r="L38" s="235">
        <v>1706.65</v>
      </c>
      <c r="M38" s="248">
        <f>ROUND(IF(C38="L",(L38-G38),(G38-L38)),4)</f>
        <v>30.3</v>
      </c>
      <c r="N38" s="249">
        <f>IFERROR(ROUND((M38/I38),2),"")</f>
        <v>7</v>
      </c>
      <c r="O38" s="250">
        <f>IF(D38="O",IF(N38&lt;0,N38,0),0)</f>
        <v>0</v>
      </c>
      <c r="P38" s="251">
        <f>IF(N38&gt;= 0,N38,0)</f>
        <v>7</v>
      </c>
      <c r="Q38" s="251">
        <f>IF(N38&lt;0,N38,0)</f>
        <v>0</v>
      </c>
      <c r="R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46065</v>
      </c>
      <c r="T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46065</v>
      </c>
      <c r="U3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38" s="254">
        <f>IF(B38="FX",N38,0)</f>
        <v>0</v>
      </c>
      <c r="W38" s="254">
        <f>IF(D38="O",IF(V38&lt;0,V38,0),0)</f>
        <v>0</v>
      </c>
      <c r="X38" s="254">
        <f>IF(B38="COM",N38,0)</f>
        <v>7</v>
      </c>
      <c r="Y38" s="254">
        <f>IF(D38="O",IF(X38&lt;0,X38,0),0)</f>
        <v>0</v>
      </c>
      <c r="Z38" s="254">
        <f>IF(B38="IND",N38,0)</f>
        <v>0</v>
      </c>
      <c r="AA38" s="250">
        <f>IF(D38="O",IF(Z38&lt;0,Z38,0),0)</f>
        <v>0</v>
      </c>
      <c r="AB38" s="254">
        <f>IF(B38="CRYPTO",N38,0)</f>
        <v>0</v>
      </c>
      <c r="AC38" s="250">
        <f>IF(D38="O",IF(AB38&lt;0,AB38,0),0)</f>
        <v>0</v>
      </c>
      <c r="AD38" s="255">
        <f>IF(K38&lt;&gt;"",K38-E38,0)</f>
        <v>3.4027777779556345E-2</v>
      </c>
      <c r="AE38" s="255">
        <f>IF(N38&gt;0,AD38,0)</f>
        <v>3.4027777779556345E-2</v>
      </c>
      <c r="AF38" s="255">
        <f>IF(N38&lt;0,AD38,0)</f>
        <v>0</v>
      </c>
      <c r="AG38" s="255">
        <f>IF(N38=0,AD38,0)</f>
        <v>0</v>
      </c>
    </row>
    <row r="39" spans="2:33" ht="15" customHeight="1" x14ac:dyDescent="0.3">
      <c r="B39" s="196" t="s">
        <v>5</v>
      </c>
      <c r="C39" s="197" t="s">
        <v>15</v>
      </c>
      <c r="D39" s="246" t="str">
        <f>IF(E39&lt;&gt;"",IF(K39&lt;&gt;"","C","O"),"")</f>
        <v>C</v>
      </c>
      <c r="E39" s="199">
        <v>44873.583333333336</v>
      </c>
      <c r="F39" s="200" t="s">
        <v>93</v>
      </c>
      <c r="G39" s="235">
        <v>3821.6</v>
      </c>
      <c r="H39" s="235">
        <v>3812.55</v>
      </c>
      <c r="I39" s="247">
        <f>ABS(G39-H39)</f>
        <v>9.0499999999997272</v>
      </c>
      <c r="J39" s="235">
        <v>3918.18</v>
      </c>
      <c r="K39" s="199">
        <v>44873.594444444447</v>
      </c>
      <c r="L39" s="235">
        <v>3812.07</v>
      </c>
      <c r="M39" s="248">
        <f>ROUND(IF(C39="L",(L39-G39),(G39-L39)),4)</f>
        <v>-9.5299999999999994</v>
      </c>
      <c r="N39" s="249">
        <f>IFERROR(ROUND((M39/I39),2),"")</f>
        <v>-1.05</v>
      </c>
      <c r="O39" s="250">
        <f>IF(D39="O",IF(N39&lt;0,N39,0),0)</f>
        <v>0</v>
      </c>
      <c r="P39" s="251">
        <f>IF(N39&gt;= 0,N39,0)</f>
        <v>0</v>
      </c>
      <c r="Q39" s="251">
        <f>IF(N39&lt;0,N39,0)</f>
        <v>-1.05</v>
      </c>
      <c r="R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45365</v>
      </c>
      <c r="T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39" s="253">
        <f ca="1">IF(Tabla33610673[[#This Row],[Equity]]&lt;Tabla33610673[[#This Row],[Equity Peak]],(Tabla33610673[[#This Row],[Equity Peak]]-Tabla33610673[[#This Row],[Equity]])/Tabla33610673[[#This Row],[Equity Peak]],"")</f>
        <v>1.1720366860553777E-2</v>
      </c>
      <c r="V39" s="254">
        <f>IF(B39="FX",N39,0)</f>
        <v>0</v>
      </c>
      <c r="W39" s="254">
        <f>IF(D39="O",IF(V39&lt;0,V39,0),0)</f>
        <v>0</v>
      </c>
      <c r="X39" s="254">
        <f>IF(B39="COM",N39,0)</f>
        <v>0</v>
      </c>
      <c r="Y39" s="254">
        <f>IF(D39="O",IF(X39&lt;0,X39,0),0)</f>
        <v>0</v>
      </c>
      <c r="Z39" s="254">
        <f>IF(B39="IND",N39,0)</f>
        <v>-1.05</v>
      </c>
      <c r="AA39" s="250">
        <f>IF(D39="O",IF(Z39&lt;0,Z39,0),0)</f>
        <v>0</v>
      </c>
      <c r="AB39" s="254">
        <f>IF(B39="CRYPTO",N39,0)</f>
        <v>0</v>
      </c>
      <c r="AC39" s="250">
        <f>IF(D39="O",IF(AB39&lt;0,AB39,0),0)</f>
        <v>0</v>
      </c>
      <c r="AD39" s="255">
        <f>IF(K39&lt;&gt;"",K39-E39,0)</f>
        <v>1.1111111110949423E-2</v>
      </c>
      <c r="AE39" s="255">
        <f>IF(N39&gt;0,AD39,0)</f>
        <v>0</v>
      </c>
      <c r="AF39" s="255">
        <f>IF(N39&lt;0,AD39,0)</f>
        <v>1.1111111110949423E-2</v>
      </c>
      <c r="AG39" s="255">
        <f>IF(N39=0,AD39,0)</f>
        <v>0</v>
      </c>
    </row>
    <row r="40" spans="2:33" ht="15" customHeight="1" x14ac:dyDescent="0.3">
      <c r="B40" s="196" t="s">
        <v>5</v>
      </c>
      <c r="C40" s="197" t="s">
        <v>15</v>
      </c>
      <c r="D40" s="246" t="str">
        <f>IF(E40&lt;&gt;"",IF(K40&lt;&gt;"","C","O"),"")</f>
        <v>C</v>
      </c>
      <c r="E40" s="199">
        <v>44872.895833333336</v>
      </c>
      <c r="F40" s="200" t="s">
        <v>93</v>
      </c>
      <c r="G40" s="235">
        <v>3802.61</v>
      </c>
      <c r="H40" s="235">
        <v>3791.39</v>
      </c>
      <c r="I40" s="247">
        <f>ABS(G40-H40)</f>
        <v>11.220000000000255</v>
      </c>
      <c r="J40" s="235">
        <v>3922.3</v>
      </c>
      <c r="K40" s="199">
        <v>44873.417361111111</v>
      </c>
      <c r="L40" s="235">
        <v>3794.32</v>
      </c>
      <c r="M40" s="248">
        <f>ROUND(IF(C40="L",(L40-G40),(G40-L40)),4)</f>
        <v>-8.2899999999999991</v>
      </c>
      <c r="N40" s="249">
        <f>IFERROR(ROUND((M40/I40),2),"")</f>
        <v>-0.74</v>
      </c>
      <c r="O40" s="250">
        <f>IF(D40="O",IF(N40&lt;0,N40,0),0)</f>
        <v>0</v>
      </c>
      <c r="P40" s="251">
        <f>IF(N40&gt;= 0,N40,0)</f>
        <v>0</v>
      </c>
      <c r="Q40" s="251">
        <f>IF(N40&lt;0,N40,0)</f>
        <v>-0.74</v>
      </c>
      <c r="R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45470</v>
      </c>
      <c r="T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0" s="253">
        <f ca="1">IF(Tabla33610673[[#This Row],[Equity]]&lt;Tabla33610673[[#This Row],[Equity Peak]],(Tabla33610673[[#This Row],[Equity Peak]]-Tabla33610673[[#This Row],[Equity]])/Tabla33610673[[#This Row],[Equity Peak]],"")</f>
        <v>9.4329346665795264E-3</v>
      </c>
      <c r="V40" s="254">
        <f>IF(B40="FX",N40,0)</f>
        <v>0</v>
      </c>
      <c r="W40" s="254">
        <f>IF(D40="O",IF(V40&lt;0,V40,0),0)</f>
        <v>0</v>
      </c>
      <c r="X40" s="254">
        <f>IF(B40="COM",N40,0)</f>
        <v>0</v>
      </c>
      <c r="Y40" s="254">
        <f>IF(D40="O",IF(X40&lt;0,X40,0),0)</f>
        <v>0</v>
      </c>
      <c r="Z40" s="254">
        <f>IF(B40="IND",N40,0)</f>
        <v>-0.74</v>
      </c>
      <c r="AA40" s="250">
        <f>IF(D40="O",IF(Z40&lt;0,Z40,0),0)</f>
        <v>0</v>
      </c>
      <c r="AB40" s="254">
        <f>IF(B40="CRYPTO",N40,0)</f>
        <v>0</v>
      </c>
      <c r="AC40" s="250">
        <f>IF(D40="O",IF(AB40&lt;0,AB40,0),0)</f>
        <v>0</v>
      </c>
      <c r="AD40" s="255">
        <f>IF(K40&lt;&gt;"",K40-E40,0)</f>
        <v>0.52152777777519077</v>
      </c>
      <c r="AE40" s="255">
        <f>IF(N40&gt;0,AD40,0)</f>
        <v>0</v>
      </c>
      <c r="AF40" s="255">
        <f>IF(N40&lt;0,AD40,0)</f>
        <v>0.52152777777519077</v>
      </c>
      <c r="AG40" s="255">
        <f>IF(N40=0,AD40,0)</f>
        <v>0</v>
      </c>
    </row>
    <row r="41" spans="2:33" ht="15" customHeight="1" x14ac:dyDescent="0.3">
      <c r="B41" s="196" t="s">
        <v>7</v>
      </c>
      <c r="C41" s="197" t="s">
        <v>15</v>
      </c>
      <c r="D41" s="246" t="str">
        <f>IF(E41&lt;&gt;"",IF(K41&lt;&gt;"","C","O"),"")</f>
        <v>C</v>
      </c>
      <c r="E41" s="199">
        <v>44872.802083333336</v>
      </c>
      <c r="F41" s="200" t="s">
        <v>114</v>
      </c>
      <c r="G41" s="235">
        <v>1.0017499999999999</v>
      </c>
      <c r="H41" s="235">
        <v>0.99878</v>
      </c>
      <c r="I41" s="247">
        <f>ABS(G41-H41)</f>
        <v>2.9699999999999172E-3</v>
      </c>
      <c r="J41" s="235">
        <v>1.0285</v>
      </c>
      <c r="K41" s="199">
        <v>44873.132638888892</v>
      </c>
      <c r="L41" s="235">
        <v>1.00166</v>
      </c>
      <c r="M41" s="248">
        <f>ROUND(IF(C41="L",(L41-G41),(G41-L41)),4)</f>
        <v>-1E-4</v>
      </c>
      <c r="N41" s="249">
        <f>IFERROR(ROUND((M41/I41),2),"")</f>
        <v>-0.03</v>
      </c>
      <c r="O41" s="250">
        <f>IF(D41="O",IF(N41&lt;0,N41,0),0)</f>
        <v>0</v>
      </c>
      <c r="P41" s="251">
        <f>IF(N41&gt;= 0,N41,0)</f>
        <v>0</v>
      </c>
      <c r="Q41" s="251">
        <f>IF(N41&lt;0,N41,0)</f>
        <v>-0.03</v>
      </c>
      <c r="R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45544</v>
      </c>
      <c r="T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1" s="253">
        <f ca="1">IF(Tabla33610673[[#This Row],[Equity]]&lt;Tabla33610673[[#This Row],[Equity Peak]],(Tabla33610673[[#This Row],[Equity Peak]]-Tabla33610673[[#This Row],[Equity]])/Tabla33610673[[#This Row],[Equity Peak]],"")</f>
        <v>7.8208395965405318E-3</v>
      </c>
      <c r="V41" s="254">
        <f>IF(B41="FX",N41,0)</f>
        <v>-0.03</v>
      </c>
      <c r="W41" s="254">
        <f>IF(D41="O",IF(V41&lt;0,V41,0),0)</f>
        <v>0</v>
      </c>
      <c r="X41" s="254">
        <f>IF(B41="COM",N41,0)</f>
        <v>0</v>
      </c>
      <c r="Y41" s="254">
        <f>IF(D41="O",IF(X41&lt;0,X41,0),0)</f>
        <v>0</v>
      </c>
      <c r="Z41" s="254">
        <f>IF(B41="IND",N41,0)</f>
        <v>0</v>
      </c>
      <c r="AA41" s="250">
        <f>IF(D41="O",IF(Z41&lt;0,Z41,0),0)</f>
        <v>0</v>
      </c>
      <c r="AB41" s="254">
        <f>IF(B41="CRYPTO",N41,0)</f>
        <v>0</v>
      </c>
      <c r="AC41" s="250">
        <f>IF(D41="O",IF(AB41&lt;0,AB41,0),0)</f>
        <v>0</v>
      </c>
      <c r="AD41" s="255">
        <f>IF(K41&lt;&gt;"",K41-E41,0)</f>
        <v>0.33055555555620231</v>
      </c>
      <c r="AE41" s="255">
        <f>IF(N41&gt;0,AD41,0)</f>
        <v>0</v>
      </c>
      <c r="AF41" s="255">
        <f>IF(N41&lt;0,AD41,0)</f>
        <v>0.33055555555620231</v>
      </c>
      <c r="AG41" s="255">
        <f>IF(N41=0,AD41,0)</f>
        <v>0</v>
      </c>
    </row>
    <row r="42" spans="2:33" ht="15" customHeight="1" x14ac:dyDescent="0.3">
      <c r="B42" s="196" t="s">
        <v>7</v>
      </c>
      <c r="C42" s="197" t="s">
        <v>15</v>
      </c>
      <c r="D42" s="246" t="str">
        <f>IF(E42&lt;&gt;"",IF(K42&lt;&gt;"","C","O"),"")</f>
        <v>C</v>
      </c>
      <c r="E42" s="199">
        <v>44872.427083333336</v>
      </c>
      <c r="F42" s="200" t="s">
        <v>115</v>
      </c>
      <c r="G42" s="235">
        <v>167.017</v>
      </c>
      <c r="H42" s="235">
        <v>166.34399999999999</v>
      </c>
      <c r="I42" s="247">
        <f>ABS(G42-H42)</f>
        <v>0.67300000000000182</v>
      </c>
      <c r="J42" s="235">
        <v>168.93899999999999</v>
      </c>
      <c r="K42" s="199">
        <v>44872.852777777778</v>
      </c>
      <c r="L42" s="235">
        <v>168.93799999999999</v>
      </c>
      <c r="M42" s="248">
        <f>ROUND(IF(C42="L",(L42-G42),(G42-L42)),4)</f>
        <v>1.921</v>
      </c>
      <c r="N42" s="249">
        <f>IFERROR(ROUND((M42/I42),2),"")</f>
        <v>2.85</v>
      </c>
      <c r="O42" s="250">
        <f>IF(D42="O",IF(N42&lt;0,N42,0),0)</f>
        <v>0</v>
      </c>
      <c r="P42" s="251">
        <f>IF(N42&gt;= 0,N42,0)</f>
        <v>2.85</v>
      </c>
      <c r="Q42" s="251">
        <f>IF(N42&lt;0,N42,0)</f>
        <v>0</v>
      </c>
      <c r="R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45547</v>
      </c>
      <c r="T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2" s="253">
        <f ca="1">IF(Tabla33610673[[#This Row],[Equity]]&lt;Tabla33610673[[#This Row],[Equity Peak]],(Tabla33610673[[#This Row],[Equity Peak]]-Tabla33610673[[#This Row],[Equity]])/Tabla33610673[[#This Row],[Equity Peak]],"")</f>
        <v>7.7554843909984099E-3</v>
      </c>
      <c r="V42" s="254">
        <f>IF(B42="FX",N42,0)</f>
        <v>2.85</v>
      </c>
      <c r="W42" s="254">
        <f>IF(D42="O",IF(V42&lt;0,V42,0),0)</f>
        <v>0</v>
      </c>
      <c r="X42" s="254">
        <f>IF(B42="COM",N42,0)</f>
        <v>0</v>
      </c>
      <c r="Y42" s="254">
        <f>IF(D42="O",IF(X42&lt;0,X42,0),0)</f>
        <v>0</v>
      </c>
      <c r="Z42" s="254">
        <f>IF(B42="IND",N42,0)</f>
        <v>0</v>
      </c>
      <c r="AA42" s="250">
        <f>IF(D42="O",IF(Z42&lt;0,Z42,0),0)</f>
        <v>0</v>
      </c>
      <c r="AB42" s="254">
        <f>IF(B42="CRYPTO",N42,0)</f>
        <v>0</v>
      </c>
      <c r="AC42" s="250">
        <f>IF(D42="O",IF(AB42&lt;0,AB42,0),0)</f>
        <v>0</v>
      </c>
      <c r="AD42" s="255">
        <f>IF(K42&lt;&gt;"",K42-E42,0)</f>
        <v>0.4256944444423425</v>
      </c>
      <c r="AE42" s="255">
        <f>IF(N42&gt;0,AD42,0)</f>
        <v>0.4256944444423425</v>
      </c>
      <c r="AF42" s="255">
        <f>IF(N42&lt;0,AD42,0)</f>
        <v>0</v>
      </c>
      <c r="AG42" s="255">
        <f>IF(N42=0,AD42,0)</f>
        <v>0</v>
      </c>
    </row>
    <row r="43" spans="2:33" ht="15" customHeight="1" x14ac:dyDescent="0.3">
      <c r="B43" s="196" t="s">
        <v>5</v>
      </c>
      <c r="C43" s="197" t="s">
        <v>15</v>
      </c>
      <c r="D43" s="246" t="str">
        <f>IF(E43&lt;&gt;"",IF(K43&lt;&gt;"","C","O"),"")</f>
        <v>C</v>
      </c>
      <c r="E43" s="199">
        <v>44872.46875</v>
      </c>
      <c r="F43" s="200" t="s">
        <v>91</v>
      </c>
      <c r="G43" s="235">
        <v>13549.6</v>
      </c>
      <c r="H43" s="235">
        <v>13512.68</v>
      </c>
      <c r="I43" s="247">
        <f>ABS(G43-H43)</f>
        <v>36.920000000000073</v>
      </c>
      <c r="J43" s="235">
        <v>14238.82</v>
      </c>
      <c r="K43" s="199">
        <v>44872.692361111112</v>
      </c>
      <c r="L43" s="235">
        <v>13513.4</v>
      </c>
      <c r="M43" s="248">
        <f>ROUND(IF(C43="L",(L43-G43),(G43-L43)),4)</f>
        <v>-36.200000000000003</v>
      </c>
      <c r="N43" s="249">
        <f>IFERROR(ROUND((M43/I43),2),"")</f>
        <v>-0.98</v>
      </c>
      <c r="O43" s="250">
        <f>IF(D43="O",IF(N43&lt;0,N43,0),0)</f>
        <v>0</v>
      </c>
      <c r="P43" s="251">
        <f>IF(N43&gt;= 0,N43,0)</f>
        <v>0</v>
      </c>
      <c r="Q43" s="251">
        <f>IF(N43&lt;0,N43,0)</f>
        <v>-0.98</v>
      </c>
      <c r="R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45262</v>
      </c>
      <c r="T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3" s="253">
        <f ca="1">IF(Tabla33610673[[#This Row],[Equity]]&lt;Tabla33610673[[#This Row],[Equity Peak]],(Tabla33610673[[#This Row],[Equity Peak]]-Tabla33610673[[#This Row],[Equity]])/Tabla33610673[[#This Row],[Equity Peak]],"")</f>
        <v>1.3964228917499946E-2</v>
      </c>
      <c r="V43" s="254">
        <f>IF(B43="FX",N43,0)</f>
        <v>0</v>
      </c>
      <c r="W43" s="254">
        <f>IF(D43="O",IF(V43&lt;0,V43,0),0)</f>
        <v>0</v>
      </c>
      <c r="X43" s="254">
        <f>IF(B43="COM",N43,0)</f>
        <v>0</v>
      </c>
      <c r="Y43" s="254">
        <f>IF(D43="O",IF(X43&lt;0,X43,0),0)</f>
        <v>0</v>
      </c>
      <c r="Z43" s="254">
        <f>IF(B43="IND",N43,0)</f>
        <v>-0.98</v>
      </c>
      <c r="AA43" s="250">
        <f>IF(D43="O",IF(Z43&lt;0,Z43,0),0)</f>
        <v>0</v>
      </c>
      <c r="AB43" s="254">
        <f>IF(B43="CRYPTO",N43,0)</f>
        <v>0</v>
      </c>
      <c r="AC43" s="250">
        <f>IF(D43="O",IF(AB43&lt;0,AB43,0),0)</f>
        <v>0</v>
      </c>
      <c r="AD43" s="255">
        <f>IF(K43&lt;&gt;"",K43-E43,0)</f>
        <v>0.22361111111240461</v>
      </c>
      <c r="AE43" s="255">
        <f>IF(N43&gt;0,AD43,0)</f>
        <v>0</v>
      </c>
      <c r="AF43" s="255">
        <f>IF(N43&lt;0,AD43,0)</f>
        <v>0.22361111111240461</v>
      </c>
      <c r="AG43" s="255">
        <f>IF(N43=0,AD43,0)</f>
        <v>0</v>
      </c>
    </row>
    <row r="44" spans="2:33" ht="15" customHeight="1" x14ac:dyDescent="0.3">
      <c r="B44" s="196" t="s">
        <v>7</v>
      </c>
      <c r="C44" s="197" t="s">
        <v>15</v>
      </c>
      <c r="D44" s="246" t="str">
        <f>IF(E44&lt;&gt;"",IF(K44&lt;&gt;"","C","O"),"")</f>
        <v>C</v>
      </c>
      <c r="E44" s="199">
        <v>44872.458333333336</v>
      </c>
      <c r="F44" s="200" t="s">
        <v>114</v>
      </c>
      <c r="G44" s="235">
        <v>0.99865999999999999</v>
      </c>
      <c r="H44" s="235">
        <v>0.99665000000000004</v>
      </c>
      <c r="I44" s="247">
        <f>ABS(G44-H44)</f>
        <v>2.0099999999999563E-3</v>
      </c>
      <c r="J44" s="235">
        <v>1.0167900000000001</v>
      </c>
      <c r="K44" s="199">
        <v>44872.6</v>
      </c>
      <c r="L44" s="235">
        <v>0.99660000000000004</v>
      </c>
      <c r="M44" s="248">
        <f>ROUND(IF(C44="L",(L44-G44),(G44-L44)),4)</f>
        <v>-2.0999999999999999E-3</v>
      </c>
      <c r="N44" s="249">
        <f>IFERROR(ROUND((M44/I44),2),"")</f>
        <v>-1.04</v>
      </c>
      <c r="O44" s="250">
        <f>IF(D44="O",IF(N44&lt;0,N44,0),0)</f>
        <v>0</v>
      </c>
      <c r="P44" s="251">
        <f>IF(N44&gt;= 0,N44,0)</f>
        <v>0</v>
      </c>
      <c r="Q44" s="251">
        <f>IF(N44&lt;0,N44,0)</f>
        <v>-1.04</v>
      </c>
      <c r="R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45360</v>
      </c>
      <c r="T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4" s="253">
        <f ca="1">IF(Tabla33610673[[#This Row],[Equity]]&lt;Tabla33610673[[#This Row],[Equity Peak]],(Tabla33610673[[#This Row],[Equity Peak]]-Tabla33610673[[#This Row],[Equity]])/Tabla33610673[[#This Row],[Equity Peak]],"")</f>
        <v>1.1829292203123979E-2</v>
      </c>
      <c r="V44" s="254">
        <f>IF(B44="FX",N44,0)</f>
        <v>-1.04</v>
      </c>
      <c r="W44" s="254">
        <f>IF(D44="O",IF(V44&lt;0,V44,0),0)</f>
        <v>0</v>
      </c>
      <c r="X44" s="254">
        <f>IF(B44="COM",N44,0)</f>
        <v>0</v>
      </c>
      <c r="Y44" s="254">
        <f>IF(D44="O",IF(X44&lt;0,X44,0),0)</f>
        <v>0</v>
      </c>
      <c r="Z44" s="254">
        <f>IF(B44="IND",N44,0)</f>
        <v>0</v>
      </c>
      <c r="AA44" s="250">
        <f>IF(D44="O",IF(Z44&lt;0,Z44,0),0)</f>
        <v>0</v>
      </c>
      <c r="AB44" s="254">
        <f>IF(B44="CRYPTO",N44,0)</f>
        <v>0</v>
      </c>
      <c r="AC44" s="250">
        <f>IF(D44="O",IF(AB44&lt;0,AB44,0),0)</f>
        <v>0</v>
      </c>
      <c r="AD44" s="255">
        <f>IF(K44&lt;&gt;"",K44-E44,0)</f>
        <v>0.14166666666278616</v>
      </c>
      <c r="AE44" s="255">
        <f>IF(N44&gt;0,AD44,0)</f>
        <v>0</v>
      </c>
      <c r="AF44" s="255">
        <f>IF(N44&lt;0,AD44,0)</f>
        <v>0.14166666666278616</v>
      </c>
      <c r="AG44" s="255">
        <f>IF(N44=0,AD44,0)</f>
        <v>0</v>
      </c>
    </row>
    <row r="45" spans="2:33" ht="15" customHeight="1" x14ac:dyDescent="0.3">
      <c r="B45" s="196" t="s">
        <v>19</v>
      </c>
      <c r="C45" s="197" t="s">
        <v>15</v>
      </c>
      <c r="D45" s="246" t="str">
        <f>IF(E45&lt;&gt;"",IF(K45&lt;&gt;"","C","O"),"")</f>
        <v>C</v>
      </c>
      <c r="E45" s="199">
        <v>44869.895833333336</v>
      </c>
      <c r="F45" s="200" t="s">
        <v>88</v>
      </c>
      <c r="G45" s="235">
        <v>1675.99</v>
      </c>
      <c r="H45" s="235">
        <v>1671.94</v>
      </c>
      <c r="I45" s="247">
        <f>ABS(G45-H45)</f>
        <v>4.0499999999999545</v>
      </c>
      <c r="J45" s="235">
        <v>1724.57</v>
      </c>
      <c r="K45" s="199">
        <v>44869.99722222222</v>
      </c>
      <c r="L45" s="235">
        <v>1680.79</v>
      </c>
      <c r="M45" s="248">
        <f>ROUND(IF(C45="L",(L45-G45),(G45-L45)),4)</f>
        <v>4.8</v>
      </c>
      <c r="N45" s="249">
        <f>IFERROR(ROUND((M45/I45),2),"")</f>
        <v>1.19</v>
      </c>
      <c r="O45" s="250">
        <f>IF(D45="O",IF(N45&lt;0,N45,0),0)</f>
        <v>0</v>
      </c>
      <c r="P45" s="251">
        <f>IF(N45&gt;= 0,N45,0)</f>
        <v>1.19</v>
      </c>
      <c r="Q45" s="251">
        <f>IF(N45&lt;0,N45,0)</f>
        <v>0</v>
      </c>
      <c r="R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45464</v>
      </c>
      <c r="T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5" s="253">
        <f ca="1">IF(Tabla33610673[[#This Row],[Equity]]&lt;Tabla33610673[[#This Row],[Equity Peak]],(Tabla33610673[[#This Row],[Equity Peak]]-Tabla33610673[[#This Row],[Equity]])/Tabla33610673[[#This Row],[Equity Peak]],"")</f>
        <v>9.5636450776637686E-3</v>
      </c>
      <c r="V45" s="254">
        <f>IF(B45="FX",N45,0)</f>
        <v>0</v>
      </c>
      <c r="W45" s="254">
        <f>IF(D45="O",IF(V45&lt;0,V45,0),0)</f>
        <v>0</v>
      </c>
      <c r="X45" s="254">
        <f>IF(B45="COM",N45,0)</f>
        <v>1.19</v>
      </c>
      <c r="Y45" s="254">
        <f>IF(D45="O",IF(X45&lt;0,X45,0),0)</f>
        <v>0</v>
      </c>
      <c r="Z45" s="254">
        <f>IF(B45="IND",N45,0)</f>
        <v>0</v>
      </c>
      <c r="AA45" s="250">
        <f>IF(D45="O",IF(Z45&lt;0,Z45,0),0)</f>
        <v>0</v>
      </c>
      <c r="AB45" s="254">
        <f>IF(B45="CRYPTO",N45,0)</f>
        <v>0</v>
      </c>
      <c r="AC45" s="250">
        <f>IF(D45="O",IF(AB45&lt;0,AB45,0),0)</f>
        <v>0</v>
      </c>
      <c r="AD45" s="255">
        <f>IF(K45&lt;&gt;"",K45-E45,0)</f>
        <v>0.101388888884685</v>
      </c>
      <c r="AE45" s="255">
        <f>IF(N45&gt;0,AD45,0)</f>
        <v>0.101388888884685</v>
      </c>
      <c r="AF45" s="255">
        <f>IF(N45&lt;0,AD45,0)</f>
        <v>0</v>
      </c>
      <c r="AG45" s="255">
        <f>IF(N45=0,AD45,0)</f>
        <v>0</v>
      </c>
    </row>
    <row r="46" spans="2:33" ht="15" customHeight="1" x14ac:dyDescent="0.3">
      <c r="B46" s="196" t="s">
        <v>5</v>
      </c>
      <c r="C46" s="197" t="s">
        <v>15</v>
      </c>
      <c r="D46" s="246" t="str">
        <f>IF(E46&lt;&gt;"",IF(K46&lt;&gt;"","C","O"),"")</f>
        <v>C</v>
      </c>
      <c r="E46" s="199">
        <v>44869.71875</v>
      </c>
      <c r="F46" s="200" t="s">
        <v>91</v>
      </c>
      <c r="G46" s="235">
        <v>13478.3</v>
      </c>
      <c r="H46" s="235">
        <v>13442.66</v>
      </c>
      <c r="I46" s="247">
        <f>ABS(G46-H46)</f>
        <v>35.639999999999418</v>
      </c>
      <c r="J46" s="235">
        <v>14143.63</v>
      </c>
      <c r="K46" s="199">
        <v>44869.768750000003</v>
      </c>
      <c r="L46" s="235">
        <v>13469.43</v>
      </c>
      <c r="M46" s="248">
        <f>ROUND(IF(C46="L",(L46-G46),(G46-L46)),4)</f>
        <v>-8.8699999999999992</v>
      </c>
      <c r="N46" s="249">
        <f>IFERROR(ROUND((M46/I46),2),"")</f>
        <v>-0.25</v>
      </c>
      <c r="O46" s="250">
        <f>IF(D46="O",IF(N46&lt;0,N46,0),0)</f>
        <v>0</v>
      </c>
      <c r="P46" s="251">
        <f>IF(N46&gt;= 0,N46,0)</f>
        <v>0</v>
      </c>
      <c r="Q46" s="251">
        <f>IF(N46&lt;0,N46,0)</f>
        <v>-0.25</v>
      </c>
      <c r="R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45345</v>
      </c>
      <c r="T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6" s="253">
        <f ca="1">IF(Tabla33610673[[#This Row],[Equity]]&lt;Tabla33610673[[#This Row],[Equity Peak]],(Tabla33610673[[#This Row],[Equity Peak]]-Tabla33610673[[#This Row],[Equity]])/Tabla33610673[[#This Row],[Equity Peak]],"")</f>
        <v>1.2156068230834587E-2</v>
      </c>
      <c r="V46" s="254">
        <f>IF(B46="FX",N46,0)</f>
        <v>0</v>
      </c>
      <c r="W46" s="254">
        <f>IF(D46="O",IF(V46&lt;0,V46,0),0)</f>
        <v>0</v>
      </c>
      <c r="X46" s="254">
        <f>IF(B46="COM",N46,0)</f>
        <v>0</v>
      </c>
      <c r="Y46" s="254">
        <f>IF(D46="O",IF(X46&lt;0,X46,0),0)</f>
        <v>0</v>
      </c>
      <c r="Z46" s="254">
        <f>IF(B46="IND",N46,0)</f>
        <v>-0.25</v>
      </c>
      <c r="AA46" s="250">
        <f>IF(D46="O",IF(Z46&lt;0,Z46,0),0)</f>
        <v>0</v>
      </c>
      <c r="AB46" s="254">
        <f>IF(B46="CRYPTO",N46,0)</f>
        <v>0</v>
      </c>
      <c r="AC46" s="250">
        <f>IF(D46="O",IF(AB46&lt;0,AB46,0),0)</f>
        <v>0</v>
      </c>
      <c r="AD46" s="255">
        <f>IF(K46&lt;&gt;"",K46-E46,0)</f>
        <v>5.0000000002910383E-2</v>
      </c>
      <c r="AE46" s="255">
        <f>IF(N46&gt;0,AD46,0)</f>
        <v>0</v>
      </c>
      <c r="AF46" s="255">
        <f>IF(N46&lt;0,AD46,0)</f>
        <v>5.0000000002910383E-2</v>
      </c>
      <c r="AG46" s="255">
        <f>IF(N46=0,AD46,0)</f>
        <v>0</v>
      </c>
    </row>
    <row r="47" spans="2:33" ht="15" customHeight="1" x14ac:dyDescent="0.3">
      <c r="B47" s="196" t="s">
        <v>5</v>
      </c>
      <c r="C47" s="197" t="s">
        <v>15</v>
      </c>
      <c r="D47" s="246" t="str">
        <f>IF(E47&lt;&gt;"",IF(K47&lt;&gt;"","C","O"),"")</f>
        <v>C</v>
      </c>
      <c r="E47" s="199">
        <v>44869.6875</v>
      </c>
      <c r="F47" s="200" t="s">
        <v>91</v>
      </c>
      <c r="G47" s="235">
        <v>13446.3</v>
      </c>
      <c r="H47" s="235">
        <v>13411.34</v>
      </c>
      <c r="I47" s="247">
        <f>ABS(G47-H47)</f>
        <v>34.959999999999127</v>
      </c>
      <c r="J47" s="235">
        <v>14098.83</v>
      </c>
      <c r="K47" s="199">
        <v>44869.696527777778</v>
      </c>
      <c r="L47" s="235">
        <v>13411.34</v>
      </c>
      <c r="M47" s="248">
        <f>ROUND(IF(C47="L",(L47-G47),(G47-L47)),4)</f>
        <v>-34.96</v>
      </c>
      <c r="N47" s="249">
        <f>IFERROR(ROUND((M47/I47),2),"")</f>
        <v>-1</v>
      </c>
      <c r="O47" s="250">
        <f>IF(D47="O",IF(N47&lt;0,N47,0),0)</f>
        <v>0</v>
      </c>
      <c r="P47" s="251">
        <f>IF(N47&gt;= 0,N47,0)</f>
        <v>0</v>
      </c>
      <c r="Q47" s="251">
        <f>IF(N47&lt;0,N47,0)</f>
        <v>-1</v>
      </c>
      <c r="R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45370</v>
      </c>
      <c r="T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7" s="253">
        <f ca="1">IF(Tabla33610673[[#This Row],[Equity]]&lt;Tabla33610673[[#This Row],[Equity Peak]],(Tabla33610673[[#This Row],[Equity Peak]]-Tabla33610673[[#This Row],[Equity]])/Tabla33610673[[#This Row],[Equity Peak]],"")</f>
        <v>1.1611441517983575E-2</v>
      </c>
      <c r="V47" s="254">
        <f>IF(B47="FX",N47,0)</f>
        <v>0</v>
      </c>
      <c r="W47" s="254">
        <f>IF(D47="O",IF(V47&lt;0,V47,0),0)</f>
        <v>0</v>
      </c>
      <c r="X47" s="254">
        <f>IF(B47="COM",N47,0)</f>
        <v>0</v>
      </c>
      <c r="Y47" s="254">
        <f>IF(D47="O",IF(X47&lt;0,X47,0),0)</f>
        <v>0</v>
      </c>
      <c r="Z47" s="254">
        <f>IF(B47="IND",N47,0)</f>
        <v>-1</v>
      </c>
      <c r="AA47" s="250">
        <f>IF(D47="O",IF(Z47&lt;0,Z47,0),0)</f>
        <v>0</v>
      </c>
      <c r="AB47" s="254">
        <f>IF(B47="CRYPTO",N47,0)</f>
        <v>0</v>
      </c>
      <c r="AC47" s="250">
        <f>IF(D47="O",IF(AB47&lt;0,AB47,0),0)</f>
        <v>0</v>
      </c>
      <c r="AD47" s="255">
        <f>IF(K47&lt;&gt;"",K47-E47,0)</f>
        <v>9.0277777781011537E-3</v>
      </c>
      <c r="AE47" s="255">
        <f>IF(N47&gt;0,AD47,0)</f>
        <v>0</v>
      </c>
      <c r="AF47" s="255">
        <f>IF(N47&lt;0,AD47,0)</f>
        <v>9.0277777781011537E-3</v>
      </c>
      <c r="AG47" s="255">
        <f>IF(N47=0,AD47,0)</f>
        <v>0</v>
      </c>
    </row>
    <row r="48" spans="2:33" ht="15" customHeight="1" x14ac:dyDescent="0.3">
      <c r="B48" s="196" t="s">
        <v>5</v>
      </c>
      <c r="C48" s="197" t="s">
        <v>13</v>
      </c>
      <c r="D48" s="246" t="str">
        <f>IF(E48&lt;&gt;"",IF(K48&lt;&gt;"","C","O"),"")</f>
        <v>C</v>
      </c>
      <c r="E48" s="199">
        <v>44867.9375</v>
      </c>
      <c r="F48" s="200" t="s">
        <v>92</v>
      </c>
      <c r="G48" s="235">
        <v>10977.43</v>
      </c>
      <c r="H48" s="235">
        <v>11024.09</v>
      </c>
      <c r="I48" s="247">
        <f>ABS(G48-H48)</f>
        <v>46.659999999999854</v>
      </c>
      <c r="J48" s="235">
        <v>10106.43</v>
      </c>
      <c r="K48" s="199">
        <v>44869.589583333334</v>
      </c>
      <c r="L48" s="235">
        <v>10800.38</v>
      </c>
      <c r="M48" s="248">
        <f>ROUND(IF(C48="L",(L48-G48),(G48-L48)),4)</f>
        <v>177.05</v>
      </c>
      <c r="N48" s="249">
        <f>IFERROR(ROUND((M48/I48),2),"")</f>
        <v>3.79</v>
      </c>
      <c r="O48" s="250">
        <f>IF(D48="O",IF(N48&lt;0,N48,0),0)</f>
        <v>0</v>
      </c>
      <c r="P48" s="251">
        <f>IF(N48&gt;= 0,N48,0)</f>
        <v>3.79</v>
      </c>
      <c r="Q48" s="251">
        <f>IF(N48&lt;0,N48,0)</f>
        <v>0</v>
      </c>
      <c r="R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45470</v>
      </c>
      <c r="T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8" s="253">
        <f ca="1">IF(Tabla33610673[[#This Row],[Equity]]&lt;Tabla33610673[[#This Row],[Equity Peak]],(Tabla33610673[[#This Row],[Equity Peak]]-Tabla33610673[[#This Row],[Equity]])/Tabla33610673[[#This Row],[Equity Peak]],"")</f>
        <v>9.4329346665795264E-3</v>
      </c>
      <c r="V48" s="254">
        <f>IF(B48="FX",N48,0)</f>
        <v>0</v>
      </c>
      <c r="W48" s="254">
        <f>IF(D48="O",IF(V48&lt;0,V48,0),0)</f>
        <v>0</v>
      </c>
      <c r="X48" s="254">
        <f>IF(B48="COM",N48,0)</f>
        <v>0</v>
      </c>
      <c r="Y48" s="254">
        <f>IF(D48="O",IF(X48&lt;0,X48,0),0)</f>
        <v>0</v>
      </c>
      <c r="Z48" s="254">
        <f>IF(B48="IND",N48,0)</f>
        <v>3.79</v>
      </c>
      <c r="AA48" s="250">
        <f>IF(D48="O",IF(Z48&lt;0,Z48,0),0)</f>
        <v>0</v>
      </c>
      <c r="AB48" s="254">
        <f>IF(B48="CRYPTO",N48,0)</f>
        <v>0</v>
      </c>
      <c r="AC48" s="250">
        <f>IF(D48="O",IF(AB48&lt;0,AB48,0),0)</f>
        <v>0</v>
      </c>
      <c r="AD48" s="255">
        <f>IF(K48&lt;&gt;"",K48-E48,0)</f>
        <v>1.6520833333343035</v>
      </c>
      <c r="AE48" s="255">
        <f>IF(N48&gt;0,AD48,0)</f>
        <v>1.6520833333343035</v>
      </c>
      <c r="AF48" s="255">
        <f>IF(N48&lt;0,AD48,0)</f>
        <v>0</v>
      </c>
      <c r="AG48" s="255">
        <f>IF(N48=0,AD48,0)</f>
        <v>0</v>
      </c>
    </row>
    <row r="49" spans="2:33" ht="15" customHeight="1" x14ac:dyDescent="0.3">
      <c r="B49" s="196" t="s">
        <v>7</v>
      </c>
      <c r="C49" s="197" t="s">
        <v>13</v>
      </c>
      <c r="D49" s="246" t="str">
        <f>IF(E49&lt;&gt;"",IF(K49&lt;&gt;"","C","O"),"")</f>
        <v>C</v>
      </c>
      <c r="E49" s="199">
        <v>44868.427083333336</v>
      </c>
      <c r="F49" s="200" t="s">
        <v>114</v>
      </c>
      <c r="G49" s="235">
        <v>0.97990999999999995</v>
      </c>
      <c r="H49" s="235">
        <v>0.98119000000000001</v>
      </c>
      <c r="I49" s="247">
        <f>ABS(G49-H49)</f>
        <v>1.2800000000000589E-3</v>
      </c>
      <c r="J49" s="235">
        <v>0.96836999999999995</v>
      </c>
      <c r="K49" s="199">
        <v>44869.246527777781</v>
      </c>
      <c r="L49" s="235">
        <v>0.97711999999999999</v>
      </c>
      <c r="M49" s="248">
        <f>ROUND(IF(C49="L",(L49-G49),(G49-L49)),4)</f>
        <v>2.8E-3</v>
      </c>
      <c r="N49" s="249">
        <f>IFERROR(ROUND((M49/I49),2),"")</f>
        <v>2.19</v>
      </c>
      <c r="O49" s="250">
        <f>IF(D49="O",IF(N49&lt;0,N49,0),0)</f>
        <v>0</v>
      </c>
      <c r="P49" s="251">
        <f>IF(N49&gt;= 0,N49,0)</f>
        <v>2.19</v>
      </c>
      <c r="Q49" s="251">
        <f>IF(N49&lt;0,N49,0)</f>
        <v>0</v>
      </c>
      <c r="R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45091</v>
      </c>
      <c r="T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49" s="253">
        <f ca="1">IF(Tabla33610673[[#This Row],[Equity]]&lt;Tabla33610673[[#This Row],[Equity Peak]],(Tabla33610673[[#This Row],[Equity Peak]]-Tabla33610673[[#This Row],[Equity]])/Tabla33610673[[#This Row],[Equity Peak]],"")</f>
        <v>1.7689475633400866E-2</v>
      </c>
      <c r="V49" s="254">
        <f>IF(B49="FX",N49,0)</f>
        <v>2.19</v>
      </c>
      <c r="W49" s="254">
        <f>IF(D49="O",IF(V49&lt;0,V49,0),0)</f>
        <v>0</v>
      </c>
      <c r="X49" s="254">
        <f>IF(B49="COM",N49,0)</f>
        <v>0</v>
      </c>
      <c r="Y49" s="254">
        <f>IF(D49="O",IF(X49&lt;0,X49,0),0)</f>
        <v>0</v>
      </c>
      <c r="Z49" s="254">
        <f>IF(B49="IND",N49,0)</f>
        <v>0</v>
      </c>
      <c r="AA49" s="250">
        <f>IF(D49="O",IF(Z49&lt;0,Z49,0),0)</f>
        <v>0</v>
      </c>
      <c r="AB49" s="254">
        <f>IF(B49="CRYPTO",N49,0)</f>
        <v>0</v>
      </c>
      <c r="AC49" s="250">
        <f>IF(D49="O",IF(AB49&lt;0,AB49,0),0)</f>
        <v>0</v>
      </c>
      <c r="AD49" s="255">
        <f>IF(K49&lt;&gt;"",K49-E49,0)</f>
        <v>0.81944444444525288</v>
      </c>
      <c r="AE49" s="255">
        <f>IF(N49&gt;0,AD49,0)</f>
        <v>0.81944444444525288</v>
      </c>
      <c r="AF49" s="255">
        <f>IF(N49&lt;0,AD49,0)</f>
        <v>0</v>
      </c>
      <c r="AG49" s="255">
        <f>IF(N49=0,AD49,0)</f>
        <v>0</v>
      </c>
    </row>
    <row r="50" spans="2:33" ht="15" customHeight="1" x14ac:dyDescent="0.3">
      <c r="B50" s="196" t="s">
        <v>5</v>
      </c>
      <c r="C50" s="197" t="s">
        <v>13</v>
      </c>
      <c r="D50" s="246" t="str">
        <f>IF(E50&lt;&gt;"",IF(K50&lt;&gt;"","C","O"),"")</f>
        <v>C</v>
      </c>
      <c r="E50" s="199">
        <v>44867.9375</v>
      </c>
      <c r="F50" s="200" t="s">
        <v>93</v>
      </c>
      <c r="G50" s="235">
        <v>10977.43</v>
      </c>
      <c r="H50" s="235">
        <v>11021.4</v>
      </c>
      <c r="I50" s="247">
        <f>ABS(G50-H50)</f>
        <v>43.969999999999345</v>
      </c>
      <c r="J50" s="235">
        <v>10508.41</v>
      </c>
      <c r="K50" s="199">
        <v>44868.727777777778</v>
      </c>
      <c r="L50" s="235">
        <v>10803.89</v>
      </c>
      <c r="M50" s="248">
        <f>ROUND(IF(C50="L",(L50-G50),(G50-L50)),4)</f>
        <v>173.54</v>
      </c>
      <c r="N50" s="249">
        <f>IFERROR(ROUND((M50/I50),2),"")</f>
        <v>3.95</v>
      </c>
      <c r="O50" s="250">
        <f>IF(D50="O",IF(N50&lt;0,N50,0),0)</f>
        <v>0</v>
      </c>
      <c r="P50" s="251">
        <f>IF(N50&gt;= 0,N50,0)</f>
        <v>3.95</v>
      </c>
      <c r="Q50" s="251">
        <f>IF(N50&lt;0,N50,0)</f>
        <v>0</v>
      </c>
      <c r="R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44872</v>
      </c>
      <c r="T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0" s="253">
        <f ca="1">IF(Tabla33610673[[#This Row],[Equity]]&lt;Tabla33610673[[#This Row],[Equity Peak]],(Tabla33610673[[#This Row],[Equity Peak]]-Tabla33610673[[#This Row],[Equity]])/Tabla33610673[[#This Row],[Equity Peak]],"")</f>
        <v>2.2460405637975731E-2</v>
      </c>
      <c r="V50" s="254">
        <f>IF(B50="FX",N50,0)</f>
        <v>0</v>
      </c>
      <c r="W50" s="254">
        <f>IF(D50="O",IF(V50&lt;0,V50,0),0)</f>
        <v>0</v>
      </c>
      <c r="X50" s="254">
        <f>IF(B50="COM",N50,0)</f>
        <v>0</v>
      </c>
      <c r="Y50" s="254">
        <f>IF(D50="O",IF(X50&lt;0,X50,0),0)</f>
        <v>0</v>
      </c>
      <c r="Z50" s="254">
        <f>IF(B50="IND",N50,0)</f>
        <v>3.95</v>
      </c>
      <c r="AA50" s="250">
        <f>IF(D50="O",IF(Z50&lt;0,Z50,0),0)</f>
        <v>0</v>
      </c>
      <c r="AB50" s="254">
        <f>IF(B50="CRYPTO",N50,0)</f>
        <v>0</v>
      </c>
      <c r="AC50" s="250">
        <f>IF(D50="O",IF(AB50&lt;0,AB50,0),0)</f>
        <v>0</v>
      </c>
      <c r="AD50" s="255">
        <f>IF(K50&lt;&gt;"",K50-E50,0)</f>
        <v>0.79027777777810115</v>
      </c>
      <c r="AE50" s="255">
        <f>IF(N50&gt;0,AD50,0)</f>
        <v>0.79027777777810115</v>
      </c>
      <c r="AF50" s="255">
        <f>IF(N50&lt;0,AD50,0)</f>
        <v>0</v>
      </c>
      <c r="AG50" s="255">
        <f>IF(N50=0,AD50,0)</f>
        <v>0</v>
      </c>
    </row>
    <row r="51" spans="2:33" ht="15" customHeight="1" x14ac:dyDescent="0.3">
      <c r="B51" s="196" t="s">
        <v>19</v>
      </c>
      <c r="C51" s="197" t="s">
        <v>13</v>
      </c>
      <c r="D51" s="246" t="str">
        <f>IF(E51&lt;&gt;"",IF(K51&lt;&gt;"","C","O"),"")</f>
        <v>C</v>
      </c>
      <c r="E51" s="199">
        <v>44868.614583333336</v>
      </c>
      <c r="F51" s="200" t="s">
        <v>88</v>
      </c>
      <c r="G51" s="235">
        <v>1616.79</v>
      </c>
      <c r="H51" s="235">
        <v>1620.9</v>
      </c>
      <c r="I51" s="247">
        <f>ABS(G51-H51)</f>
        <v>4.1100000000001273</v>
      </c>
      <c r="J51" s="235">
        <v>1567.42</v>
      </c>
      <c r="K51" s="199">
        <v>44868.626388888886</v>
      </c>
      <c r="L51" s="235">
        <v>1620.9</v>
      </c>
      <c r="M51" s="248">
        <f>ROUND(IF(C51="L",(L51-G51),(G51-L51)),4)</f>
        <v>-4.1100000000000003</v>
      </c>
      <c r="N51" s="249">
        <f>IFERROR(ROUND((M51/I51),2),"")</f>
        <v>-1</v>
      </c>
      <c r="O51" s="250">
        <f>IF(D51="O",IF(N51&lt;0,N51,0),0)</f>
        <v>0</v>
      </c>
      <c r="P51" s="251">
        <f>IF(N51&gt;= 0,N51,0)</f>
        <v>0</v>
      </c>
      <c r="Q51" s="251">
        <f>IF(N51&lt;0,N51,0)</f>
        <v>-1</v>
      </c>
      <c r="R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44477</v>
      </c>
      <c r="T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1" s="253">
        <f ca="1">IF(Tabla33610673[[#This Row],[Equity]]&lt;Tabla33610673[[#This Row],[Equity Peak]],(Tabla33610673[[#This Row],[Equity Peak]]-Tabla33610673[[#This Row],[Equity]])/Tabla33610673[[#This Row],[Equity Peak]],"")</f>
        <v>3.1065507701021719E-2</v>
      </c>
      <c r="V51" s="254">
        <f>IF(B51="FX",N51,0)</f>
        <v>0</v>
      </c>
      <c r="W51" s="254">
        <f>IF(D51="O",IF(V51&lt;0,V51,0),0)</f>
        <v>0</v>
      </c>
      <c r="X51" s="254">
        <f>IF(B51="COM",N51,0)</f>
        <v>-1</v>
      </c>
      <c r="Y51" s="254">
        <f>IF(D51="O",IF(X51&lt;0,X51,0),0)</f>
        <v>0</v>
      </c>
      <c r="Z51" s="254">
        <f>IF(B51="IND",N51,0)</f>
        <v>0</v>
      </c>
      <c r="AA51" s="250">
        <f>IF(D51="O",IF(Z51&lt;0,Z51,0),0)</f>
        <v>0</v>
      </c>
      <c r="AB51" s="254">
        <f>IF(B51="CRYPTO",N51,0)</f>
        <v>0</v>
      </c>
      <c r="AC51" s="250">
        <f>IF(D51="O",IF(AB51&lt;0,AB51,0),0)</f>
        <v>0</v>
      </c>
      <c r="AD51" s="255">
        <f>IF(K51&lt;&gt;"",K51-E51,0)</f>
        <v>1.1805555550381541E-2</v>
      </c>
      <c r="AE51" s="255">
        <f>IF(N51&gt;0,AD51,0)</f>
        <v>0</v>
      </c>
      <c r="AF51" s="255">
        <f>IF(N51&lt;0,AD51,0)</f>
        <v>1.1805555550381541E-2</v>
      </c>
      <c r="AG51" s="255">
        <f>IF(N51=0,AD51,0)</f>
        <v>0</v>
      </c>
    </row>
    <row r="52" spans="2:33" ht="15" customHeight="1" x14ac:dyDescent="0.3">
      <c r="B52" s="196" t="s">
        <v>7</v>
      </c>
      <c r="C52" s="197" t="s">
        <v>13</v>
      </c>
      <c r="D52" s="246" t="str">
        <f>IF(E52&lt;&gt;"",IF(K52&lt;&gt;"","C","O"),"")</f>
        <v>C</v>
      </c>
      <c r="E52" s="199">
        <v>44867.166666666664</v>
      </c>
      <c r="F52" s="200" t="s">
        <v>115</v>
      </c>
      <c r="G52" s="235">
        <v>169.41900000000001</v>
      </c>
      <c r="H52" s="235">
        <v>170.06899999999999</v>
      </c>
      <c r="I52" s="247">
        <f>ABS(G52-H52)</f>
        <v>0.64999999999997726</v>
      </c>
      <c r="J52" s="235">
        <v>167.56299999999999</v>
      </c>
      <c r="K52" s="199">
        <v>44868.463194444441</v>
      </c>
      <c r="L52" s="235">
        <v>167.56299999999999</v>
      </c>
      <c r="M52" s="248">
        <f>ROUND(IF(C52="L",(L52-G52),(G52-L52)),4)</f>
        <v>1.8560000000000001</v>
      </c>
      <c r="N52" s="249">
        <f>IFERROR(ROUND((M52/I52),2),"")</f>
        <v>2.86</v>
      </c>
      <c r="O52" s="250">
        <f>IF(D52="O",IF(N52&lt;0,N52,0),0)</f>
        <v>0</v>
      </c>
      <c r="P52" s="251">
        <f>IF(N52&gt;= 0,N52,0)</f>
        <v>2.86</v>
      </c>
      <c r="Q52" s="251">
        <f>IF(N52&lt;0,N52,0)</f>
        <v>0</v>
      </c>
      <c r="R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44577</v>
      </c>
      <c r="T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2" s="253">
        <f ca="1">IF(Tabla33610673[[#This Row],[Equity]]&lt;Tabla33610673[[#This Row],[Equity Peak]],(Tabla33610673[[#This Row],[Equity Peak]]-Tabla33610673[[#This Row],[Equity]])/Tabla33610673[[#This Row],[Equity Peak]],"")</f>
        <v>2.8887000849617671E-2</v>
      </c>
      <c r="V52" s="254">
        <f>IF(B52="FX",N52,0)</f>
        <v>2.86</v>
      </c>
      <c r="W52" s="254">
        <f>IF(D52="O",IF(V52&lt;0,V52,0),0)</f>
        <v>0</v>
      </c>
      <c r="X52" s="254">
        <f>IF(B52="COM",N52,0)</f>
        <v>0</v>
      </c>
      <c r="Y52" s="254">
        <f>IF(D52="O",IF(X52&lt;0,X52,0),0)</f>
        <v>0</v>
      </c>
      <c r="Z52" s="254">
        <f>IF(B52="IND",N52,0)</f>
        <v>0</v>
      </c>
      <c r="AA52" s="250">
        <f>IF(D52="O",IF(Z52&lt;0,Z52,0),0)</f>
        <v>0</v>
      </c>
      <c r="AB52" s="254">
        <f>IF(B52="CRYPTO",N52,0)</f>
        <v>0</v>
      </c>
      <c r="AC52" s="250">
        <f>IF(D52="O",IF(AB52&lt;0,AB52,0),0)</f>
        <v>0</v>
      </c>
      <c r="AD52" s="255">
        <f>IF(K52&lt;&gt;"",K52-E52,0)</f>
        <v>1.296527777776646</v>
      </c>
      <c r="AE52" s="255">
        <f>IF(N52&gt;0,AD52,0)</f>
        <v>1.296527777776646</v>
      </c>
      <c r="AF52" s="255">
        <f>IF(N52&lt;0,AD52,0)</f>
        <v>0</v>
      </c>
      <c r="AG52" s="255">
        <f>IF(N52=0,AD52,0)</f>
        <v>0</v>
      </c>
    </row>
    <row r="53" spans="2:33" ht="15" customHeight="1" x14ac:dyDescent="0.3">
      <c r="B53" s="196" t="s">
        <v>7</v>
      </c>
      <c r="C53" s="197" t="s">
        <v>13</v>
      </c>
      <c r="D53" s="246" t="str">
        <f>IF(E53&lt;&gt;"",IF(K53&lt;&gt;"","C","O"),"")</f>
        <v>C</v>
      </c>
      <c r="E53" s="199">
        <v>44867.9375</v>
      </c>
      <c r="F53" s="200" t="s">
        <v>114</v>
      </c>
      <c r="G53" s="235">
        <v>0.98358999999999996</v>
      </c>
      <c r="H53" s="235">
        <v>0.98824000000000001</v>
      </c>
      <c r="I53" s="247">
        <f>ABS(G53-H53)</f>
        <v>4.650000000000043E-3</v>
      </c>
      <c r="J53" s="235">
        <v>0.94169999999999998</v>
      </c>
      <c r="K53" s="199">
        <v>44868.194444444445</v>
      </c>
      <c r="L53" s="235">
        <v>0.98392000000000002</v>
      </c>
      <c r="M53" s="248">
        <f>ROUND(IF(C53="L",(L53-G53),(G53-L53)),4)</f>
        <v>-2.9999999999999997E-4</v>
      </c>
      <c r="N53" s="249">
        <f>IFERROR(ROUND((M53/I53),2),"")</f>
        <v>-0.06</v>
      </c>
      <c r="O53" s="250">
        <f>IF(D53="O",IF(N53&lt;0,N53,0),0)</f>
        <v>0</v>
      </c>
      <c r="P53" s="251">
        <f>IF(N53&gt;= 0,N53,0)</f>
        <v>0</v>
      </c>
      <c r="Q53" s="251">
        <f>IF(N53&lt;0,N53,0)</f>
        <v>-0.06</v>
      </c>
      <c r="R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44291</v>
      </c>
      <c r="T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3" s="253">
        <f ca="1">IF(Tabla33610673[[#This Row],[Equity]]&lt;Tabla33610673[[#This Row],[Equity Peak]],(Tabla33610673[[#This Row],[Equity Peak]]-Tabla33610673[[#This Row],[Equity]])/Tabla33610673[[#This Row],[Equity Peak]],"")</f>
        <v>3.5117530444633248E-2</v>
      </c>
      <c r="V53" s="254">
        <f>IF(B53="FX",N53,0)</f>
        <v>-0.06</v>
      </c>
      <c r="W53" s="254">
        <f>IF(D53="O",IF(V53&lt;0,V53,0),0)</f>
        <v>0</v>
      </c>
      <c r="X53" s="254">
        <f>IF(B53="COM",N53,0)</f>
        <v>0</v>
      </c>
      <c r="Y53" s="254">
        <f>IF(D53="O",IF(X53&lt;0,X53,0),0)</f>
        <v>0</v>
      </c>
      <c r="Z53" s="254">
        <f>IF(B53="IND",N53,0)</f>
        <v>0</v>
      </c>
      <c r="AA53" s="250">
        <f>IF(D53="O",IF(Z53&lt;0,Z53,0),0)</f>
        <v>0</v>
      </c>
      <c r="AB53" s="254">
        <f>IF(B53="CRYPTO",N53,0)</f>
        <v>0</v>
      </c>
      <c r="AC53" s="250">
        <f>IF(D53="O",IF(AB53&lt;0,AB53,0),0)</f>
        <v>0</v>
      </c>
      <c r="AD53" s="255">
        <f>IF(K53&lt;&gt;"",K53-E53,0)</f>
        <v>0.25694444444525288</v>
      </c>
      <c r="AE53" s="255">
        <f>IF(N53&gt;0,AD53,0)</f>
        <v>0</v>
      </c>
      <c r="AF53" s="255">
        <f>IF(N53&lt;0,AD53,0)</f>
        <v>0.25694444444525288</v>
      </c>
      <c r="AG53" s="255">
        <f>IF(N53=0,AD53,0)</f>
        <v>0</v>
      </c>
    </row>
    <row r="54" spans="2:33" ht="15" customHeight="1" x14ac:dyDescent="0.3">
      <c r="B54" s="196" t="s">
        <v>5</v>
      </c>
      <c r="C54" s="197" t="s">
        <v>13</v>
      </c>
      <c r="D54" s="246" t="str">
        <f>IF(E54&lt;&gt;"",IF(K54&lt;&gt;"","C","O"),"")</f>
        <v>C</v>
      </c>
      <c r="E54" s="199">
        <v>44867.916666666664</v>
      </c>
      <c r="F54" s="200" t="s">
        <v>92</v>
      </c>
      <c r="G54" s="235">
        <v>11116.58</v>
      </c>
      <c r="H54" s="235">
        <v>11158.29</v>
      </c>
      <c r="I54" s="247">
        <f>ABS(G54-H54)</f>
        <v>41.710000000000946</v>
      </c>
      <c r="J54" s="235">
        <v>10337.98</v>
      </c>
      <c r="K54" s="199">
        <v>44867.922222222223</v>
      </c>
      <c r="L54" s="235">
        <v>11158.29</v>
      </c>
      <c r="M54" s="248">
        <f>ROUND(IF(C54="L",(L54-G54),(G54-L54)),4)</f>
        <v>-41.71</v>
      </c>
      <c r="N54" s="249">
        <f>IFERROR(ROUND((M54/I54),2),"")</f>
        <v>-1</v>
      </c>
      <c r="O54" s="250">
        <f>IF(D54="O",IF(N54&lt;0,N54,0),0)</f>
        <v>0</v>
      </c>
      <c r="P54" s="251">
        <f>IF(N54&gt;= 0,N54,0)</f>
        <v>0</v>
      </c>
      <c r="Q54" s="251">
        <f>IF(N54&lt;0,N54,0)</f>
        <v>-1</v>
      </c>
      <c r="R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44297</v>
      </c>
      <c r="T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4" s="253">
        <f ca="1">IF(Tabla33610673[[#This Row],[Equity]]&lt;Tabla33610673[[#This Row],[Equity Peak]],(Tabla33610673[[#This Row],[Equity Peak]]-Tabla33610673[[#This Row],[Equity]])/Tabla33610673[[#This Row],[Equity Peak]],"")</f>
        <v>3.4986820033549006E-2</v>
      </c>
      <c r="V54" s="254">
        <f>IF(B54="FX",N54,0)</f>
        <v>0</v>
      </c>
      <c r="W54" s="254">
        <f>IF(D54="O",IF(V54&lt;0,V54,0),0)</f>
        <v>0</v>
      </c>
      <c r="X54" s="254">
        <f>IF(B54="COM",N54,0)</f>
        <v>0</v>
      </c>
      <c r="Y54" s="254">
        <f>IF(D54="O",IF(X54&lt;0,X54,0),0)</f>
        <v>0</v>
      </c>
      <c r="Z54" s="254">
        <f>IF(B54="IND",N54,0)</f>
        <v>-1</v>
      </c>
      <c r="AA54" s="250">
        <f>IF(D54="O",IF(Z54&lt;0,Z54,0),0)</f>
        <v>0</v>
      </c>
      <c r="AB54" s="254">
        <f>IF(B54="CRYPTO",N54,0)</f>
        <v>0</v>
      </c>
      <c r="AC54" s="250">
        <f>IF(D54="O",IF(AB54&lt;0,AB54,0),0)</f>
        <v>0</v>
      </c>
      <c r="AD54" s="255">
        <f>IF(K54&lt;&gt;"",K54-E54,0)</f>
        <v>5.5555555591126904E-3</v>
      </c>
      <c r="AE54" s="255">
        <f>IF(N54&gt;0,AD54,0)</f>
        <v>0</v>
      </c>
      <c r="AF54" s="255">
        <f>IF(N54&lt;0,AD54,0)</f>
        <v>5.5555555591126904E-3</v>
      </c>
      <c r="AG54" s="255">
        <f>IF(N54=0,AD54,0)</f>
        <v>0</v>
      </c>
    </row>
    <row r="55" spans="2:33" ht="15" customHeight="1" x14ac:dyDescent="0.3">
      <c r="B55" s="196" t="s">
        <v>5</v>
      </c>
      <c r="C55" s="197" t="s">
        <v>13</v>
      </c>
      <c r="D55" s="246" t="str">
        <f>IF(E55&lt;&gt;"",IF(K55&lt;&gt;"","C","O"),"")</f>
        <v>C</v>
      </c>
      <c r="E55" s="199">
        <v>44867.916666666664</v>
      </c>
      <c r="F55" s="200" t="s">
        <v>93</v>
      </c>
      <c r="G55" s="235">
        <v>11116.58</v>
      </c>
      <c r="H55" s="235">
        <v>11156.71</v>
      </c>
      <c r="I55" s="247">
        <f>ABS(G55-H55)</f>
        <v>40.1299999999992</v>
      </c>
      <c r="J55" s="235">
        <v>10688.49</v>
      </c>
      <c r="K55" s="199">
        <v>44867.920138888891</v>
      </c>
      <c r="L55" s="235">
        <v>11156.71</v>
      </c>
      <c r="M55" s="248">
        <f>ROUND(IF(C55="L",(L55-G55),(G55-L55)),4)</f>
        <v>-40.130000000000003</v>
      </c>
      <c r="N55" s="249">
        <f>IFERROR(ROUND((M55/I55),2),"")</f>
        <v>-1</v>
      </c>
      <c r="O55" s="250">
        <f>IF(D55="O",IF(N55&lt;0,N55,0),0)</f>
        <v>0</v>
      </c>
      <c r="P55" s="251">
        <f>IF(N55&gt;= 0,N55,0)</f>
        <v>0</v>
      </c>
      <c r="Q55" s="251">
        <f>IF(N55&lt;0,N55,0)</f>
        <v>-1</v>
      </c>
      <c r="R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44397</v>
      </c>
      <c r="T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5" s="253">
        <f ca="1">IF(Tabla33610673[[#This Row],[Equity]]&lt;Tabla33610673[[#This Row],[Equity Peak]],(Tabla33610673[[#This Row],[Equity Peak]]-Tabla33610673[[#This Row],[Equity]])/Tabla33610673[[#This Row],[Equity Peak]],"")</f>
        <v>3.2808313182144958E-2</v>
      </c>
      <c r="V55" s="254">
        <f>IF(B55="FX",N55,0)</f>
        <v>0</v>
      </c>
      <c r="W55" s="254">
        <f>IF(D55="O",IF(V55&lt;0,V55,0),0)</f>
        <v>0</v>
      </c>
      <c r="X55" s="254">
        <f>IF(B55="COM",N55,0)</f>
        <v>0</v>
      </c>
      <c r="Y55" s="254">
        <f>IF(D55="O",IF(X55&lt;0,X55,0),0)</f>
        <v>0</v>
      </c>
      <c r="Z55" s="254">
        <f>IF(B55="IND",N55,0)</f>
        <v>-1</v>
      </c>
      <c r="AA55" s="250">
        <f>IF(D55="O",IF(Z55&lt;0,Z55,0),0)</f>
        <v>0</v>
      </c>
      <c r="AB55" s="254">
        <f>IF(B55="CRYPTO",N55,0)</f>
        <v>0</v>
      </c>
      <c r="AC55" s="250">
        <f>IF(D55="O",IF(AB55&lt;0,AB55,0),0)</f>
        <v>0</v>
      </c>
      <c r="AD55" s="255">
        <f>IF(K55&lt;&gt;"",K55-E55,0)</f>
        <v>3.4722222262644209E-3</v>
      </c>
      <c r="AE55" s="255">
        <f>IF(N55&gt;0,AD55,0)</f>
        <v>0</v>
      </c>
      <c r="AF55" s="255">
        <f>IF(N55&lt;0,AD55,0)</f>
        <v>3.4722222262644209E-3</v>
      </c>
      <c r="AG55" s="255">
        <f>IF(N55=0,AD55,0)</f>
        <v>0</v>
      </c>
    </row>
    <row r="56" spans="2:33" ht="15" customHeight="1" x14ac:dyDescent="0.3">
      <c r="B56" s="196" t="s">
        <v>5</v>
      </c>
      <c r="C56" s="197" t="s">
        <v>13</v>
      </c>
      <c r="D56" s="246" t="str">
        <f>IF(E56&lt;&gt;"",IF(K56&lt;&gt;"","C","O"),"")</f>
        <v>C</v>
      </c>
      <c r="E56" s="199">
        <v>44867.71875</v>
      </c>
      <c r="F56" s="200" t="s">
        <v>92</v>
      </c>
      <c r="G56" s="235">
        <v>11223.43</v>
      </c>
      <c r="H56" s="235">
        <v>11250.65</v>
      </c>
      <c r="I56" s="247">
        <f>ABS(G56-H56)</f>
        <v>27.219999999999345</v>
      </c>
      <c r="J56" s="235">
        <v>10715.28</v>
      </c>
      <c r="K56" s="199">
        <v>44867.875</v>
      </c>
      <c r="L56" s="235">
        <v>11241.18</v>
      </c>
      <c r="M56" s="248">
        <f>ROUND(IF(C56="L",(L56-G56),(G56-L56)),4)</f>
        <v>-17.75</v>
      </c>
      <c r="N56" s="249">
        <f>IFERROR(ROUND((M56/I56),2),"")</f>
        <v>-0.65</v>
      </c>
      <c r="O56" s="250">
        <f>IF(D56="O",IF(N56&lt;0,N56,0),0)</f>
        <v>0</v>
      </c>
      <c r="P56" s="251">
        <f>IF(N56&gt;= 0,N56,0)</f>
        <v>0</v>
      </c>
      <c r="Q56" s="251">
        <f>IF(N56&lt;0,N56,0)</f>
        <v>-0.65</v>
      </c>
      <c r="R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44497</v>
      </c>
      <c r="T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6" s="253">
        <f ca="1">IF(Tabla33610673[[#This Row],[Equity]]&lt;Tabla33610673[[#This Row],[Equity Peak]],(Tabla33610673[[#This Row],[Equity Peak]]-Tabla33610673[[#This Row],[Equity]])/Tabla33610673[[#This Row],[Equity Peak]],"")</f>
        <v>3.0629806330740909E-2</v>
      </c>
      <c r="V56" s="254">
        <f>IF(B56="FX",N56,0)</f>
        <v>0</v>
      </c>
      <c r="W56" s="254">
        <f>IF(D56="O",IF(V56&lt;0,V56,0),0)</f>
        <v>0</v>
      </c>
      <c r="X56" s="254">
        <f>IF(B56="COM",N56,0)</f>
        <v>0</v>
      </c>
      <c r="Y56" s="254">
        <f>IF(D56="O",IF(X56&lt;0,X56,0),0)</f>
        <v>0</v>
      </c>
      <c r="Z56" s="254">
        <f>IF(B56="IND",N56,0)</f>
        <v>-0.65</v>
      </c>
      <c r="AA56" s="250">
        <f>IF(D56="O",IF(Z56&lt;0,Z56,0),0)</f>
        <v>0</v>
      </c>
      <c r="AB56" s="254">
        <f>IF(B56="CRYPTO",N56,0)</f>
        <v>0</v>
      </c>
      <c r="AC56" s="250">
        <f>IF(D56="O",IF(AB56&lt;0,AB56,0),0)</f>
        <v>0</v>
      </c>
      <c r="AD56" s="255">
        <f>IF(K56&lt;&gt;"",K56-E56,0)</f>
        <v>0.15625</v>
      </c>
      <c r="AE56" s="255">
        <f>IF(N56&gt;0,AD56,0)</f>
        <v>0</v>
      </c>
      <c r="AF56" s="255">
        <f>IF(N56&lt;0,AD56,0)</f>
        <v>0.15625</v>
      </c>
      <c r="AG56" s="255">
        <f>IF(N56=0,AD56,0)</f>
        <v>0</v>
      </c>
    </row>
    <row r="57" spans="2:33" ht="15" customHeight="1" x14ac:dyDescent="0.3">
      <c r="B57" s="196" t="s">
        <v>5</v>
      </c>
      <c r="C57" s="197" t="s">
        <v>13</v>
      </c>
      <c r="D57" s="246" t="str">
        <f>IF(E57&lt;&gt;"",IF(K57&lt;&gt;"","C","O"),"")</f>
        <v>C</v>
      </c>
      <c r="E57" s="199">
        <v>44867.71875</v>
      </c>
      <c r="F57" s="200" t="s">
        <v>93</v>
      </c>
      <c r="G57" s="235">
        <v>11223.43</v>
      </c>
      <c r="H57" s="235">
        <v>11254.79</v>
      </c>
      <c r="I57" s="247">
        <f>ABS(G57-H57)</f>
        <v>31.360000000000582</v>
      </c>
      <c r="J57" s="235">
        <v>10888.88</v>
      </c>
      <c r="K57" s="199">
        <v>44867.868750000001</v>
      </c>
      <c r="L57" s="235">
        <v>11227.26</v>
      </c>
      <c r="M57" s="248">
        <f>ROUND(IF(C57="L",(L57-G57),(G57-L57)),4)</f>
        <v>-3.83</v>
      </c>
      <c r="N57" s="249">
        <f>IFERROR(ROUND((M57/I57),2),"")</f>
        <v>-0.12</v>
      </c>
      <c r="O57" s="250">
        <f>IF(D57="O",IF(N57&lt;0,N57,0),0)</f>
        <v>0</v>
      </c>
      <c r="P57" s="251">
        <f>IF(N57&gt;= 0,N57,0)</f>
        <v>0</v>
      </c>
      <c r="Q57" s="251">
        <f>IF(N57&lt;0,N57,0)</f>
        <v>-0.12</v>
      </c>
      <c r="R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44562</v>
      </c>
      <c r="T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7" s="253">
        <f ca="1">IF(Tabla33610673[[#This Row],[Equity]]&lt;Tabla33610673[[#This Row],[Equity Peak]],(Tabla33610673[[#This Row],[Equity Peak]]-Tabla33610673[[#This Row],[Equity]])/Tabla33610673[[#This Row],[Equity Peak]],"")</f>
        <v>2.921377687732828E-2</v>
      </c>
      <c r="V57" s="254">
        <f>IF(B57="FX",N57,0)</f>
        <v>0</v>
      </c>
      <c r="W57" s="254">
        <f>IF(D57="O",IF(V57&lt;0,V57,0),0)</f>
        <v>0</v>
      </c>
      <c r="X57" s="254">
        <f>IF(B57="COM",N57,0)</f>
        <v>0</v>
      </c>
      <c r="Y57" s="254">
        <f>IF(D57="O",IF(X57&lt;0,X57,0),0)</f>
        <v>0</v>
      </c>
      <c r="Z57" s="254">
        <f>IF(B57="IND",N57,0)</f>
        <v>-0.12</v>
      </c>
      <c r="AA57" s="250">
        <f>IF(D57="O",IF(Z57&lt;0,Z57,0),0)</f>
        <v>0</v>
      </c>
      <c r="AB57" s="254">
        <f>IF(B57="CRYPTO",N57,0)</f>
        <v>0</v>
      </c>
      <c r="AC57" s="250">
        <f>IF(D57="O",IF(AB57&lt;0,AB57,0),0)</f>
        <v>0</v>
      </c>
      <c r="AD57" s="255">
        <f>IF(K57&lt;&gt;"",K57-E57,0)</f>
        <v>0.15000000000145519</v>
      </c>
      <c r="AE57" s="255">
        <f>IF(N57&gt;0,AD57,0)</f>
        <v>0</v>
      </c>
      <c r="AF57" s="255">
        <f>IF(N57&lt;0,AD57,0)</f>
        <v>0.15000000000145519</v>
      </c>
      <c r="AG57" s="255">
        <f>IF(N57=0,AD57,0)</f>
        <v>0</v>
      </c>
    </row>
    <row r="58" spans="2:33" ht="15" customHeight="1" x14ac:dyDescent="0.3">
      <c r="B58" s="196" t="s">
        <v>5</v>
      </c>
      <c r="C58" s="197" t="s">
        <v>13</v>
      </c>
      <c r="D58" s="246" t="str">
        <f>IF(E58&lt;&gt;"",IF(K58&lt;&gt;"","C","O"),"")</f>
        <v>C</v>
      </c>
      <c r="E58" s="199">
        <v>44866.96875</v>
      </c>
      <c r="F58" s="200" t="s">
        <v>92</v>
      </c>
      <c r="G58" s="235">
        <v>11256.66</v>
      </c>
      <c r="H58" s="235">
        <v>11293.2</v>
      </c>
      <c r="I58" s="247">
        <f>ABS(G58-H58)</f>
        <v>36.540000000000873</v>
      </c>
      <c r="J58" s="235">
        <v>10574.6</v>
      </c>
      <c r="K58" s="199">
        <v>44867.049305555556</v>
      </c>
      <c r="L58" s="235">
        <v>11293.2</v>
      </c>
      <c r="M58" s="248">
        <f>ROUND(IF(C58="L",(L58-G58),(G58-L58)),4)</f>
        <v>-36.54</v>
      </c>
      <c r="N58" s="249">
        <f>IFERROR(ROUND((M58/I58),2),"")</f>
        <v>-1</v>
      </c>
      <c r="O58" s="250">
        <f>IF(D58="O",IF(N58&lt;0,N58,0),0)</f>
        <v>0</v>
      </c>
      <c r="P58" s="251">
        <f>IF(N58&gt;= 0,N58,0)</f>
        <v>0</v>
      </c>
      <c r="Q58" s="251">
        <f>IF(N58&lt;0,N58,0)</f>
        <v>-1</v>
      </c>
      <c r="R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44574</v>
      </c>
      <c r="T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8" s="253">
        <f ca="1">IF(Tabla33610673[[#This Row],[Equity]]&lt;Tabla33610673[[#This Row],[Equity Peak]],(Tabla33610673[[#This Row],[Equity Peak]]-Tabla33610673[[#This Row],[Equity]])/Tabla33610673[[#This Row],[Equity Peak]],"")</f>
        <v>2.8952356055159792E-2</v>
      </c>
      <c r="V58" s="254">
        <f>IF(B58="FX",N58,0)</f>
        <v>0</v>
      </c>
      <c r="W58" s="254">
        <f>IF(D58="O",IF(V58&lt;0,V58,0),0)</f>
        <v>0</v>
      </c>
      <c r="X58" s="254">
        <f>IF(B58="COM",N58,0)</f>
        <v>0</v>
      </c>
      <c r="Y58" s="254">
        <f>IF(D58="O",IF(X58&lt;0,X58,0),0)</f>
        <v>0</v>
      </c>
      <c r="Z58" s="254">
        <f>IF(B58="IND",N58,0)</f>
        <v>-1</v>
      </c>
      <c r="AA58" s="250">
        <f>IF(D58="O",IF(Z58&lt;0,Z58,0),0)</f>
        <v>0</v>
      </c>
      <c r="AB58" s="254">
        <f>IF(B58="CRYPTO",N58,0)</f>
        <v>0</v>
      </c>
      <c r="AC58" s="250">
        <f>IF(D58="O",IF(AB58&lt;0,AB58,0),0)</f>
        <v>0</v>
      </c>
      <c r="AD58" s="255">
        <f>IF(K58&lt;&gt;"",K58-E58,0)</f>
        <v>8.0555555556202307E-2</v>
      </c>
      <c r="AE58" s="255">
        <f>IF(N58&gt;0,AD58,0)</f>
        <v>0</v>
      </c>
      <c r="AF58" s="255">
        <f>IF(N58&lt;0,AD58,0)</f>
        <v>8.0555555556202307E-2</v>
      </c>
      <c r="AG58" s="255">
        <f>IF(N58=0,AD58,0)</f>
        <v>0</v>
      </c>
    </row>
    <row r="59" spans="2:33" ht="15" customHeight="1" x14ac:dyDescent="0.3">
      <c r="B59" s="196" t="s">
        <v>5</v>
      </c>
      <c r="C59" s="197" t="s">
        <v>13</v>
      </c>
      <c r="D59" s="246" t="str">
        <f>IF(E59&lt;&gt;"",IF(K59&lt;&gt;"","C","O"),"")</f>
        <v>C</v>
      </c>
      <c r="E59" s="199">
        <v>44866.96875</v>
      </c>
      <c r="F59" s="200" t="s">
        <v>93</v>
      </c>
      <c r="G59" s="235">
        <v>11256.66</v>
      </c>
      <c r="H59" s="235">
        <v>11290.99</v>
      </c>
      <c r="I59" s="247">
        <f>ABS(G59-H59)</f>
        <v>34.329999999999927</v>
      </c>
      <c r="J59" s="235">
        <v>10890.44</v>
      </c>
      <c r="K59" s="199">
        <v>44867.041666666664</v>
      </c>
      <c r="L59" s="235">
        <v>11290.99</v>
      </c>
      <c r="M59" s="248">
        <f>ROUND(IF(C59="L",(L59-G59),(G59-L59)),4)</f>
        <v>-34.33</v>
      </c>
      <c r="N59" s="249">
        <f>IFERROR(ROUND((M59/I59),2),"")</f>
        <v>-1</v>
      </c>
      <c r="O59" s="250">
        <f>IF(D59="O",IF(N59&lt;0,N59,0),0)</f>
        <v>0</v>
      </c>
      <c r="P59" s="251">
        <f>IF(N59&gt;= 0,N59,0)</f>
        <v>0</v>
      </c>
      <c r="Q59" s="251">
        <f>IF(N59&lt;0,N59,0)</f>
        <v>-1</v>
      </c>
      <c r="R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44674</v>
      </c>
      <c r="T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59" s="253">
        <f ca="1">IF(Tabla33610673[[#This Row],[Equity]]&lt;Tabla33610673[[#This Row],[Equity Peak]],(Tabla33610673[[#This Row],[Equity Peak]]-Tabla33610673[[#This Row],[Equity]])/Tabla33610673[[#This Row],[Equity Peak]],"")</f>
        <v>2.6773849203755747E-2</v>
      </c>
      <c r="V59" s="254">
        <f>IF(B59="FX",N59,0)</f>
        <v>0</v>
      </c>
      <c r="W59" s="254">
        <f>IF(D59="O",IF(V59&lt;0,V59,0),0)</f>
        <v>0</v>
      </c>
      <c r="X59" s="254">
        <f>IF(B59="COM",N59,0)</f>
        <v>0</v>
      </c>
      <c r="Y59" s="254">
        <f>IF(D59="O",IF(X59&lt;0,X59,0),0)</f>
        <v>0</v>
      </c>
      <c r="Z59" s="254">
        <f>IF(B59="IND",N59,0)</f>
        <v>-1</v>
      </c>
      <c r="AA59" s="250">
        <f>IF(D59="O",IF(Z59&lt;0,Z59,0),0)</f>
        <v>0</v>
      </c>
      <c r="AB59" s="254">
        <f>IF(B59="CRYPTO",N59,0)</f>
        <v>0</v>
      </c>
      <c r="AC59" s="250">
        <f>IF(D59="O",IF(AB59&lt;0,AB59,0),0)</f>
        <v>0</v>
      </c>
      <c r="AD59" s="255">
        <f>IF(K59&lt;&gt;"",K59-E59,0)</f>
        <v>7.2916666664241347E-2</v>
      </c>
      <c r="AE59" s="255">
        <f>IF(N59&gt;0,AD59,0)</f>
        <v>0</v>
      </c>
      <c r="AF59" s="255">
        <f>IF(N59&lt;0,AD59,0)</f>
        <v>7.2916666664241347E-2</v>
      </c>
      <c r="AG59" s="255">
        <f>IF(N59=0,AD59,0)</f>
        <v>0</v>
      </c>
    </row>
    <row r="60" spans="2:33" ht="15" customHeight="1" x14ac:dyDescent="0.3">
      <c r="B60" s="196" t="s">
        <v>7</v>
      </c>
      <c r="C60" s="197" t="s">
        <v>13</v>
      </c>
      <c r="D60" s="246" t="str">
        <f>IF(E60&lt;&gt;"",IF(K60&lt;&gt;"","C","O"),"")</f>
        <v>C</v>
      </c>
      <c r="E60" s="199">
        <v>44866.427083333336</v>
      </c>
      <c r="F60" s="200" t="s">
        <v>115</v>
      </c>
      <c r="G60" s="235">
        <v>170.227</v>
      </c>
      <c r="H60" s="235">
        <v>170.809</v>
      </c>
      <c r="I60" s="247">
        <f>ABS(G60-H60)</f>
        <v>0.58199999999999363</v>
      </c>
      <c r="J60" s="235">
        <v>168.565</v>
      </c>
      <c r="K60" s="199">
        <v>44866.710416666669</v>
      </c>
      <c r="L60" s="235">
        <v>170.471</v>
      </c>
      <c r="M60" s="248">
        <f>ROUND(IF(C60="L",(L60-G60),(G60-L60)),4)</f>
        <v>-0.24399999999999999</v>
      </c>
      <c r="N60" s="249">
        <f>IFERROR(ROUND((M60/I60),2),"")</f>
        <v>-0.42</v>
      </c>
      <c r="O60" s="250">
        <f>IF(D60="O",IF(N60&lt;0,N60,0),0)</f>
        <v>0</v>
      </c>
      <c r="P60" s="251">
        <f>IF(N60&gt;= 0,N60,0)</f>
        <v>0</v>
      </c>
      <c r="Q60" s="251">
        <f>IF(N60&lt;0,N60,0)</f>
        <v>-0.42</v>
      </c>
      <c r="R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44774</v>
      </c>
      <c r="T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0" s="253">
        <f ca="1">IF(Tabla33610673[[#This Row],[Equity]]&lt;Tabla33610673[[#This Row],[Equity Peak]],(Tabla33610673[[#This Row],[Equity Peak]]-Tabla33610673[[#This Row],[Equity]])/Tabla33610673[[#This Row],[Equity Peak]],"")</f>
        <v>2.4595342352351699E-2</v>
      </c>
      <c r="V60" s="254">
        <f>IF(B60="FX",N60,0)</f>
        <v>-0.42</v>
      </c>
      <c r="W60" s="254">
        <f>IF(D60="O",IF(V60&lt;0,V60,0),0)</f>
        <v>0</v>
      </c>
      <c r="X60" s="254">
        <f>IF(B60="COM",N60,0)</f>
        <v>0</v>
      </c>
      <c r="Y60" s="254">
        <f>IF(D60="O",IF(X60&lt;0,X60,0),0)</f>
        <v>0</v>
      </c>
      <c r="Z60" s="254">
        <f>IF(B60="IND",N60,0)</f>
        <v>0</v>
      </c>
      <c r="AA60" s="250">
        <f>IF(D60="O",IF(Z60&lt;0,Z60,0),0)</f>
        <v>0</v>
      </c>
      <c r="AB60" s="254">
        <f>IF(B60="CRYPTO",N60,0)</f>
        <v>0</v>
      </c>
      <c r="AC60" s="250">
        <f>IF(D60="O",IF(AB60&lt;0,AB60,0),0)</f>
        <v>0</v>
      </c>
      <c r="AD60" s="255">
        <f>IF(K60&lt;&gt;"",K60-E60,0)</f>
        <v>0.28333333333284827</v>
      </c>
      <c r="AE60" s="255">
        <f>IF(N60&gt;0,AD60,0)</f>
        <v>0</v>
      </c>
      <c r="AF60" s="255">
        <f>IF(N60&lt;0,AD60,0)</f>
        <v>0.28333333333284827</v>
      </c>
      <c r="AG60" s="255">
        <f>IF(N60=0,AD60,0)</f>
        <v>0</v>
      </c>
    </row>
    <row r="61" spans="2:33" ht="15" customHeight="1" x14ac:dyDescent="0.3">
      <c r="B61" s="196" t="s">
        <v>5</v>
      </c>
      <c r="C61" s="197" t="s">
        <v>15</v>
      </c>
      <c r="D61" s="246" t="str">
        <f>IF(E61&lt;&gt;"",IF(K61&lt;&gt;"","C","O"),"")</f>
        <v>C</v>
      </c>
      <c r="E61" s="199">
        <v>44866.583333333336</v>
      </c>
      <c r="F61" s="200" t="s">
        <v>91</v>
      </c>
      <c r="G61" s="235">
        <v>13420.45</v>
      </c>
      <c r="H61" s="235">
        <v>13386.24</v>
      </c>
      <c r="I61" s="247">
        <f>ABS(G61-H61)</f>
        <v>34.210000000000946</v>
      </c>
      <c r="J61" s="235">
        <v>14059.02</v>
      </c>
      <c r="K61" s="199">
        <v>44866.708333333336</v>
      </c>
      <c r="L61" s="235">
        <v>13386.24</v>
      </c>
      <c r="M61" s="248">
        <f>ROUND(IF(C61="L",(L61-G61),(G61-L61)),4)</f>
        <v>-34.21</v>
      </c>
      <c r="N61" s="249">
        <f>IFERROR(ROUND((M61/I61),2),"")</f>
        <v>-1</v>
      </c>
      <c r="O61" s="250">
        <f>IF(D61="O",IF(N61&lt;0,N61,0),0)</f>
        <v>0</v>
      </c>
      <c r="P61" s="251">
        <f>IF(N61&gt;= 0,N61,0)</f>
        <v>0</v>
      </c>
      <c r="Q61" s="251">
        <f>IF(N61&lt;0,N61,0)</f>
        <v>-1</v>
      </c>
      <c r="R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44816</v>
      </c>
      <c r="T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1" s="253">
        <f ca="1">IF(Tabla33610673[[#This Row],[Equity]]&lt;Tabla33610673[[#This Row],[Equity Peak]],(Tabla33610673[[#This Row],[Equity Peak]]-Tabla33610673[[#This Row],[Equity]])/Tabla33610673[[#This Row],[Equity Peak]],"")</f>
        <v>2.3680369474761997E-2</v>
      </c>
      <c r="V61" s="254">
        <f>IF(B61="FX",N61,0)</f>
        <v>0</v>
      </c>
      <c r="W61" s="254">
        <f>IF(D61="O",IF(V61&lt;0,V61,0),0)</f>
        <v>0</v>
      </c>
      <c r="X61" s="254">
        <f>IF(B61="COM",N61,0)</f>
        <v>0</v>
      </c>
      <c r="Y61" s="254">
        <f>IF(D61="O",IF(X61&lt;0,X61,0),0)</f>
        <v>0</v>
      </c>
      <c r="Z61" s="254">
        <f>IF(B61="IND",N61,0)</f>
        <v>-1</v>
      </c>
      <c r="AA61" s="250">
        <f>IF(D61="O",IF(Z61&lt;0,Z61,0),0)</f>
        <v>0</v>
      </c>
      <c r="AB61" s="254">
        <f>IF(B61="CRYPTO",N61,0)</f>
        <v>0</v>
      </c>
      <c r="AC61" s="250">
        <f>IF(D61="O",IF(AB61&lt;0,AB61,0),0)</f>
        <v>0</v>
      </c>
      <c r="AD61" s="255">
        <f>IF(K61&lt;&gt;"",K61-E61,0)</f>
        <v>0.125</v>
      </c>
      <c r="AE61" s="255">
        <f>IF(N61&gt;0,AD61,0)</f>
        <v>0</v>
      </c>
      <c r="AF61" s="255">
        <f>IF(N61&lt;0,AD61,0)</f>
        <v>0.125</v>
      </c>
      <c r="AG61" s="255">
        <f>IF(N61=0,AD61,0)</f>
        <v>0</v>
      </c>
    </row>
    <row r="62" spans="2:33" ht="15" customHeight="1" x14ac:dyDescent="0.3">
      <c r="B62" s="196" t="s">
        <v>5</v>
      </c>
      <c r="C62" s="197" t="s">
        <v>15</v>
      </c>
      <c r="D62" s="246" t="str">
        <f>IF(E62&lt;&gt;"",IF(K62&lt;&gt;"","C","O"),"")</f>
        <v>C</v>
      </c>
      <c r="E62" s="199">
        <v>44866.46875</v>
      </c>
      <c r="F62" s="200" t="s">
        <v>91</v>
      </c>
      <c r="G62" s="235">
        <v>13409.45</v>
      </c>
      <c r="H62" s="235">
        <v>13375.21</v>
      </c>
      <c r="I62" s="247">
        <f>ABS(G62-H62)</f>
        <v>34.240000000001601</v>
      </c>
      <c r="J62" s="235">
        <v>14048.54</v>
      </c>
      <c r="K62" s="199">
        <v>44866.475694444445</v>
      </c>
      <c r="L62" s="235">
        <v>13375.21</v>
      </c>
      <c r="M62" s="248">
        <f>ROUND(IF(C62="L",(L62-G62),(G62-L62)),4)</f>
        <v>-34.24</v>
      </c>
      <c r="N62" s="249">
        <f>IFERROR(ROUND((M62/I62),2),"")</f>
        <v>-1</v>
      </c>
      <c r="O62" s="250">
        <f>IF(D62="O",IF(N62&lt;0,N62,0),0)</f>
        <v>0</v>
      </c>
      <c r="P62" s="251">
        <f>IF(N62&gt;= 0,N62,0)</f>
        <v>0</v>
      </c>
      <c r="Q62" s="251">
        <f>IF(N62&lt;0,N62,0)</f>
        <v>-1</v>
      </c>
      <c r="R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44916</v>
      </c>
      <c r="T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2" s="253">
        <f ca="1">IF(Tabla33610673[[#This Row],[Equity]]&lt;Tabla33610673[[#This Row],[Equity Peak]],(Tabla33610673[[#This Row],[Equity Peak]]-Tabla33610673[[#This Row],[Equity]])/Tabla33610673[[#This Row],[Equity Peak]],"")</f>
        <v>2.1501862623357952E-2</v>
      </c>
      <c r="V62" s="254">
        <f>IF(B62="FX",N62,0)</f>
        <v>0</v>
      </c>
      <c r="W62" s="254">
        <f>IF(D62="O",IF(V62&lt;0,V62,0),0)</f>
        <v>0</v>
      </c>
      <c r="X62" s="254">
        <f>IF(B62="COM",N62,0)</f>
        <v>0</v>
      </c>
      <c r="Y62" s="254">
        <f>IF(D62="O",IF(X62&lt;0,X62,0),0)</f>
        <v>0</v>
      </c>
      <c r="Z62" s="254">
        <f>IF(B62="IND",N62,0)</f>
        <v>-1</v>
      </c>
      <c r="AA62" s="250">
        <f>IF(D62="O",IF(Z62&lt;0,Z62,0),0)</f>
        <v>0</v>
      </c>
      <c r="AB62" s="254">
        <f>IF(B62="CRYPTO",N62,0)</f>
        <v>0</v>
      </c>
      <c r="AC62" s="250">
        <f>IF(D62="O",IF(AB62&lt;0,AB62,0),0)</f>
        <v>0</v>
      </c>
      <c r="AD62" s="255">
        <f>IF(K62&lt;&gt;"",K62-E62,0)</f>
        <v>6.9444444452528842E-3</v>
      </c>
      <c r="AE62" s="255">
        <f>IF(N62&gt;0,AD62,0)</f>
        <v>0</v>
      </c>
      <c r="AF62" s="255">
        <f>IF(N62&lt;0,AD62,0)</f>
        <v>6.9444444452528842E-3</v>
      </c>
      <c r="AG62" s="255">
        <f>IF(N62=0,AD62,0)</f>
        <v>0</v>
      </c>
    </row>
    <row r="63" spans="2:33" ht="15" customHeight="1" x14ac:dyDescent="0.3">
      <c r="B63" s="196" t="s">
        <v>5</v>
      </c>
      <c r="C63" s="197" t="s">
        <v>15</v>
      </c>
      <c r="D63" s="246" t="str">
        <f>IF(E63&lt;&gt;"",IF(K63&lt;&gt;"","C","O"),"")</f>
        <v>C</v>
      </c>
      <c r="E63" s="199">
        <v>44866.354166666664</v>
      </c>
      <c r="F63" s="200" t="s">
        <v>91</v>
      </c>
      <c r="G63" s="235">
        <v>13366.45</v>
      </c>
      <c r="H63" s="235">
        <v>13332.14</v>
      </c>
      <c r="I63" s="247">
        <f>ABS(G63-H63)</f>
        <v>34.31000000000131</v>
      </c>
      <c r="J63" s="235">
        <v>14006.94</v>
      </c>
      <c r="K63" s="199">
        <v>44866.43472222222</v>
      </c>
      <c r="L63" s="235">
        <v>13332.14</v>
      </c>
      <c r="M63" s="248">
        <f>ROUND(IF(C63="L",(L63-G63),(G63-L63)),4)</f>
        <v>-34.31</v>
      </c>
      <c r="N63" s="249">
        <f>IFERROR(ROUND((M63/I63),2),"")</f>
        <v>-1</v>
      </c>
      <c r="O63" s="250">
        <f>IF(D63="O",IF(N63&lt;0,N63,0),0)</f>
        <v>0</v>
      </c>
      <c r="P63" s="251">
        <f>IF(N63&gt;= 0,N63,0)</f>
        <v>0</v>
      </c>
      <c r="Q63" s="251">
        <f>IF(N63&lt;0,N63,0)</f>
        <v>-1</v>
      </c>
      <c r="R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45016</v>
      </c>
      <c r="T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3" s="253">
        <f ca="1">IF(Tabla33610673[[#This Row],[Equity]]&lt;Tabla33610673[[#This Row],[Equity Peak]],(Tabla33610673[[#This Row],[Equity Peak]]-Tabla33610673[[#This Row],[Equity]])/Tabla33610673[[#This Row],[Equity Peak]],"")</f>
        <v>1.9323355771953904E-2</v>
      </c>
      <c r="V63" s="254">
        <f>IF(B63="FX",N63,0)</f>
        <v>0</v>
      </c>
      <c r="W63" s="254">
        <f>IF(D63="O",IF(V63&lt;0,V63,0),0)</f>
        <v>0</v>
      </c>
      <c r="X63" s="254">
        <f>IF(B63="COM",N63,0)</f>
        <v>0</v>
      </c>
      <c r="Y63" s="254">
        <f>IF(D63="O",IF(X63&lt;0,X63,0),0)</f>
        <v>0</v>
      </c>
      <c r="Z63" s="254">
        <f>IF(B63="IND",N63,0)</f>
        <v>-1</v>
      </c>
      <c r="AA63" s="250">
        <f>IF(D63="O",IF(Z63&lt;0,Z63,0),0)</f>
        <v>0</v>
      </c>
      <c r="AB63" s="254">
        <f>IF(B63="CRYPTO",N63,0)</f>
        <v>0</v>
      </c>
      <c r="AC63" s="250">
        <f>IF(D63="O",IF(AB63&lt;0,AB63,0),0)</f>
        <v>0</v>
      </c>
      <c r="AD63" s="255">
        <f>IF(K63&lt;&gt;"",K63-E63,0)</f>
        <v>8.0555555556202307E-2</v>
      </c>
      <c r="AE63" s="255">
        <f>IF(N63&gt;0,AD63,0)</f>
        <v>0</v>
      </c>
      <c r="AF63" s="255">
        <f>IF(N63&lt;0,AD63,0)</f>
        <v>8.0555555556202307E-2</v>
      </c>
      <c r="AG63" s="255">
        <f>IF(N63=0,AD63,0)</f>
        <v>0</v>
      </c>
    </row>
    <row r="64" spans="2:33" ht="15" customHeight="1" x14ac:dyDescent="0.3">
      <c r="B64" s="196" t="s">
        <v>5</v>
      </c>
      <c r="C64" s="197" t="s">
        <v>15</v>
      </c>
      <c r="D64" s="246" t="str">
        <f>IF(E64&lt;&gt;"",IF(K64&lt;&gt;"","C","O"),"")</f>
        <v>C</v>
      </c>
      <c r="E64" s="199">
        <v>44862.78125</v>
      </c>
      <c r="F64" s="200" t="s">
        <v>91</v>
      </c>
      <c r="G64" s="235">
        <v>13262</v>
      </c>
      <c r="H64" s="235">
        <v>13221.47</v>
      </c>
      <c r="I64" s="247">
        <f>ABS(G64-H64)</f>
        <v>40.530000000000655</v>
      </c>
      <c r="J64" s="235">
        <v>14018.51</v>
      </c>
      <c r="K64" s="199">
        <v>44865.459027777775</v>
      </c>
      <c r="L64" s="235">
        <v>13258.62</v>
      </c>
      <c r="M64" s="248">
        <f>ROUND(IF(C64="L",(L64-G64),(G64-L64)),4)</f>
        <v>-3.38</v>
      </c>
      <c r="N64" s="249">
        <f>IFERROR(ROUND((M64/I64),2),"")</f>
        <v>-0.08</v>
      </c>
      <c r="O64" s="250">
        <f>IF(D64="O",IF(N64&lt;0,N64,0),0)</f>
        <v>0</v>
      </c>
      <c r="P64" s="251">
        <f>IF(N64&gt;= 0,N64,0)</f>
        <v>0</v>
      </c>
      <c r="Q64" s="251">
        <f>IF(N64&lt;0,N64,0)</f>
        <v>-0.08</v>
      </c>
      <c r="R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45116</v>
      </c>
      <c r="T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4" s="253">
        <f ca="1">IF(Tabla33610673[[#This Row],[Equity]]&lt;Tabla33610673[[#This Row],[Equity Peak]],(Tabla33610673[[#This Row],[Equity Peak]]-Tabla33610673[[#This Row],[Equity]])/Tabla33610673[[#This Row],[Equity Peak]],"")</f>
        <v>1.7144848920549856E-2</v>
      </c>
      <c r="V64" s="254">
        <f>IF(B64="FX",N64,0)</f>
        <v>0</v>
      </c>
      <c r="W64" s="254">
        <f>IF(D64="O",IF(V64&lt;0,V64,0),0)</f>
        <v>0</v>
      </c>
      <c r="X64" s="254">
        <f>IF(B64="COM",N64,0)</f>
        <v>0</v>
      </c>
      <c r="Y64" s="254">
        <f>IF(D64="O",IF(X64&lt;0,X64,0),0)</f>
        <v>0</v>
      </c>
      <c r="Z64" s="254">
        <f>IF(B64="IND",N64,0)</f>
        <v>-0.08</v>
      </c>
      <c r="AA64" s="250">
        <f>IF(D64="O",IF(Z64&lt;0,Z64,0),0)</f>
        <v>0</v>
      </c>
      <c r="AB64" s="254">
        <f>IF(B64="CRYPTO",N64,0)</f>
        <v>0</v>
      </c>
      <c r="AC64" s="250">
        <f>IF(D64="O",IF(AB64&lt;0,AB64,0),0)</f>
        <v>0</v>
      </c>
      <c r="AD64" s="255">
        <f>IF(K64&lt;&gt;"",K64-E64,0)</f>
        <v>2.6777777777751908</v>
      </c>
      <c r="AE64" s="255">
        <f>IF(N64&gt;0,AD64,0)</f>
        <v>0</v>
      </c>
      <c r="AF64" s="255">
        <f>IF(N64&lt;0,AD64,0)</f>
        <v>2.6777777777751908</v>
      </c>
      <c r="AG64" s="255">
        <f>IF(N64=0,AD64,0)</f>
        <v>0</v>
      </c>
    </row>
    <row r="65" spans="2:33" ht="15" customHeight="1" x14ac:dyDescent="0.3">
      <c r="B65" s="196" t="s">
        <v>7</v>
      </c>
      <c r="C65" s="197" t="s">
        <v>15</v>
      </c>
      <c r="D65" s="246" t="str">
        <f>IF(E65&lt;&gt;"",IF(K65&lt;&gt;"","C","O"),"")</f>
        <v>C</v>
      </c>
      <c r="E65" s="199">
        <v>44862.510416666664</v>
      </c>
      <c r="F65" s="200" t="s">
        <v>115</v>
      </c>
      <c r="G65" s="235">
        <v>170.173</v>
      </c>
      <c r="H65" s="235">
        <v>169.50399999999999</v>
      </c>
      <c r="I65" s="247">
        <f>ABS(G65-H65)</f>
        <v>0.66900000000001114</v>
      </c>
      <c r="J65" s="235">
        <v>172.08500000000001</v>
      </c>
      <c r="K65" s="199">
        <v>44865.163194444445</v>
      </c>
      <c r="L65" s="235">
        <v>172.08500000000001</v>
      </c>
      <c r="M65" s="248">
        <f>ROUND(IF(C65="L",(L65-G65),(G65-L65)),4)</f>
        <v>1.9119999999999999</v>
      </c>
      <c r="N65" s="249">
        <f>IFERROR(ROUND((M65/I65),2),"")</f>
        <v>2.86</v>
      </c>
      <c r="O65" s="250">
        <f>IF(D65="O",IF(N65&lt;0,N65,0),0)</f>
        <v>0</v>
      </c>
      <c r="P65" s="251">
        <f>IF(N65&gt;= 0,N65,0)</f>
        <v>2.86</v>
      </c>
      <c r="Q65" s="251">
        <f>IF(N65&lt;0,N65,0)</f>
        <v>0</v>
      </c>
      <c r="R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45124</v>
      </c>
      <c r="T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5" s="253">
        <f ca="1">IF(Tabla33610673[[#This Row],[Equity]]&lt;Tabla33610673[[#This Row],[Equity Peak]],(Tabla33610673[[#This Row],[Equity Peak]]-Tabla33610673[[#This Row],[Equity]])/Tabla33610673[[#This Row],[Equity Peak]],"")</f>
        <v>1.6970568372437531E-2</v>
      </c>
      <c r="V65" s="254">
        <f>IF(B65="FX",N65,0)</f>
        <v>2.86</v>
      </c>
      <c r="W65" s="254">
        <f>IF(D65="O",IF(V65&lt;0,V65,0),0)</f>
        <v>0</v>
      </c>
      <c r="X65" s="254">
        <f>IF(B65="COM",N65,0)</f>
        <v>0</v>
      </c>
      <c r="Y65" s="254">
        <f>IF(D65="O",IF(X65&lt;0,X65,0),0)</f>
        <v>0</v>
      </c>
      <c r="Z65" s="254">
        <f>IF(B65="IND",N65,0)</f>
        <v>0</v>
      </c>
      <c r="AA65" s="250">
        <f>IF(D65="O",IF(Z65&lt;0,Z65,0),0)</f>
        <v>0</v>
      </c>
      <c r="AB65" s="254">
        <f>IF(B65="CRYPTO",N65,0)</f>
        <v>0</v>
      </c>
      <c r="AC65" s="250">
        <f>IF(D65="O",IF(AB65&lt;0,AB65,0),0)</f>
        <v>0</v>
      </c>
      <c r="AD65" s="255">
        <f>IF(K65&lt;&gt;"",K65-E65,0)</f>
        <v>2.6527777777810115</v>
      </c>
      <c r="AE65" s="255">
        <f>IF(N65&gt;0,AD65,0)</f>
        <v>2.6527777777810115</v>
      </c>
      <c r="AF65" s="255">
        <f>IF(N65&lt;0,AD65,0)</f>
        <v>0</v>
      </c>
      <c r="AG65" s="255">
        <f>IF(N65=0,AD65,0)</f>
        <v>0</v>
      </c>
    </row>
    <row r="66" spans="2:33" ht="15" customHeight="1" x14ac:dyDescent="0.3">
      <c r="B66" s="196" t="s">
        <v>5</v>
      </c>
      <c r="C66" s="197" t="s">
        <v>13</v>
      </c>
      <c r="D66" s="246" t="str">
        <f>IF(E66&lt;&gt;"",IF(K66&lt;&gt;"","C","O"),"")</f>
        <v>C</v>
      </c>
      <c r="E66" s="199">
        <v>44861.885416666664</v>
      </c>
      <c r="F66" s="200" t="s">
        <v>92</v>
      </c>
      <c r="G66" s="235">
        <v>11192.19</v>
      </c>
      <c r="H66" s="235">
        <v>11240.92</v>
      </c>
      <c r="I66" s="247">
        <f>ABS(G66-H66)</f>
        <v>48.729999999999563</v>
      </c>
      <c r="J66" s="235">
        <v>10282.629999999999</v>
      </c>
      <c r="K66" s="199">
        <v>44862.645833333336</v>
      </c>
      <c r="L66" s="235">
        <v>11147.08</v>
      </c>
      <c r="M66" s="248">
        <f>ROUND(IF(C66="L",(L66-G66),(G66-L66)),4)</f>
        <v>45.11</v>
      </c>
      <c r="N66" s="249">
        <f>IFERROR(ROUND((M66/I66),2),"")</f>
        <v>0.93</v>
      </c>
      <c r="O66" s="250">
        <f>IF(D66="O",IF(N66&lt;0,N66,0),0)</f>
        <v>0</v>
      </c>
      <c r="P66" s="251">
        <f>IF(N66&gt;= 0,N66,0)</f>
        <v>0.93</v>
      </c>
      <c r="Q66" s="251">
        <f>IF(N66&lt;0,N66,0)</f>
        <v>0</v>
      </c>
      <c r="R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44838</v>
      </c>
      <c r="T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6" s="253">
        <f ca="1">IF(Tabla33610673[[#This Row],[Equity]]&lt;Tabla33610673[[#This Row],[Equity Peak]],(Tabla33610673[[#This Row],[Equity Peak]]-Tabla33610673[[#This Row],[Equity]])/Tabla33610673[[#This Row],[Equity Peak]],"")</f>
        <v>2.3201097967453108E-2</v>
      </c>
      <c r="V66" s="254">
        <f>IF(B66="FX",N66,0)</f>
        <v>0</v>
      </c>
      <c r="W66" s="254">
        <f>IF(D66="O",IF(V66&lt;0,V66,0),0)</f>
        <v>0</v>
      </c>
      <c r="X66" s="254">
        <f>IF(B66="COM",N66,0)</f>
        <v>0</v>
      </c>
      <c r="Y66" s="254">
        <f>IF(D66="O",IF(X66&lt;0,X66,0),0)</f>
        <v>0</v>
      </c>
      <c r="Z66" s="254">
        <f>IF(B66="IND",N66,0)</f>
        <v>0.93</v>
      </c>
      <c r="AA66" s="250">
        <f>IF(D66="O",IF(Z66&lt;0,Z66,0),0)</f>
        <v>0</v>
      </c>
      <c r="AB66" s="254">
        <f>IF(B66="CRYPTO",N66,0)</f>
        <v>0</v>
      </c>
      <c r="AC66" s="250">
        <f>IF(D66="O",IF(AB66&lt;0,AB66,0),0)</f>
        <v>0</v>
      </c>
      <c r="AD66" s="255">
        <f>IF(K66&lt;&gt;"",K66-E66,0)</f>
        <v>0.76041666667151731</v>
      </c>
      <c r="AE66" s="255">
        <f>IF(N66&gt;0,AD66,0)</f>
        <v>0.76041666667151731</v>
      </c>
      <c r="AF66" s="255">
        <f>IF(N66&lt;0,AD66,0)</f>
        <v>0</v>
      </c>
      <c r="AG66" s="255">
        <f>IF(N66=0,AD66,0)</f>
        <v>0</v>
      </c>
    </row>
    <row r="67" spans="2:33" ht="15" customHeight="1" x14ac:dyDescent="0.3">
      <c r="B67" s="196" t="s">
        <v>5</v>
      </c>
      <c r="C67" s="197" t="s">
        <v>13</v>
      </c>
      <c r="D67" s="246" t="str">
        <f>IF(E67&lt;&gt;"",IF(K67&lt;&gt;"","C","O"),"")</f>
        <v>C</v>
      </c>
      <c r="E67" s="199">
        <v>44861.885416666664</v>
      </c>
      <c r="F67" s="200" t="s">
        <v>93</v>
      </c>
      <c r="G67" s="235">
        <v>11192.19</v>
      </c>
      <c r="H67" s="235">
        <v>11242.26</v>
      </c>
      <c r="I67" s="247">
        <f>ABS(G67-H67)</f>
        <v>50.069999999999709</v>
      </c>
      <c r="J67" s="235">
        <v>10658.16</v>
      </c>
      <c r="K67" s="199">
        <v>44862.041666666664</v>
      </c>
      <c r="L67" s="235">
        <v>11088.28</v>
      </c>
      <c r="M67" s="248">
        <f>ROUND(IF(C67="L",(L67-G67),(G67-L67)),4)</f>
        <v>103.91</v>
      </c>
      <c r="N67" s="249">
        <f>IFERROR(ROUND((M67/I67),2),"")</f>
        <v>2.08</v>
      </c>
      <c r="O67" s="250">
        <f>IF(D67="O",IF(N67&lt;0,N67,0),0)</f>
        <v>0</v>
      </c>
      <c r="P67" s="251">
        <f>IF(N67&gt;= 0,N67,0)</f>
        <v>2.08</v>
      </c>
      <c r="Q67" s="251">
        <f>IF(N67&lt;0,N67,0)</f>
        <v>0</v>
      </c>
      <c r="R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44745</v>
      </c>
      <c r="T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7" s="253">
        <f ca="1">IF(Tabla33610673[[#This Row],[Equity]]&lt;Tabla33610673[[#This Row],[Equity Peak]],(Tabla33610673[[#This Row],[Equity Peak]]-Tabla33610673[[#This Row],[Equity]])/Tabla33610673[[#This Row],[Equity Peak]],"")</f>
        <v>2.5227109339258872E-2</v>
      </c>
      <c r="V67" s="254">
        <f>IF(B67="FX",N67,0)</f>
        <v>0</v>
      </c>
      <c r="W67" s="254">
        <f>IF(D67="O",IF(V67&lt;0,V67,0),0)</f>
        <v>0</v>
      </c>
      <c r="X67" s="254">
        <f>IF(B67="COM",N67,0)</f>
        <v>0</v>
      </c>
      <c r="Y67" s="254">
        <f>IF(D67="O",IF(X67&lt;0,X67,0),0)</f>
        <v>0</v>
      </c>
      <c r="Z67" s="254">
        <f>IF(B67="IND",N67,0)</f>
        <v>2.08</v>
      </c>
      <c r="AA67" s="250">
        <f>IF(D67="O",IF(Z67&lt;0,Z67,0),0)</f>
        <v>0</v>
      </c>
      <c r="AB67" s="254">
        <f>IF(B67="CRYPTO",N67,0)</f>
        <v>0</v>
      </c>
      <c r="AC67" s="250">
        <f>IF(D67="O",IF(AB67&lt;0,AB67,0),0)</f>
        <v>0</v>
      </c>
      <c r="AD67" s="255">
        <f>IF(K67&lt;&gt;"",K67-E67,0)</f>
        <v>0.15625</v>
      </c>
      <c r="AE67" s="255">
        <f>IF(N67&gt;0,AD67,0)</f>
        <v>0.15625</v>
      </c>
      <c r="AF67" s="255">
        <f>IF(N67&lt;0,AD67,0)</f>
        <v>0</v>
      </c>
      <c r="AG67" s="255">
        <f>IF(N67=0,AD67,0)</f>
        <v>0</v>
      </c>
    </row>
    <row r="68" spans="2:33" ht="15" customHeight="1" x14ac:dyDescent="0.3">
      <c r="B68" s="196" t="s">
        <v>5</v>
      </c>
      <c r="C68" s="197" t="s">
        <v>13</v>
      </c>
      <c r="D68" s="246" t="str">
        <f>IF(E68&lt;&gt;"",IF(K68&lt;&gt;"","C","O"),"")</f>
        <v>C</v>
      </c>
      <c r="E68" s="199">
        <v>44861.8125</v>
      </c>
      <c r="F68" s="200" t="s">
        <v>92</v>
      </c>
      <c r="G68" s="235">
        <v>11200.19</v>
      </c>
      <c r="H68" s="235">
        <v>11249.61</v>
      </c>
      <c r="I68" s="247">
        <f>ABS(G68-H68)</f>
        <v>49.420000000000073</v>
      </c>
      <c r="J68" s="235">
        <v>10277.709999999999</v>
      </c>
      <c r="K68" s="199">
        <v>44861.824999999997</v>
      </c>
      <c r="L68" s="235">
        <v>11249.61</v>
      </c>
      <c r="M68" s="248">
        <f>ROUND(IF(C68="L",(L68-G68),(G68-L68)),4)</f>
        <v>-49.42</v>
      </c>
      <c r="N68" s="249">
        <f>IFERROR(ROUND((M68/I68),2),"")</f>
        <v>-1</v>
      </c>
      <c r="O68" s="250">
        <f>IF(D68="O",IF(N68&lt;0,N68,0),0)</f>
        <v>0</v>
      </c>
      <c r="P68" s="251">
        <f>IF(N68&gt;= 0,N68,0)</f>
        <v>0</v>
      </c>
      <c r="Q68" s="251">
        <f>IF(N68&lt;0,N68,0)</f>
        <v>-1</v>
      </c>
      <c r="R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44537</v>
      </c>
      <c r="T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8" s="253">
        <f ca="1">IF(Tabla33610673[[#This Row],[Equity]]&lt;Tabla33610673[[#This Row],[Equity Peak]],(Tabla33610673[[#This Row],[Equity Peak]]-Tabla33610673[[#This Row],[Equity]])/Tabla33610673[[#This Row],[Equity Peak]],"")</f>
        <v>2.975840359017929E-2</v>
      </c>
      <c r="V68" s="254">
        <f>IF(B68="FX",N68,0)</f>
        <v>0</v>
      </c>
      <c r="W68" s="254">
        <f>IF(D68="O",IF(V68&lt;0,V68,0),0)</f>
        <v>0</v>
      </c>
      <c r="X68" s="254">
        <f>IF(B68="COM",N68,0)</f>
        <v>0</v>
      </c>
      <c r="Y68" s="254">
        <f>IF(D68="O",IF(X68&lt;0,X68,0),0)</f>
        <v>0</v>
      </c>
      <c r="Z68" s="254">
        <f>IF(B68="IND",N68,0)</f>
        <v>-1</v>
      </c>
      <c r="AA68" s="250">
        <f>IF(D68="O",IF(Z68&lt;0,Z68,0),0)</f>
        <v>0</v>
      </c>
      <c r="AB68" s="254">
        <f>IF(B68="CRYPTO",N68,0)</f>
        <v>0</v>
      </c>
      <c r="AC68" s="250">
        <f>IF(D68="O",IF(AB68&lt;0,AB68,0),0)</f>
        <v>0</v>
      </c>
      <c r="AD68" s="255">
        <f>IF(K68&lt;&gt;"",K68-E68,0)</f>
        <v>1.2499999997089617E-2</v>
      </c>
      <c r="AE68" s="255">
        <f>IF(N68&gt;0,AD68,0)</f>
        <v>0</v>
      </c>
      <c r="AF68" s="255">
        <f>IF(N68&lt;0,AD68,0)</f>
        <v>1.2499999997089617E-2</v>
      </c>
      <c r="AG68" s="255">
        <f>IF(N68=0,AD68,0)</f>
        <v>0</v>
      </c>
    </row>
    <row r="69" spans="2:33" ht="15" customHeight="1" x14ac:dyDescent="0.3">
      <c r="B69" s="196" t="s">
        <v>5</v>
      </c>
      <c r="C69" s="197" t="s">
        <v>13</v>
      </c>
      <c r="D69" s="246" t="str">
        <f>IF(E69&lt;&gt;"",IF(K69&lt;&gt;"","C","O"),"")</f>
        <v>C</v>
      </c>
      <c r="E69" s="199">
        <v>44861.8125</v>
      </c>
      <c r="F69" s="200" t="s">
        <v>93</v>
      </c>
      <c r="G69" s="235">
        <v>11200.19</v>
      </c>
      <c r="H69" s="235">
        <v>11250.06</v>
      </c>
      <c r="I69" s="247">
        <f>ABS(G69-H69)</f>
        <v>49.869999999998981</v>
      </c>
      <c r="J69" s="235">
        <v>10668.21</v>
      </c>
      <c r="K69" s="199">
        <v>44861.824999999997</v>
      </c>
      <c r="L69" s="235">
        <v>11250.06</v>
      </c>
      <c r="M69" s="248">
        <f>ROUND(IF(C69="L",(L69-G69),(G69-L69)),4)</f>
        <v>-49.87</v>
      </c>
      <c r="N69" s="249">
        <f>IFERROR(ROUND((M69/I69),2),"")</f>
        <v>-1</v>
      </c>
      <c r="O69" s="250">
        <f>IF(D69="O",IF(N69&lt;0,N69,0),0)</f>
        <v>0</v>
      </c>
      <c r="P69" s="251">
        <f>IF(N69&gt;= 0,N69,0)</f>
        <v>0</v>
      </c>
      <c r="Q69" s="251">
        <f>IF(N69&lt;0,N69,0)</f>
        <v>-1</v>
      </c>
      <c r="R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44637</v>
      </c>
      <c r="T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69" s="253">
        <f ca="1">IF(Tabla33610673[[#This Row],[Equity]]&lt;Tabla33610673[[#This Row],[Equity Peak]],(Tabla33610673[[#This Row],[Equity Peak]]-Tabla33610673[[#This Row],[Equity]])/Tabla33610673[[#This Row],[Equity Peak]],"")</f>
        <v>2.7579896738775242E-2</v>
      </c>
      <c r="V69" s="254">
        <f>IF(B69="FX",N69,0)</f>
        <v>0</v>
      </c>
      <c r="W69" s="254">
        <f>IF(D69="O",IF(V69&lt;0,V69,0),0)</f>
        <v>0</v>
      </c>
      <c r="X69" s="254">
        <f>IF(B69="COM",N69,0)</f>
        <v>0</v>
      </c>
      <c r="Y69" s="254">
        <f>IF(D69="O",IF(X69&lt;0,X69,0),0)</f>
        <v>0</v>
      </c>
      <c r="Z69" s="254">
        <f>IF(B69="IND",N69,0)</f>
        <v>-1</v>
      </c>
      <c r="AA69" s="250">
        <f>IF(D69="O",IF(Z69&lt;0,Z69,0),0)</f>
        <v>0</v>
      </c>
      <c r="AB69" s="254">
        <f>IF(B69="CRYPTO",N69,0)</f>
        <v>0</v>
      </c>
      <c r="AC69" s="250">
        <f>IF(D69="O",IF(AB69&lt;0,AB69,0),0)</f>
        <v>0</v>
      </c>
      <c r="AD69" s="255">
        <f>IF(K69&lt;&gt;"",K69-E69,0)</f>
        <v>1.2499999997089617E-2</v>
      </c>
      <c r="AE69" s="255">
        <f>IF(N69&gt;0,AD69,0)</f>
        <v>0</v>
      </c>
      <c r="AF69" s="255">
        <f>IF(N69&lt;0,AD69,0)</f>
        <v>1.2499999997089617E-2</v>
      </c>
      <c r="AG69" s="255">
        <f>IF(N69=0,AD69,0)</f>
        <v>0</v>
      </c>
    </row>
    <row r="70" spans="2:33" ht="15" customHeight="1" x14ac:dyDescent="0.3">
      <c r="B70" s="196" t="s">
        <v>5</v>
      </c>
      <c r="C70" s="197" t="s">
        <v>15</v>
      </c>
      <c r="D70" s="246" t="str">
        <f>IF(E70&lt;&gt;"",IF(K70&lt;&gt;"","C","O"),"")</f>
        <v>C</v>
      </c>
      <c r="E70" s="199">
        <v>44861.71875</v>
      </c>
      <c r="F70" s="200" t="s">
        <v>91</v>
      </c>
      <c r="G70" s="235">
        <v>13232.78</v>
      </c>
      <c r="H70" s="235">
        <v>13191.01</v>
      </c>
      <c r="I70" s="247">
        <f>ABS(G70-H70)</f>
        <v>41.770000000000437</v>
      </c>
      <c r="J70" s="235">
        <v>14012.5</v>
      </c>
      <c r="K70" s="199">
        <v>44861.776388888888</v>
      </c>
      <c r="L70" s="235">
        <v>13191.01</v>
      </c>
      <c r="M70" s="248">
        <f>ROUND(IF(C70="L",(L70-G70),(G70-L70)),4)</f>
        <v>-41.77</v>
      </c>
      <c r="N70" s="249">
        <f>IFERROR(ROUND((M70/I70),2),"")</f>
        <v>-1</v>
      </c>
      <c r="O70" s="250">
        <f>IF(D70="O",IF(N70&lt;0,N70,0),0)</f>
        <v>0</v>
      </c>
      <c r="P70" s="251">
        <f>IF(N70&gt;= 0,N70,0)</f>
        <v>0</v>
      </c>
      <c r="Q70" s="251">
        <f>IF(N70&lt;0,N70,0)</f>
        <v>-1</v>
      </c>
      <c r="R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44737</v>
      </c>
      <c r="T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0" s="253">
        <f ca="1">IF(Tabla33610673[[#This Row],[Equity]]&lt;Tabla33610673[[#This Row],[Equity Peak]],(Tabla33610673[[#This Row],[Equity Peak]]-Tabla33610673[[#This Row],[Equity]])/Tabla33610673[[#This Row],[Equity Peak]],"")</f>
        <v>2.5401389887371197E-2</v>
      </c>
      <c r="V70" s="254">
        <f>IF(B70="FX",N70,0)</f>
        <v>0</v>
      </c>
      <c r="W70" s="254">
        <f>IF(D70="O",IF(V70&lt;0,V70,0),0)</f>
        <v>0</v>
      </c>
      <c r="X70" s="254">
        <f>IF(B70="COM",N70,0)</f>
        <v>0</v>
      </c>
      <c r="Y70" s="254">
        <f>IF(D70="O",IF(X70&lt;0,X70,0),0)</f>
        <v>0</v>
      </c>
      <c r="Z70" s="254">
        <f>IF(B70="IND",N70,0)</f>
        <v>-1</v>
      </c>
      <c r="AA70" s="250">
        <f>IF(D70="O",IF(Z70&lt;0,Z70,0),0)</f>
        <v>0</v>
      </c>
      <c r="AB70" s="254">
        <f>IF(B70="CRYPTO",N70,0)</f>
        <v>0</v>
      </c>
      <c r="AC70" s="250">
        <f>IF(D70="O",IF(AB70&lt;0,AB70,0),0)</f>
        <v>0</v>
      </c>
      <c r="AD70" s="255">
        <f>IF(K70&lt;&gt;"",K70-E70,0)</f>
        <v>5.7638888887595385E-2</v>
      </c>
      <c r="AE70" s="255">
        <f>IF(N70&gt;0,AD70,0)</f>
        <v>0</v>
      </c>
      <c r="AF70" s="255">
        <f>IF(N70&lt;0,AD70,0)</f>
        <v>5.7638888887595385E-2</v>
      </c>
      <c r="AG70" s="255">
        <f>IF(N70=0,AD70,0)</f>
        <v>0</v>
      </c>
    </row>
    <row r="71" spans="2:33" ht="15" customHeight="1" x14ac:dyDescent="0.3">
      <c r="B71" s="196" t="s">
        <v>5</v>
      </c>
      <c r="C71" s="197" t="s">
        <v>13</v>
      </c>
      <c r="D71" s="246" t="str">
        <f>IF(E71&lt;&gt;"",IF(K71&lt;&gt;"","C","O"),"")</f>
        <v>C</v>
      </c>
      <c r="E71" s="199">
        <v>44861.708333333336</v>
      </c>
      <c r="F71" s="200" t="s">
        <v>92</v>
      </c>
      <c r="G71" s="235">
        <v>11242.69</v>
      </c>
      <c r="H71" s="235">
        <v>11285.77</v>
      </c>
      <c r="I71" s="247">
        <f>ABS(G71-H71)</f>
        <v>43.079999999999927</v>
      </c>
      <c r="J71" s="235">
        <v>10438.51</v>
      </c>
      <c r="K71" s="199">
        <v>44861.711805555555</v>
      </c>
      <c r="L71" s="235">
        <v>11285.77</v>
      </c>
      <c r="M71" s="248">
        <f>ROUND(IF(C71="L",(L71-G71),(G71-L71)),4)</f>
        <v>-43.08</v>
      </c>
      <c r="N71" s="249">
        <f>IFERROR(ROUND((M71/I71),2),"")</f>
        <v>-1</v>
      </c>
      <c r="O71" s="250">
        <f>IF(D71="O",IF(N71&lt;0,N71,0),0)</f>
        <v>0</v>
      </c>
      <c r="P71" s="251">
        <f>IF(N71&gt;= 0,N71,0)</f>
        <v>0</v>
      </c>
      <c r="Q71" s="251">
        <f>IF(N71&lt;0,N71,0)</f>
        <v>-1</v>
      </c>
      <c r="R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44837</v>
      </c>
      <c r="T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1" s="253">
        <f ca="1">IF(Tabla33610673[[#This Row],[Equity]]&lt;Tabla33610673[[#This Row],[Equity Peak]],(Tabla33610673[[#This Row],[Equity Peak]]-Tabla33610673[[#This Row],[Equity]])/Tabla33610673[[#This Row],[Equity Peak]],"")</f>
        <v>2.3222883035967149E-2</v>
      </c>
      <c r="V71" s="254">
        <f>IF(B71="FX",N71,0)</f>
        <v>0</v>
      </c>
      <c r="W71" s="254">
        <f>IF(D71="O",IF(V71&lt;0,V71,0),0)</f>
        <v>0</v>
      </c>
      <c r="X71" s="254">
        <f>IF(B71="COM",N71,0)</f>
        <v>0</v>
      </c>
      <c r="Y71" s="254">
        <f>IF(D71="O",IF(X71&lt;0,X71,0),0)</f>
        <v>0</v>
      </c>
      <c r="Z71" s="254">
        <f>IF(B71="IND",N71,0)</f>
        <v>-1</v>
      </c>
      <c r="AA71" s="250">
        <f>IF(D71="O",IF(Z71&lt;0,Z71,0),0)</f>
        <v>0</v>
      </c>
      <c r="AB71" s="254">
        <f>IF(B71="CRYPTO",N71,0)</f>
        <v>0</v>
      </c>
      <c r="AC71" s="250">
        <f>IF(D71="O",IF(AB71&lt;0,AB71,0),0)</f>
        <v>0</v>
      </c>
      <c r="AD71" s="255">
        <f>IF(K71&lt;&gt;"",K71-E71,0)</f>
        <v>3.4722222189884633E-3</v>
      </c>
      <c r="AE71" s="255">
        <f>IF(N71&gt;0,AD71,0)</f>
        <v>0</v>
      </c>
      <c r="AF71" s="255">
        <f>IF(N71&lt;0,AD71,0)</f>
        <v>3.4722222189884633E-3</v>
      </c>
      <c r="AG71" s="255">
        <f>IF(N71=0,AD71,0)</f>
        <v>0</v>
      </c>
    </row>
    <row r="72" spans="2:33" ht="15" customHeight="1" x14ac:dyDescent="0.3">
      <c r="B72" s="196" t="s">
        <v>5</v>
      </c>
      <c r="C72" s="197" t="s">
        <v>13</v>
      </c>
      <c r="D72" s="246" t="str">
        <f>IF(E72&lt;&gt;"",IF(K72&lt;&gt;"","C","O"),"")</f>
        <v>C</v>
      </c>
      <c r="E72" s="199">
        <v>44861.708333333336</v>
      </c>
      <c r="F72" s="200" t="s">
        <v>93</v>
      </c>
      <c r="G72" s="235">
        <v>11242.69</v>
      </c>
      <c r="H72" s="235">
        <v>11288.99</v>
      </c>
      <c r="I72" s="247">
        <f>ABS(G72-H72)</f>
        <v>46.299999999999272</v>
      </c>
      <c r="J72" s="235">
        <v>10748.8</v>
      </c>
      <c r="K72" s="199">
        <v>44861.711805555555</v>
      </c>
      <c r="L72" s="235">
        <v>11288.99</v>
      </c>
      <c r="M72" s="248">
        <f>ROUND(IF(C72="L",(L72-G72),(G72-L72)),4)</f>
        <v>-46.3</v>
      </c>
      <c r="N72" s="249">
        <f>IFERROR(ROUND((M72/I72),2),"")</f>
        <v>-1</v>
      </c>
      <c r="O72" s="250">
        <f>IF(D72="O",IF(N72&lt;0,N72,0),0)</f>
        <v>0</v>
      </c>
      <c r="P72" s="251">
        <f>IF(N72&gt;= 0,N72,0)</f>
        <v>0</v>
      </c>
      <c r="Q72" s="251">
        <f>IF(N72&lt;0,N72,0)</f>
        <v>-1</v>
      </c>
      <c r="R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44937</v>
      </c>
      <c r="T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2" s="253">
        <f ca="1">IF(Tabla33610673[[#This Row],[Equity]]&lt;Tabla33610673[[#This Row],[Equity Peak]],(Tabla33610673[[#This Row],[Equity Peak]]-Tabla33610673[[#This Row],[Equity]])/Tabla33610673[[#This Row],[Equity Peak]],"")</f>
        <v>2.1044376184563101E-2</v>
      </c>
      <c r="V72" s="254">
        <f>IF(B72="FX",N72,0)</f>
        <v>0</v>
      </c>
      <c r="W72" s="254">
        <f>IF(D72="O",IF(V72&lt;0,V72,0),0)</f>
        <v>0</v>
      </c>
      <c r="X72" s="254">
        <f>IF(B72="COM",N72,0)</f>
        <v>0</v>
      </c>
      <c r="Y72" s="254">
        <f>IF(D72="O",IF(X72&lt;0,X72,0),0)</f>
        <v>0</v>
      </c>
      <c r="Z72" s="254">
        <f>IF(B72="IND",N72,0)</f>
        <v>-1</v>
      </c>
      <c r="AA72" s="250">
        <f>IF(D72="O",IF(Z72&lt;0,Z72,0),0)</f>
        <v>0</v>
      </c>
      <c r="AB72" s="254">
        <f>IF(B72="CRYPTO",N72,0)</f>
        <v>0</v>
      </c>
      <c r="AC72" s="250">
        <f>IF(D72="O",IF(AB72&lt;0,AB72,0),0)</f>
        <v>0</v>
      </c>
      <c r="AD72" s="255">
        <f>IF(K72&lt;&gt;"",K72-E72,0)</f>
        <v>3.4722222189884633E-3</v>
      </c>
      <c r="AE72" s="255">
        <f>IF(N72&gt;0,AD72,0)</f>
        <v>0</v>
      </c>
      <c r="AF72" s="255">
        <f>IF(N72&lt;0,AD72,0)</f>
        <v>3.4722222189884633E-3</v>
      </c>
      <c r="AG72" s="255">
        <f>IF(N72=0,AD72,0)</f>
        <v>0</v>
      </c>
    </row>
    <row r="73" spans="2:33" ht="15" customHeight="1" x14ac:dyDescent="0.3">
      <c r="B73" s="196" t="s">
        <v>7</v>
      </c>
      <c r="C73" s="197" t="s">
        <v>13</v>
      </c>
      <c r="D73" s="246" t="str">
        <f>IF(E73&lt;&gt;"",IF(K73&lt;&gt;"","C","O"),"")</f>
        <v>C</v>
      </c>
      <c r="E73" s="199">
        <v>44861.34375</v>
      </c>
      <c r="F73" s="200" t="s">
        <v>115</v>
      </c>
      <c r="G73" s="235">
        <v>169.18</v>
      </c>
      <c r="H73" s="235">
        <v>169.83099999999999</v>
      </c>
      <c r="I73" s="247">
        <f>ABS(G73-H73)</f>
        <v>0.65099999999998204</v>
      </c>
      <c r="J73" s="235">
        <v>167.31899999999999</v>
      </c>
      <c r="K73" s="199">
        <v>44861.595138888886</v>
      </c>
      <c r="L73" s="235">
        <v>169.53700000000001</v>
      </c>
      <c r="M73" s="248">
        <f>ROUND(IF(C73="L",(L73-G73),(G73-L73)),4)</f>
        <v>-0.35699999999999998</v>
      </c>
      <c r="N73" s="249">
        <f>IFERROR(ROUND((M73/I73),2),"")</f>
        <v>-0.55000000000000004</v>
      </c>
      <c r="O73" s="250">
        <f>IF(D73="O",IF(N73&lt;0,N73,0),0)</f>
        <v>0</v>
      </c>
      <c r="P73" s="251">
        <f>IF(N73&gt;= 0,N73,0)</f>
        <v>0</v>
      </c>
      <c r="Q73" s="251">
        <f>IF(N73&lt;0,N73,0)</f>
        <v>-0.55000000000000004</v>
      </c>
      <c r="R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45037</v>
      </c>
      <c r="T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3" s="253">
        <f ca="1">IF(Tabla33610673[[#This Row],[Equity]]&lt;Tabla33610673[[#This Row],[Equity Peak]],(Tabla33610673[[#This Row],[Equity Peak]]-Tabla33610673[[#This Row],[Equity]])/Tabla33610673[[#This Row],[Equity Peak]],"")</f>
        <v>1.8865869333159053E-2</v>
      </c>
      <c r="V73" s="254">
        <f>IF(B73="FX",N73,0)</f>
        <v>-0.55000000000000004</v>
      </c>
      <c r="W73" s="254">
        <f>IF(D73="O",IF(V73&lt;0,V73,0),0)</f>
        <v>0</v>
      </c>
      <c r="X73" s="254">
        <f>IF(B73="COM",N73,0)</f>
        <v>0</v>
      </c>
      <c r="Y73" s="254">
        <f>IF(D73="O",IF(X73&lt;0,X73,0),0)</f>
        <v>0</v>
      </c>
      <c r="Z73" s="254">
        <f>IF(B73="IND",N73,0)</f>
        <v>0</v>
      </c>
      <c r="AA73" s="250">
        <f>IF(D73="O",IF(Z73&lt;0,Z73,0),0)</f>
        <v>0</v>
      </c>
      <c r="AB73" s="254">
        <f>IF(B73="CRYPTO",N73,0)</f>
        <v>0</v>
      </c>
      <c r="AC73" s="250">
        <f>IF(D73="O",IF(AB73&lt;0,AB73,0),0)</f>
        <v>0</v>
      </c>
      <c r="AD73" s="255">
        <f>IF(K73&lt;&gt;"",K73-E73,0)</f>
        <v>0.25138888888614019</v>
      </c>
      <c r="AE73" s="255">
        <f>IF(N73&gt;0,AD73,0)</f>
        <v>0</v>
      </c>
      <c r="AF73" s="255">
        <f>IF(N73&lt;0,AD73,0)</f>
        <v>0.25138888888614019</v>
      </c>
      <c r="AG73" s="255">
        <f>IF(N73=0,AD73,0)</f>
        <v>0</v>
      </c>
    </row>
    <row r="74" spans="2:33" ht="15" customHeight="1" x14ac:dyDescent="0.3">
      <c r="B74" s="196" t="s">
        <v>7</v>
      </c>
      <c r="C74" s="197" t="s">
        <v>13</v>
      </c>
      <c r="D74" s="246" t="str">
        <f>IF(E74&lt;&gt;"",IF(K74&lt;&gt;"","C","O"),"")</f>
        <v>C</v>
      </c>
      <c r="E74" s="199">
        <v>44861.354166666664</v>
      </c>
      <c r="F74" s="200" t="s">
        <v>116</v>
      </c>
      <c r="G74" s="235">
        <v>145.358</v>
      </c>
      <c r="H74" s="235">
        <v>145.83500000000001</v>
      </c>
      <c r="I74" s="247">
        <f>ABS(G74-H74)</f>
        <v>0.47700000000000387</v>
      </c>
      <c r="J74" s="235">
        <v>140.39400000000001</v>
      </c>
      <c r="K74" s="199">
        <v>44861.397222222222</v>
      </c>
      <c r="L74" s="235">
        <v>145.62700000000001</v>
      </c>
      <c r="M74" s="248">
        <f>ROUND(IF(C74="L",(L74-G74),(G74-L74)),4)</f>
        <v>-0.26900000000000002</v>
      </c>
      <c r="N74" s="249">
        <f>IFERROR(ROUND((M74/I74),2),"")</f>
        <v>-0.56000000000000005</v>
      </c>
      <c r="O74" s="250">
        <f>IF(D74="O",IF(N74&lt;0,N74,0),0)</f>
        <v>0</v>
      </c>
      <c r="P74" s="251">
        <f>IF(N74&gt;= 0,N74,0)</f>
        <v>0</v>
      </c>
      <c r="Q74" s="251">
        <f>IF(N74&lt;0,N74,0)</f>
        <v>-0.56000000000000005</v>
      </c>
      <c r="R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45092</v>
      </c>
      <c r="T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4" s="253">
        <f ca="1">IF(Tabla33610673[[#This Row],[Equity]]&lt;Tabla33610673[[#This Row],[Equity Peak]],(Tabla33610673[[#This Row],[Equity Peak]]-Tabla33610673[[#This Row],[Equity]])/Tabla33610673[[#This Row],[Equity Peak]],"")</f>
        <v>1.7667690564886828E-2</v>
      </c>
      <c r="V74" s="254">
        <f>IF(B74="FX",N74,0)</f>
        <v>-0.56000000000000005</v>
      </c>
      <c r="W74" s="254">
        <f>IF(D74="O",IF(V74&lt;0,V74,0),0)</f>
        <v>0</v>
      </c>
      <c r="X74" s="254">
        <f>IF(B74="COM",N74,0)</f>
        <v>0</v>
      </c>
      <c r="Y74" s="254">
        <f>IF(D74="O",IF(X74&lt;0,X74,0),0)</f>
        <v>0</v>
      </c>
      <c r="Z74" s="254">
        <f>IF(B74="IND",N74,0)</f>
        <v>0</v>
      </c>
      <c r="AA74" s="250">
        <f>IF(D74="O",IF(Z74&lt;0,Z74,0),0)</f>
        <v>0</v>
      </c>
      <c r="AB74" s="254">
        <f>IF(B74="CRYPTO",N74,0)</f>
        <v>0</v>
      </c>
      <c r="AC74" s="250">
        <f>IF(D74="O",IF(AB74&lt;0,AB74,0),0)</f>
        <v>0</v>
      </c>
      <c r="AD74" s="255">
        <f>IF(K74&lt;&gt;"",K74-E74,0)</f>
        <v>4.3055555557657499E-2</v>
      </c>
      <c r="AE74" s="255">
        <f>IF(N74&gt;0,AD74,0)</f>
        <v>0</v>
      </c>
      <c r="AF74" s="255">
        <f>IF(N74&lt;0,AD74,0)</f>
        <v>4.3055555557657499E-2</v>
      </c>
      <c r="AG74" s="255">
        <f>IF(N74=0,AD74,0)</f>
        <v>0</v>
      </c>
    </row>
    <row r="75" spans="2:33" ht="15" customHeight="1" x14ac:dyDescent="0.3">
      <c r="B75" s="196" t="s">
        <v>5</v>
      </c>
      <c r="C75" s="197" t="s">
        <v>15</v>
      </c>
      <c r="D75" s="246" t="str">
        <f>IF(E75&lt;&gt;"",IF(K75&lt;&gt;"","C","O"),"")</f>
        <v>C</v>
      </c>
      <c r="E75" s="199">
        <v>44860.729166666664</v>
      </c>
      <c r="F75" s="200" t="s">
        <v>91</v>
      </c>
      <c r="G75" s="235">
        <v>13159.62</v>
      </c>
      <c r="H75" s="235">
        <v>13116.64</v>
      </c>
      <c r="I75" s="247">
        <f>ABS(G75-H75)</f>
        <v>42.980000000001382</v>
      </c>
      <c r="J75" s="235">
        <v>13961.92</v>
      </c>
      <c r="K75" s="199">
        <v>44860.855555555558</v>
      </c>
      <c r="L75" s="235">
        <v>13139.18</v>
      </c>
      <c r="M75" s="248">
        <f>ROUND(IF(C75="L",(L75-G75),(G75-L75)),4)</f>
        <v>-20.440000000000001</v>
      </c>
      <c r="N75" s="249">
        <f>IFERROR(ROUND((M75/I75),2),"")</f>
        <v>-0.48</v>
      </c>
      <c r="O75" s="250">
        <f>IF(D75="O",IF(N75&lt;0,N75,0),0)</f>
        <v>0</v>
      </c>
      <c r="P75" s="251">
        <f>IF(N75&gt;= 0,N75,0)</f>
        <v>0</v>
      </c>
      <c r="Q75" s="251">
        <f>IF(N75&lt;0,N75,0)</f>
        <v>-0.48</v>
      </c>
      <c r="R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45148</v>
      </c>
      <c r="T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5" s="253">
        <f ca="1">IF(Tabla33610673[[#This Row],[Equity]]&lt;Tabla33610673[[#This Row],[Equity Peak]],(Tabla33610673[[#This Row],[Equity Peak]]-Tabla33610673[[#This Row],[Equity]])/Tabla33610673[[#This Row],[Equity Peak]],"")</f>
        <v>1.6447726728100558E-2</v>
      </c>
      <c r="V75" s="254">
        <f>IF(B75="FX",N75,0)</f>
        <v>0</v>
      </c>
      <c r="W75" s="254">
        <f>IF(D75="O",IF(V75&lt;0,V75,0),0)</f>
        <v>0</v>
      </c>
      <c r="X75" s="254">
        <f>IF(B75="COM",N75,0)</f>
        <v>0</v>
      </c>
      <c r="Y75" s="254">
        <f>IF(D75="O",IF(X75&lt;0,X75,0),0)</f>
        <v>0</v>
      </c>
      <c r="Z75" s="254">
        <f>IF(B75="IND",N75,0)</f>
        <v>-0.48</v>
      </c>
      <c r="AA75" s="250">
        <f>IF(D75="O",IF(Z75&lt;0,Z75,0),0)</f>
        <v>0</v>
      </c>
      <c r="AB75" s="254">
        <f>IF(B75="CRYPTO",N75,0)</f>
        <v>0</v>
      </c>
      <c r="AC75" s="250">
        <f>IF(D75="O",IF(AB75&lt;0,AB75,0),0)</f>
        <v>0</v>
      </c>
      <c r="AD75" s="255">
        <f>IF(K75&lt;&gt;"",K75-E75,0)</f>
        <v>0.12638888889341615</v>
      </c>
      <c r="AE75" s="255">
        <f>IF(N75&gt;0,AD75,0)</f>
        <v>0</v>
      </c>
      <c r="AF75" s="255">
        <f>IF(N75&lt;0,AD75,0)</f>
        <v>0.12638888889341615</v>
      </c>
      <c r="AG75" s="255">
        <f>IF(N75=0,AD75,0)</f>
        <v>0</v>
      </c>
    </row>
    <row r="76" spans="2:33" ht="15" customHeight="1" x14ac:dyDescent="0.3">
      <c r="B76" s="196" t="s">
        <v>7</v>
      </c>
      <c r="C76" s="197" t="s">
        <v>15</v>
      </c>
      <c r="D76" s="246" t="str">
        <f>IF(E76&lt;&gt;"",IF(K76&lt;&gt;"","C","O"),"")</f>
        <v>C</v>
      </c>
      <c r="E76" s="199">
        <v>44859.677083333336</v>
      </c>
      <c r="F76" s="200" t="s">
        <v>114</v>
      </c>
      <c r="G76" s="235">
        <v>0.99012</v>
      </c>
      <c r="H76" s="235">
        <v>0.98811000000000004</v>
      </c>
      <c r="I76" s="247">
        <f>ABS(G76-H76)</f>
        <v>2.0099999999999563E-3</v>
      </c>
      <c r="J76" s="235">
        <v>1.0082100000000001</v>
      </c>
      <c r="K76" s="199">
        <v>44860.813194444447</v>
      </c>
      <c r="L76" s="235">
        <v>1.0082100000000001</v>
      </c>
      <c r="M76" s="248">
        <f>ROUND(IF(C76="L",(L76-G76),(G76-L76)),4)</f>
        <v>1.8100000000000002E-2</v>
      </c>
      <c r="N76" s="249">
        <f>IFERROR(ROUND((M76/I76),2),"")</f>
        <v>9</v>
      </c>
      <c r="O76" s="250">
        <f>IF(D76="O",IF(N76&lt;0,N76,0),0)</f>
        <v>0</v>
      </c>
      <c r="P76" s="251">
        <f>IF(N76&gt;= 0,N76,0)</f>
        <v>9</v>
      </c>
      <c r="Q76" s="251">
        <f>IF(N76&lt;0,N76,0)</f>
        <v>0</v>
      </c>
      <c r="R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45196</v>
      </c>
      <c r="T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6" s="253">
        <f ca="1">IF(Tabla33610673[[#This Row],[Equity]]&lt;Tabla33610673[[#This Row],[Equity Peak]],(Tabla33610673[[#This Row],[Equity Peak]]-Tabla33610673[[#This Row],[Equity]])/Tabla33610673[[#This Row],[Equity Peak]],"")</f>
        <v>1.5402043439426617E-2</v>
      </c>
      <c r="V76" s="254">
        <f>IF(B76="FX",N76,0)</f>
        <v>9</v>
      </c>
      <c r="W76" s="254">
        <f>IF(D76="O",IF(V76&lt;0,V76,0),0)</f>
        <v>0</v>
      </c>
      <c r="X76" s="254">
        <f>IF(B76="COM",N76,0)</f>
        <v>0</v>
      </c>
      <c r="Y76" s="254">
        <f>IF(D76="O",IF(X76&lt;0,X76,0),0)</f>
        <v>0</v>
      </c>
      <c r="Z76" s="254">
        <f>IF(B76="IND",N76,0)</f>
        <v>0</v>
      </c>
      <c r="AA76" s="250">
        <f>IF(D76="O",IF(Z76&lt;0,Z76,0),0)</f>
        <v>0</v>
      </c>
      <c r="AB76" s="254">
        <f>IF(B76="CRYPTO",N76,0)</f>
        <v>0</v>
      </c>
      <c r="AC76" s="250">
        <f>IF(D76="O",IF(AB76&lt;0,AB76,0),0)</f>
        <v>0</v>
      </c>
      <c r="AD76" s="255">
        <f>IF(K76&lt;&gt;"",K76-E76,0)</f>
        <v>1.1361111111109494</v>
      </c>
      <c r="AE76" s="255">
        <f>IF(N76&gt;0,AD76,0)</f>
        <v>1.1361111111109494</v>
      </c>
      <c r="AF76" s="255">
        <f>IF(N76&lt;0,AD76,0)</f>
        <v>0</v>
      </c>
      <c r="AG76" s="255">
        <f>IF(N76=0,AD76,0)</f>
        <v>0</v>
      </c>
    </row>
    <row r="77" spans="2:33" ht="15" customHeight="1" x14ac:dyDescent="0.3">
      <c r="B77" s="196" t="s">
        <v>7</v>
      </c>
      <c r="C77" s="197" t="s">
        <v>15</v>
      </c>
      <c r="D77" s="246" t="str">
        <f>IF(E77&lt;&gt;"",IF(K77&lt;&gt;"","C","O"),"")</f>
        <v>C</v>
      </c>
      <c r="E77" s="199">
        <v>44859.697916666664</v>
      </c>
      <c r="F77" s="200" t="s">
        <v>115</v>
      </c>
      <c r="G77" s="235">
        <v>169.625</v>
      </c>
      <c r="H77" s="235">
        <v>168.61600000000001</v>
      </c>
      <c r="I77" s="247">
        <f>ABS(G77-H77)</f>
        <v>1.0089999999999861</v>
      </c>
      <c r="J77" s="235">
        <v>172.50800000000001</v>
      </c>
      <c r="K77" s="199">
        <v>44860.724305555559</v>
      </c>
      <c r="L77" s="235">
        <v>169.58500000000001</v>
      </c>
      <c r="M77" s="248">
        <f>ROUND(IF(C77="L",(L77-G77),(G77-L77)),4)</f>
        <v>-0.04</v>
      </c>
      <c r="N77" s="249">
        <f>IFERROR(ROUND((M77/I77),2),"")</f>
        <v>-0.04</v>
      </c>
      <c r="O77" s="250">
        <f>IF(D77="O",IF(N77&lt;0,N77,0),0)</f>
        <v>0</v>
      </c>
      <c r="P77" s="251">
        <f>IF(N77&gt;= 0,N77,0)</f>
        <v>0</v>
      </c>
      <c r="Q77" s="251">
        <f>IF(N77&lt;0,N77,0)</f>
        <v>-0.04</v>
      </c>
      <c r="R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44296</v>
      </c>
      <c r="T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7" s="253">
        <f ca="1">IF(Tabla33610673[[#This Row],[Equity]]&lt;Tabla33610673[[#This Row],[Equity Peak]],(Tabla33610673[[#This Row],[Equity Peak]]-Tabla33610673[[#This Row],[Equity]])/Tabla33610673[[#This Row],[Equity Peak]],"")</f>
        <v>3.5008605102063044E-2</v>
      </c>
      <c r="V77" s="254">
        <f>IF(B77="FX",N77,0)</f>
        <v>-0.04</v>
      </c>
      <c r="W77" s="254">
        <f>IF(D77="O",IF(V77&lt;0,V77,0),0)</f>
        <v>0</v>
      </c>
      <c r="X77" s="254">
        <f>IF(B77="COM",N77,0)</f>
        <v>0</v>
      </c>
      <c r="Y77" s="254">
        <f>IF(D77="O",IF(X77&lt;0,X77,0),0)</f>
        <v>0</v>
      </c>
      <c r="Z77" s="254">
        <f>IF(B77="IND",N77,0)</f>
        <v>0</v>
      </c>
      <c r="AA77" s="250">
        <f>IF(D77="O",IF(Z77&lt;0,Z77,0),0)</f>
        <v>0</v>
      </c>
      <c r="AB77" s="254">
        <f>IF(B77="CRYPTO",N77,0)</f>
        <v>0</v>
      </c>
      <c r="AC77" s="250">
        <f>IF(D77="O",IF(AB77&lt;0,AB77,0),0)</f>
        <v>0</v>
      </c>
      <c r="AD77" s="255">
        <f>IF(K77&lt;&gt;"",K77-E77,0)</f>
        <v>1.0263888888948713</v>
      </c>
      <c r="AE77" s="255">
        <f>IF(N77&gt;0,AD77,0)</f>
        <v>0</v>
      </c>
      <c r="AF77" s="255">
        <f>IF(N77&lt;0,AD77,0)</f>
        <v>1.0263888888948713</v>
      </c>
      <c r="AG77" s="255">
        <f>IF(N77=0,AD77,0)</f>
        <v>0</v>
      </c>
    </row>
    <row r="78" spans="2:33" ht="15" customHeight="1" x14ac:dyDescent="0.3">
      <c r="B78" s="196" t="s">
        <v>5</v>
      </c>
      <c r="C78" s="197" t="s">
        <v>15</v>
      </c>
      <c r="D78" s="246" t="str">
        <f>IF(E78&lt;&gt;"",IF(K78&lt;&gt;"","C","O"),"")</f>
        <v>C</v>
      </c>
      <c r="E78" s="199">
        <v>44860.46875</v>
      </c>
      <c r="F78" s="200" t="s">
        <v>91</v>
      </c>
      <c r="G78" s="235">
        <v>13120.62</v>
      </c>
      <c r="H78" s="235">
        <v>13078.52</v>
      </c>
      <c r="I78" s="247">
        <f>ABS(G78-H78)</f>
        <v>42.100000000000364</v>
      </c>
      <c r="J78" s="235">
        <v>13906.46</v>
      </c>
      <c r="K78" s="199">
        <v>44860.615972222222</v>
      </c>
      <c r="L78" s="235">
        <v>13078.52</v>
      </c>
      <c r="M78" s="248">
        <f>ROUND(IF(C78="L",(L78-G78),(G78-L78)),4)</f>
        <v>-42.1</v>
      </c>
      <c r="N78" s="249">
        <f>IFERROR(ROUND((M78/I78),2),"")</f>
        <v>-1</v>
      </c>
      <c r="O78" s="250">
        <f>IF(D78="O",IF(N78&lt;0,N78,0),0)</f>
        <v>0</v>
      </c>
      <c r="P78" s="251">
        <f>IF(N78&gt;= 0,N78,0)</f>
        <v>0</v>
      </c>
      <c r="Q78" s="251">
        <f>IF(N78&lt;0,N78,0)</f>
        <v>-1</v>
      </c>
      <c r="R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44300</v>
      </c>
      <c r="T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8" s="253">
        <f ca="1">IF(Tabla33610673[[#This Row],[Equity]]&lt;Tabla33610673[[#This Row],[Equity Peak]],(Tabla33610673[[#This Row],[Equity Peak]]-Tabla33610673[[#This Row],[Equity]])/Tabla33610673[[#This Row],[Equity Peak]],"")</f>
        <v>3.4921464828006885E-2</v>
      </c>
      <c r="V78" s="254">
        <f>IF(B78="FX",N78,0)</f>
        <v>0</v>
      </c>
      <c r="W78" s="254">
        <f>IF(D78="O",IF(V78&lt;0,V78,0),0)</f>
        <v>0</v>
      </c>
      <c r="X78" s="254">
        <f>IF(B78="COM",N78,0)</f>
        <v>0</v>
      </c>
      <c r="Y78" s="254">
        <f>IF(D78="O",IF(X78&lt;0,X78,0),0)</f>
        <v>0</v>
      </c>
      <c r="Z78" s="254">
        <f>IF(B78="IND",N78,0)</f>
        <v>-1</v>
      </c>
      <c r="AA78" s="250">
        <f>IF(D78="O",IF(Z78&lt;0,Z78,0),0)</f>
        <v>0</v>
      </c>
      <c r="AB78" s="254">
        <f>IF(B78="CRYPTO",N78,0)</f>
        <v>0</v>
      </c>
      <c r="AC78" s="250">
        <f>IF(D78="O",IF(AB78&lt;0,AB78,0),0)</f>
        <v>0</v>
      </c>
      <c r="AD78" s="255">
        <f>IF(K78&lt;&gt;"",K78-E78,0)</f>
        <v>0.14722222222189885</v>
      </c>
      <c r="AE78" s="255">
        <f>IF(N78&gt;0,AD78,0)</f>
        <v>0</v>
      </c>
      <c r="AF78" s="255">
        <f>IF(N78&lt;0,AD78,0)</f>
        <v>0.14722222222189885</v>
      </c>
      <c r="AG78" s="255">
        <f>IF(N78=0,AD78,0)</f>
        <v>0</v>
      </c>
    </row>
    <row r="79" spans="2:33" ht="15" customHeight="1" x14ac:dyDescent="0.3">
      <c r="B79" s="196" t="s">
        <v>5</v>
      </c>
      <c r="C79" s="197" t="s">
        <v>15</v>
      </c>
      <c r="D79" s="246" t="str">
        <f>IF(E79&lt;&gt;"",IF(K79&lt;&gt;"","C","O"),"")</f>
        <v>C</v>
      </c>
      <c r="E79" s="199">
        <v>44859.760416666664</v>
      </c>
      <c r="F79" s="200" t="s">
        <v>91</v>
      </c>
      <c r="G79" s="235">
        <v>13034.77</v>
      </c>
      <c r="H79" s="235">
        <v>12989.07</v>
      </c>
      <c r="I79" s="247">
        <f>ABS(G79-H79)</f>
        <v>45.700000000000728</v>
      </c>
      <c r="J79" s="235">
        <v>13887.92</v>
      </c>
      <c r="K79" s="199">
        <v>44860.170138888891</v>
      </c>
      <c r="L79" s="235">
        <v>13017.06</v>
      </c>
      <c r="M79" s="248">
        <f>ROUND(IF(C79="L",(L79-G79),(G79-L79)),4)</f>
        <v>-17.71</v>
      </c>
      <c r="N79" s="249">
        <f>IFERROR(ROUND((M79/I79),2),"")</f>
        <v>-0.39</v>
      </c>
      <c r="O79" s="250">
        <f>IF(D79="O",IF(N79&lt;0,N79,0),0)</f>
        <v>0</v>
      </c>
      <c r="P79" s="251">
        <f>IF(N79&gt;= 0,N79,0)</f>
        <v>0</v>
      </c>
      <c r="Q79" s="251">
        <f>IF(N79&lt;0,N79,0)</f>
        <v>-0.39</v>
      </c>
      <c r="R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44400</v>
      </c>
      <c r="T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79" s="253">
        <f ca="1">IF(Tabla33610673[[#This Row],[Equity]]&lt;Tabla33610673[[#This Row],[Equity Peak]],(Tabla33610673[[#This Row],[Equity Peak]]-Tabla33610673[[#This Row],[Equity]])/Tabla33610673[[#This Row],[Equity Peak]],"")</f>
        <v>3.2742957976602836E-2</v>
      </c>
      <c r="V79" s="254">
        <f>IF(B79="FX",N79,0)</f>
        <v>0</v>
      </c>
      <c r="W79" s="254">
        <f>IF(D79="O",IF(V79&lt;0,V79,0),0)</f>
        <v>0</v>
      </c>
      <c r="X79" s="254">
        <f>IF(B79="COM",N79,0)</f>
        <v>0</v>
      </c>
      <c r="Y79" s="254">
        <f>IF(D79="O",IF(X79&lt;0,X79,0),0)</f>
        <v>0</v>
      </c>
      <c r="Z79" s="254">
        <f>IF(B79="IND",N79,0)</f>
        <v>-0.39</v>
      </c>
      <c r="AA79" s="250">
        <f>IF(D79="O",IF(Z79&lt;0,Z79,0),0)</f>
        <v>0</v>
      </c>
      <c r="AB79" s="254">
        <f>IF(B79="CRYPTO",N79,0)</f>
        <v>0</v>
      </c>
      <c r="AC79" s="250">
        <f>IF(D79="O",IF(AB79&lt;0,AB79,0),0)</f>
        <v>0</v>
      </c>
      <c r="AD79" s="255">
        <f>IF(K79&lt;&gt;"",K79-E79,0)</f>
        <v>0.40972222222626442</v>
      </c>
      <c r="AE79" s="255">
        <f>IF(N79&gt;0,AD79,0)</f>
        <v>0</v>
      </c>
      <c r="AF79" s="255">
        <f>IF(N79&lt;0,AD79,0)</f>
        <v>0.40972222222626442</v>
      </c>
      <c r="AG79" s="255">
        <f>IF(N79=0,AD79,0)</f>
        <v>0</v>
      </c>
    </row>
    <row r="80" spans="2:33" ht="15" customHeight="1" x14ac:dyDescent="0.3">
      <c r="B80" s="196" t="s">
        <v>5</v>
      </c>
      <c r="C80" s="197" t="s">
        <v>15</v>
      </c>
      <c r="D80" s="246" t="str">
        <f>IF(E80&lt;&gt;"",IF(K80&lt;&gt;"","C","O"),"")</f>
        <v>C</v>
      </c>
      <c r="E80" s="199">
        <v>44859.697916666664</v>
      </c>
      <c r="F80" s="200" t="s">
        <v>92</v>
      </c>
      <c r="G80" s="235">
        <v>11508.47</v>
      </c>
      <c r="H80" s="235">
        <v>11477.48</v>
      </c>
      <c r="I80" s="247">
        <f>ABS(G80-H80)</f>
        <v>30.989999999999782</v>
      </c>
      <c r="J80" s="235">
        <v>12087.02</v>
      </c>
      <c r="K80" s="199">
        <v>44859.961111111108</v>
      </c>
      <c r="L80" s="235">
        <v>11541.2</v>
      </c>
      <c r="M80" s="248">
        <f>ROUND(IF(C80="L",(L80-G80),(G80-L80)),4)</f>
        <v>32.729999999999997</v>
      </c>
      <c r="N80" s="249">
        <f>IFERROR(ROUND((M80/I80),2),"")</f>
        <v>1.06</v>
      </c>
      <c r="O80" s="250">
        <f>IF(D80="O",IF(N80&lt;0,N80,0),0)</f>
        <v>0</v>
      </c>
      <c r="P80" s="251">
        <f>IF(N80&gt;= 0,N80,0)</f>
        <v>1.06</v>
      </c>
      <c r="Q80" s="251">
        <f>IF(N80&lt;0,N80,0)</f>
        <v>0</v>
      </c>
      <c r="R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44439</v>
      </c>
      <c r="T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0" s="253">
        <f ca="1">IF(Tabla33610673[[#This Row],[Equity]]&lt;Tabla33610673[[#This Row],[Equity Peak]],(Tabla33610673[[#This Row],[Equity Peak]]-Tabla33610673[[#This Row],[Equity]])/Tabla33610673[[#This Row],[Equity Peak]],"")</f>
        <v>3.1893340304555255E-2</v>
      </c>
      <c r="V80" s="254">
        <f>IF(B80="FX",N80,0)</f>
        <v>0</v>
      </c>
      <c r="W80" s="254">
        <f>IF(D80="O",IF(V80&lt;0,V80,0),0)</f>
        <v>0</v>
      </c>
      <c r="X80" s="254">
        <f>IF(B80="COM",N80,0)</f>
        <v>0</v>
      </c>
      <c r="Y80" s="254">
        <f>IF(D80="O",IF(X80&lt;0,X80,0),0)</f>
        <v>0</v>
      </c>
      <c r="Z80" s="254">
        <f>IF(B80="IND",N80,0)</f>
        <v>1.06</v>
      </c>
      <c r="AA80" s="250">
        <f>IF(D80="O",IF(Z80&lt;0,Z80,0),0)</f>
        <v>0</v>
      </c>
      <c r="AB80" s="254">
        <f>IF(B80="CRYPTO",N80,0)</f>
        <v>0</v>
      </c>
      <c r="AC80" s="250">
        <f>IF(D80="O",IF(AB80&lt;0,AB80,0),0)</f>
        <v>0</v>
      </c>
      <c r="AD80" s="255">
        <f>IF(K80&lt;&gt;"",K80-E80,0)</f>
        <v>0.26319444444379769</v>
      </c>
      <c r="AE80" s="255">
        <f>IF(N80&gt;0,AD80,0)</f>
        <v>0.26319444444379769</v>
      </c>
      <c r="AF80" s="255">
        <f>IF(N80&lt;0,AD80,0)</f>
        <v>0</v>
      </c>
      <c r="AG80" s="255">
        <f>IF(N80=0,AD80,0)</f>
        <v>0</v>
      </c>
    </row>
    <row r="81" spans="2:33" ht="15" customHeight="1" x14ac:dyDescent="0.3">
      <c r="B81" s="196" t="s">
        <v>5</v>
      </c>
      <c r="C81" s="197" t="s">
        <v>15</v>
      </c>
      <c r="D81" s="246" t="str">
        <f>IF(E81&lt;&gt;"",IF(K81&lt;&gt;"","C","O"),"")</f>
        <v>C</v>
      </c>
      <c r="E81" s="199">
        <v>44859.697916666664</v>
      </c>
      <c r="F81" s="200" t="s">
        <v>93</v>
      </c>
      <c r="G81" s="235">
        <v>11508.47</v>
      </c>
      <c r="H81" s="235">
        <v>11471.43</v>
      </c>
      <c r="I81" s="247">
        <f>ABS(G81-H81)</f>
        <v>37.039999999999054</v>
      </c>
      <c r="J81" s="235">
        <v>11903.54</v>
      </c>
      <c r="K81" s="199">
        <v>44859.959027777775</v>
      </c>
      <c r="L81" s="235">
        <v>11583.4</v>
      </c>
      <c r="M81" s="248">
        <f>ROUND(IF(C81="L",(L81-G81),(G81-L81)),4)</f>
        <v>74.930000000000007</v>
      </c>
      <c r="N81" s="249">
        <f>IFERROR(ROUND((M81/I81),2),"")</f>
        <v>2.02</v>
      </c>
      <c r="O81" s="250">
        <f>IF(D81="O",IF(N81&lt;0,N81,0),0)</f>
        <v>0</v>
      </c>
      <c r="P81" s="251">
        <f>IF(N81&gt;= 0,N81,0)</f>
        <v>2.02</v>
      </c>
      <c r="Q81" s="251">
        <f>IF(N81&lt;0,N81,0)</f>
        <v>0</v>
      </c>
      <c r="R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44333</v>
      </c>
      <c r="T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1" s="253">
        <f ca="1">IF(Tabla33610673[[#This Row],[Equity]]&lt;Tabla33610673[[#This Row],[Equity Peak]],(Tabla33610673[[#This Row],[Equity Peak]]-Tabla33610673[[#This Row],[Equity]])/Tabla33610673[[#This Row],[Equity Peak]],"")</f>
        <v>3.4202557567043546E-2</v>
      </c>
      <c r="V81" s="254">
        <f>IF(B81="FX",N81,0)</f>
        <v>0</v>
      </c>
      <c r="W81" s="254">
        <f>IF(D81="O",IF(V81&lt;0,V81,0),0)</f>
        <v>0</v>
      </c>
      <c r="X81" s="254">
        <f>IF(B81="COM",N81,0)</f>
        <v>0</v>
      </c>
      <c r="Y81" s="254">
        <f>IF(D81="O",IF(X81&lt;0,X81,0),0)</f>
        <v>0</v>
      </c>
      <c r="Z81" s="254">
        <f>IF(B81="IND",N81,0)</f>
        <v>2.02</v>
      </c>
      <c r="AA81" s="250">
        <f>IF(D81="O",IF(Z81&lt;0,Z81,0),0)</f>
        <v>0</v>
      </c>
      <c r="AB81" s="254">
        <f>IF(B81="CRYPTO",N81,0)</f>
        <v>0</v>
      </c>
      <c r="AC81" s="250">
        <f>IF(D81="O",IF(AB81&lt;0,AB81,0),0)</f>
        <v>0</v>
      </c>
      <c r="AD81" s="255">
        <f>IF(K81&lt;&gt;"",K81-E81,0)</f>
        <v>0.26111111111094942</v>
      </c>
      <c r="AE81" s="255">
        <f>IF(N81&gt;0,AD81,0)</f>
        <v>0.26111111111094942</v>
      </c>
      <c r="AF81" s="255">
        <f>IF(N81&lt;0,AD81,0)</f>
        <v>0</v>
      </c>
      <c r="AG81" s="255">
        <f>IF(N81=0,AD81,0)</f>
        <v>0</v>
      </c>
    </row>
    <row r="82" spans="2:33" ht="15" customHeight="1" x14ac:dyDescent="0.3">
      <c r="B82" s="196" t="s">
        <v>5</v>
      </c>
      <c r="C82" s="197" t="s">
        <v>15</v>
      </c>
      <c r="D82" s="246" t="str">
        <f>IF(E82&lt;&gt;"",IF(K82&lt;&gt;"","C","O"),"")</f>
        <v>C</v>
      </c>
      <c r="E82" s="199">
        <v>44858.666666666664</v>
      </c>
      <c r="F82" s="200" t="s">
        <v>91</v>
      </c>
      <c r="G82" s="235">
        <v>12997.83</v>
      </c>
      <c r="H82" s="235">
        <v>12953.1</v>
      </c>
      <c r="I82" s="247">
        <f>ABS(G82-H82)</f>
        <v>44.729999999999563</v>
      </c>
      <c r="J82" s="235">
        <v>13832.73</v>
      </c>
      <c r="K82" s="199">
        <v>44858.679166666669</v>
      </c>
      <c r="L82" s="235">
        <v>12953.1</v>
      </c>
      <c r="M82" s="248">
        <f>ROUND(IF(C82="L",(L82-G82),(G82-L82)),4)</f>
        <v>-44.73</v>
      </c>
      <c r="N82" s="249">
        <f>IFERROR(ROUND((M82/I82),2),"")</f>
        <v>-1</v>
      </c>
      <c r="O82" s="250">
        <f>IF(D82="O",IF(N82&lt;0,N82,0),0)</f>
        <v>0</v>
      </c>
      <c r="P82" s="251">
        <f>IF(N82&gt;= 0,N82,0)</f>
        <v>0</v>
      </c>
      <c r="Q82" s="251">
        <f>IF(N82&lt;0,N82,0)</f>
        <v>-1</v>
      </c>
      <c r="R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44131</v>
      </c>
      <c r="T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2" s="253">
        <f ca="1">IF(Tabla33610673[[#This Row],[Equity]]&lt;Tabla33610673[[#This Row],[Equity Peak]],(Tabla33610673[[#This Row],[Equity Peak]]-Tabla33610673[[#This Row],[Equity]])/Tabla33610673[[#This Row],[Equity Peak]],"")</f>
        <v>3.8603141406879725E-2</v>
      </c>
      <c r="V82" s="254">
        <f>IF(B82="FX",N82,0)</f>
        <v>0</v>
      </c>
      <c r="W82" s="254">
        <f>IF(D82="O",IF(V82&lt;0,V82,0),0)</f>
        <v>0</v>
      </c>
      <c r="X82" s="254">
        <f>IF(B82="COM",N82,0)</f>
        <v>0</v>
      </c>
      <c r="Y82" s="254">
        <f>IF(D82="O",IF(X82&lt;0,X82,0),0)</f>
        <v>0</v>
      </c>
      <c r="Z82" s="254">
        <f>IF(B82="IND",N82,0)</f>
        <v>-1</v>
      </c>
      <c r="AA82" s="250">
        <f>IF(D82="O",IF(Z82&lt;0,Z82,0),0)</f>
        <v>0</v>
      </c>
      <c r="AB82" s="254">
        <f>IF(B82="CRYPTO",N82,0)</f>
        <v>0</v>
      </c>
      <c r="AC82" s="250">
        <f>IF(D82="O",IF(AB82&lt;0,AB82,0),0)</f>
        <v>0</v>
      </c>
      <c r="AD82" s="255">
        <f>IF(K82&lt;&gt;"",K82-E82,0)</f>
        <v>1.2500000004365575E-2</v>
      </c>
      <c r="AE82" s="255">
        <f>IF(N82&gt;0,AD82,0)</f>
        <v>0</v>
      </c>
      <c r="AF82" s="255">
        <f>IF(N82&lt;0,AD82,0)</f>
        <v>1.2500000004365575E-2</v>
      </c>
      <c r="AG82" s="255">
        <f>IF(N82=0,AD82,0)</f>
        <v>0</v>
      </c>
    </row>
    <row r="83" spans="2:33" ht="15" customHeight="1" x14ac:dyDescent="0.3">
      <c r="B83" s="196" t="s">
        <v>5</v>
      </c>
      <c r="C83" s="197" t="s">
        <v>15</v>
      </c>
      <c r="D83" s="246" t="str">
        <f>IF(E83&lt;&gt;"",IF(K83&lt;&gt;"","C","O"),"")</f>
        <v>C</v>
      </c>
      <c r="E83" s="199">
        <v>44858.614583333336</v>
      </c>
      <c r="F83" s="200" t="s">
        <v>91</v>
      </c>
      <c r="G83" s="235">
        <v>12955.83</v>
      </c>
      <c r="H83" s="235">
        <v>12911.63</v>
      </c>
      <c r="I83" s="247">
        <f>ABS(G83-H83)</f>
        <v>44.200000000000728</v>
      </c>
      <c r="J83" s="235">
        <v>13780.93</v>
      </c>
      <c r="K83" s="199">
        <v>44858.64166666667</v>
      </c>
      <c r="L83" s="235">
        <v>12911.63</v>
      </c>
      <c r="M83" s="248">
        <f>ROUND(IF(C83="L",(L83-G83),(G83-L83)),4)</f>
        <v>-44.2</v>
      </c>
      <c r="N83" s="249">
        <f>IFERROR(ROUND((M83/I83),2),"")</f>
        <v>-1</v>
      </c>
      <c r="O83" s="250">
        <f>IF(D83="O",IF(N83&lt;0,N83,0),0)</f>
        <v>0</v>
      </c>
      <c r="P83" s="251">
        <f>IF(N83&gt;= 0,N83,0)</f>
        <v>0</v>
      </c>
      <c r="Q83" s="251">
        <f>IF(N83&lt;0,N83,0)</f>
        <v>-1</v>
      </c>
      <c r="R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44231</v>
      </c>
      <c r="T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3" s="253">
        <f ca="1">IF(Tabla33610673[[#This Row],[Equity]]&lt;Tabla33610673[[#This Row],[Equity Peak]],(Tabla33610673[[#This Row],[Equity Peak]]-Tabla33610673[[#This Row],[Equity]])/Tabla33610673[[#This Row],[Equity Peak]],"")</f>
        <v>3.6424634555475677E-2</v>
      </c>
      <c r="V83" s="254">
        <f>IF(B83="FX",N83,0)</f>
        <v>0</v>
      </c>
      <c r="W83" s="254">
        <f>IF(D83="O",IF(V83&lt;0,V83,0),0)</f>
        <v>0</v>
      </c>
      <c r="X83" s="254">
        <f>IF(B83="COM",N83,0)</f>
        <v>0</v>
      </c>
      <c r="Y83" s="254">
        <f>IF(D83="O",IF(X83&lt;0,X83,0),0)</f>
        <v>0</v>
      </c>
      <c r="Z83" s="254">
        <f>IF(B83="IND",N83,0)</f>
        <v>-1</v>
      </c>
      <c r="AA83" s="250">
        <f>IF(D83="O",IF(Z83&lt;0,Z83,0),0)</f>
        <v>0</v>
      </c>
      <c r="AB83" s="254">
        <f>IF(B83="CRYPTO",N83,0)</f>
        <v>0</v>
      </c>
      <c r="AC83" s="250">
        <f>IF(D83="O",IF(AB83&lt;0,AB83,0),0)</f>
        <v>0</v>
      </c>
      <c r="AD83" s="255">
        <f>IF(K83&lt;&gt;"",K83-E83,0)</f>
        <v>2.7083333334303461E-2</v>
      </c>
      <c r="AE83" s="255">
        <f>IF(N83&gt;0,AD83,0)</f>
        <v>0</v>
      </c>
      <c r="AF83" s="255">
        <f>IF(N83&lt;0,AD83,0)</f>
        <v>2.7083333334303461E-2</v>
      </c>
      <c r="AG83" s="255">
        <f>IF(N83=0,AD83,0)</f>
        <v>0</v>
      </c>
    </row>
    <row r="84" spans="2:33" ht="15" customHeight="1" x14ac:dyDescent="0.3">
      <c r="B84" s="196" t="s">
        <v>5</v>
      </c>
      <c r="C84" s="197" t="s">
        <v>15</v>
      </c>
      <c r="D84" s="246" t="str">
        <f>IF(E84&lt;&gt;"",IF(K84&lt;&gt;"","C","O"),"")</f>
        <v>C</v>
      </c>
      <c r="E84" s="199">
        <v>44855.927083333336</v>
      </c>
      <c r="F84" s="200" t="s">
        <v>92</v>
      </c>
      <c r="G84" s="235">
        <v>11279.68</v>
      </c>
      <c r="H84" s="235">
        <v>11230.2</v>
      </c>
      <c r="I84" s="247">
        <f>ABS(G84-H84)</f>
        <v>49.479999999999563</v>
      </c>
      <c r="J84" s="235">
        <v>12203.32</v>
      </c>
      <c r="K84" s="199">
        <v>44858.429166666669</v>
      </c>
      <c r="L84" s="235">
        <v>11272.93</v>
      </c>
      <c r="M84" s="248">
        <f>ROUND(IF(C84="L",(L84-G84),(G84-L84)),4)</f>
        <v>-6.75</v>
      </c>
      <c r="N84" s="249">
        <f>IFERROR(ROUND((M84/I84),2),"")</f>
        <v>-0.14000000000000001</v>
      </c>
      <c r="O84" s="250">
        <f>IF(D84="O",IF(N84&lt;0,N84,0),0)</f>
        <v>0</v>
      </c>
      <c r="P84" s="251">
        <f>IF(N84&gt;= 0,N84,0)</f>
        <v>0</v>
      </c>
      <c r="Q84" s="251">
        <f>IF(N84&lt;0,N84,0)</f>
        <v>-0.14000000000000001</v>
      </c>
      <c r="R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44331</v>
      </c>
      <c r="T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4" s="253">
        <f ca="1">IF(Tabla33610673[[#This Row],[Equity]]&lt;Tabla33610673[[#This Row],[Equity Peak]],(Tabla33610673[[#This Row],[Equity Peak]]-Tabla33610673[[#This Row],[Equity]])/Tabla33610673[[#This Row],[Equity Peak]],"")</f>
        <v>3.4246127704071629E-2</v>
      </c>
      <c r="V84" s="254">
        <f>IF(B84="FX",N84,0)</f>
        <v>0</v>
      </c>
      <c r="W84" s="254">
        <f>IF(D84="O",IF(V84&lt;0,V84,0),0)</f>
        <v>0</v>
      </c>
      <c r="X84" s="254">
        <f>IF(B84="COM",N84,0)</f>
        <v>0</v>
      </c>
      <c r="Y84" s="254">
        <f>IF(D84="O",IF(X84&lt;0,X84,0),0)</f>
        <v>0</v>
      </c>
      <c r="Z84" s="254">
        <f>IF(B84="IND",N84,0)</f>
        <v>-0.14000000000000001</v>
      </c>
      <c r="AA84" s="250">
        <f>IF(D84="O",IF(Z84&lt;0,Z84,0),0)</f>
        <v>0</v>
      </c>
      <c r="AB84" s="254">
        <f>IF(B84="CRYPTO",N84,0)</f>
        <v>0</v>
      </c>
      <c r="AC84" s="250">
        <f>IF(D84="O",IF(AB84&lt;0,AB84,0),0)</f>
        <v>0</v>
      </c>
      <c r="AD84" s="255">
        <f>IF(K84&lt;&gt;"",K84-E84,0)</f>
        <v>2.5020833333328483</v>
      </c>
      <c r="AE84" s="255">
        <f>IF(N84&gt;0,AD84,0)</f>
        <v>0</v>
      </c>
      <c r="AF84" s="255">
        <f>IF(N84&lt;0,AD84,0)</f>
        <v>2.5020833333328483</v>
      </c>
      <c r="AG84" s="255">
        <f>IF(N84=0,AD84,0)</f>
        <v>0</v>
      </c>
    </row>
    <row r="85" spans="2:33" ht="15" customHeight="1" x14ac:dyDescent="0.3">
      <c r="B85" s="196" t="s">
        <v>5</v>
      </c>
      <c r="C85" s="197" t="s">
        <v>15</v>
      </c>
      <c r="D85" s="246" t="str">
        <f>IF(E85&lt;&gt;"",IF(K85&lt;&gt;"","C","O"),"")</f>
        <v>C</v>
      </c>
      <c r="E85" s="199">
        <v>44855.927083333336</v>
      </c>
      <c r="F85" s="200" t="s">
        <v>93</v>
      </c>
      <c r="G85" s="235">
        <v>11279.68</v>
      </c>
      <c r="H85" s="235">
        <v>11231.02</v>
      </c>
      <c r="I85" s="247">
        <f>ABS(G85-H85)</f>
        <v>48.659999999999854</v>
      </c>
      <c r="J85" s="235">
        <v>11798.75</v>
      </c>
      <c r="K85" s="199">
        <v>44858.256249999999</v>
      </c>
      <c r="L85" s="235">
        <v>11331.01</v>
      </c>
      <c r="M85" s="248">
        <f>ROUND(IF(C85="L",(L85-G85),(G85-L85)),4)</f>
        <v>51.33</v>
      </c>
      <c r="N85" s="249">
        <f>IFERROR(ROUND((M85/I85),2),"")</f>
        <v>1.05</v>
      </c>
      <c r="O85" s="250">
        <f>IF(D85="O",IF(N85&lt;0,N85,0),0)</f>
        <v>0</v>
      </c>
      <c r="P85" s="251">
        <f>IF(N85&gt;= 0,N85,0)</f>
        <v>1.05</v>
      </c>
      <c r="Q85" s="251">
        <f>IF(N85&lt;0,N85,0)</f>
        <v>0</v>
      </c>
      <c r="R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44345</v>
      </c>
      <c r="T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5" s="253">
        <f ca="1">IF(Tabla33610673[[#This Row],[Equity]]&lt;Tabla33610673[[#This Row],[Equity Peak]],(Tabla33610673[[#This Row],[Equity Peak]]-Tabla33610673[[#This Row],[Equity]])/Tabla33610673[[#This Row],[Equity Peak]],"")</f>
        <v>3.3941136744875061E-2</v>
      </c>
      <c r="V85" s="254">
        <f>IF(B85="FX",N85,0)</f>
        <v>0</v>
      </c>
      <c r="W85" s="254">
        <f>IF(D85="O",IF(V85&lt;0,V85,0),0)</f>
        <v>0</v>
      </c>
      <c r="X85" s="254">
        <f>IF(B85="COM",N85,0)</f>
        <v>0</v>
      </c>
      <c r="Y85" s="254">
        <f>IF(D85="O",IF(X85&lt;0,X85,0),0)</f>
        <v>0</v>
      </c>
      <c r="Z85" s="254">
        <f>IF(B85="IND",N85,0)</f>
        <v>1.05</v>
      </c>
      <c r="AA85" s="250">
        <f>IF(D85="O",IF(Z85&lt;0,Z85,0),0)</f>
        <v>0</v>
      </c>
      <c r="AB85" s="254">
        <f>IF(B85="CRYPTO",N85,0)</f>
        <v>0</v>
      </c>
      <c r="AC85" s="250">
        <f>IF(D85="O",IF(AB85&lt;0,AB85,0),0)</f>
        <v>0</v>
      </c>
      <c r="AD85" s="255">
        <f>IF(K85&lt;&gt;"",K85-E85,0)</f>
        <v>2.3291666666627862</v>
      </c>
      <c r="AE85" s="255">
        <f>IF(N85&gt;0,AD85,0)</f>
        <v>2.3291666666627862</v>
      </c>
      <c r="AF85" s="255">
        <f>IF(N85&lt;0,AD85,0)</f>
        <v>0</v>
      </c>
      <c r="AG85" s="255">
        <f>IF(N85=0,AD85,0)</f>
        <v>0</v>
      </c>
    </row>
    <row r="86" spans="2:33" ht="15" customHeight="1" x14ac:dyDescent="0.3">
      <c r="B86" s="196" t="s">
        <v>7</v>
      </c>
      <c r="C86" s="197" t="s">
        <v>15</v>
      </c>
      <c r="D86" s="246" t="str">
        <f>IF(E86&lt;&gt;"",IF(K86&lt;&gt;"","C","O"),"")</f>
        <v>C</v>
      </c>
      <c r="E86" s="199">
        <v>44858.041666666664</v>
      </c>
      <c r="F86" s="200" t="s">
        <v>114</v>
      </c>
      <c r="G86" s="235">
        <v>0.98826999999999998</v>
      </c>
      <c r="H86" s="235">
        <v>0.98623000000000005</v>
      </c>
      <c r="I86" s="247">
        <f>ABS(G86-H86)</f>
        <v>2.0399999999999308E-3</v>
      </c>
      <c r="J86" s="235">
        <v>1.00667</v>
      </c>
      <c r="K86" s="199">
        <v>44858.052083333336</v>
      </c>
      <c r="L86" s="235">
        <v>0.98623000000000005</v>
      </c>
      <c r="M86" s="248">
        <f>ROUND(IF(C86="L",(L86-G86),(G86-L86)),4)</f>
        <v>-2E-3</v>
      </c>
      <c r="N86" s="249">
        <f>IFERROR(ROUND((M86/I86),2),"")</f>
        <v>-0.98</v>
      </c>
      <c r="O86" s="250">
        <f>IF(D86="O",IF(N86&lt;0,N86,0),0)</f>
        <v>0</v>
      </c>
      <c r="P86" s="251">
        <f>IF(N86&gt;= 0,N86,0)</f>
        <v>0</v>
      </c>
      <c r="Q86" s="251">
        <f>IF(N86&lt;0,N86,0)</f>
        <v>-0.98</v>
      </c>
      <c r="R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44240</v>
      </c>
      <c r="T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6" s="253">
        <f ca="1">IF(Tabla33610673[[#This Row],[Equity]]&lt;Tabla33610673[[#This Row],[Equity Peak]],(Tabla33610673[[#This Row],[Equity Peak]]-Tabla33610673[[#This Row],[Equity]])/Tabla33610673[[#This Row],[Equity Peak]],"")</f>
        <v>3.6228568938849313E-2</v>
      </c>
      <c r="V86" s="254">
        <f>IF(B86="FX",N86,0)</f>
        <v>-0.98</v>
      </c>
      <c r="W86" s="254">
        <f>IF(D86="O",IF(V86&lt;0,V86,0),0)</f>
        <v>0</v>
      </c>
      <c r="X86" s="254">
        <f>IF(B86="COM",N86,0)</f>
        <v>0</v>
      </c>
      <c r="Y86" s="254">
        <f>IF(D86="O",IF(X86&lt;0,X86,0),0)</f>
        <v>0</v>
      </c>
      <c r="Z86" s="254">
        <f>IF(B86="IND",N86,0)</f>
        <v>0</v>
      </c>
      <c r="AA86" s="250">
        <f>IF(D86="O",IF(Z86&lt;0,Z86,0),0)</f>
        <v>0</v>
      </c>
      <c r="AB86" s="254">
        <f>IF(B86="CRYPTO",N86,0)</f>
        <v>0</v>
      </c>
      <c r="AC86" s="250">
        <f>IF(D86="O",IF(AB86&lt;0,AB86,0),0)</f>
        <v>0</v>
      </c>
      <c r="AD86" s="255">
        <f>IF(K86&lt;&gt;"",K86-E86,0)</f>
        <v>1.0416666671517305E-2</v>
      </c>
      <c r="AE86" s="255">
        <f>IF(N86&gt;0,AD86,0)</f>
        <v>0</v>
      </c>
      <c r="AF86" s="255">
        <f>IF(N86&lt;0,AD86,0)</f>
        <v>1.0416666671517305E-2</v>
      </c>
      <c r="AG86" s="255">
        <f>IF(N86=0,AD86,0)</f>
        <v>0</v>
      </c>
    </row>
    <row r="87" spans="2:33" ht="15" customHeight="1" x14ac:dyDescent="0.3">
      <c r="B87" s="196" t="s">
        <v>7</v>
      </c>
      <c r="C87" s="197" t="s">
        <v>13</v>
      </c>
      <c r="D87" s="246" t="str">
        <f>IF(E87&lt;&gt;"",IF(K87&lt;&gt;"","C","O"),"")</f>
        <v>C</v>
      </c>
      <c r="E87" s="199">
        <v>44855.760416666664</v>
      </c>
      <c r="F87" s="200" t="s">
        <v>115</v>
      </c>
      <c r="G87" s="235">
        <v>165.90100000000001</v>
      </c>
      <c r="H87" s="235">
        <v>166.791</v>
      </c>
      <c r="I87" s="247">
        <f>ABS(G87-H87)</f>
        <v>0.88999999999998636</v>
      </c>
      <c r="J87" s="235">
        <v>163.358</v>
      </c>
      <c r="K87" s="199">
        <v>44855.845833333333</v>
      </c>
      <c r="L87" s="235">
        <v>166.261</v>
      </c>
      <c r="M87" s="248">
        <f>ROUND(IF(C87="L",(L87-G87),(G87-L87)),4)</f>
        <v>-0.36</v>
      </c>
      <c r="N87" s="249">
        <f>IFERROR(ROUND((M87/I87),2),"")</f>
        <v>-0.4</v>
      </c>
      <c r="O87" s="250">
        <f>IF(D87="O",IF(N87&lt;0,N87,0),0)</f>
        <v>0</v>
      </c>
      <c r="P87" s="251">
        <f>IF(N87&gt;= 0,N87,0)</f>
        <v>0</v>
      </c>
      <c r="Q87" s="251">
        <f>IF(N87&lt;0,N87,0)</f>
        <v>-0.4</v>
      </c>
      <c r="R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44338</v>
      </c>
      <c r="T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7" s="253">
        <f ca="1">IF(Tabla33610673[[#This Row],[Equity]]&lt;Tabla33610673[[#This Row],[Equity Peak]],(Tabla33610673[[#This Row],[Equity Peak]]-Tabla33610673[[#This Row],[Equity]])/Tabla33610673[[#This Row],[Equity Peak]],"")</f>
        <v>3.4093632224473348E-2</v>
      </c>
      <c r="V87" s="254">
        <f>IF(B87="FX",N87,0)</f>
        <v>-0.4</v>
      </c>
      <c r="W87" s="254">
        <f>IF(D87="O",IF(V87&lt;0,V87,0),0)</f>
        <v>0</v>
      </c>
      <c r="X87" s="254">
        <f>IF(B87="COM",N87,0)</f>
        <v>0</v>
      </c>
      <c r="Y87" s="254">
        <f>IF(D87="O",IF(X87&lt;0,X87,0),0)</f>
        <v>0</v>
      </c>
      <c r="Z87" s="254">
        <f>IF(B87="IND",N87,0)</f>
        <v>0</v>
      </c>
      <c r="AA87" s="250">
        <f>IF(D87="O",IF(Z87&lt;0,Z87,0),0)</f>
        <v>0</v>
      </c>
      <c r="AB87" s="254">
        <f>IF(B87="CRYPTO",N87,0)</f>
        <v>0</v>
      </c>
      <c r="AC87" s="250">
        <f>IF(D87="O",IF(AB87&lt;0,AB87,0),0)</f>
        <v>0</v>
      </c>
      <c r="AD87" s="255">
        <f>IF(K87&lt;&gt;"",K87-E87,0)</f>
        <v>8.5416666668606922E-2</v>
      </c>
      <c r="AE87" s="255">
        <f>IF(N87&gt;0,AD87,0)</f>
        <v>0</v>
      </c>
      <c r="AF87" s="255">
        <f>IF(N87&lt;0,AD87,0)</f>
        <v>8.5416666668606922E-2</v>
      </c>
      <c r="AG87" s="255">
        <f>IF(N87=0,AD87,0)</f>
        <v>0</v>
      </c>
    </row>
    <row r="88" spans="2:33" ht="15" customHeight="1" x14ac:dyDescent="0.3">
      <c r="B88" s="196" t="s">
        <v>5</v>
      </c>
      <c r="C88" s="197" t="s">
        <v>13</v>
      </c>
      <c r="D88" s="246" t="str">
        <f>IF(E88&lt;&gt;"",IF(K88&lt;&gt;"","C","O"),"")</f>
        <v>C</v>
      </c>
      <c r="E88" s="199">
        <v>44855.489583333336</v>
      </c>
      <c r="F88" s="200" t="s">
        <v>92</v>
      </c>
      <c r="G88" s="235">
        <v>10928.31</v>
      </c>
      <c r="H88" s="235">
        <v>10979.11</v>
      </c>
      <c r="I88" s="247">
        <f>ABS(G88-H88)</f>
        <v>50.800000000001091</v>
      </c>
      <c r="J88" s="235">
        <v>9979.9699999999993</v>
      </c>
      <c r="K88" s="199">
        <v>44855.667361111111</v>
      </c>
      <c r="L88" s="235">
        <v>10979.11</v>
      </c>
      <c r="M88" s="248">
        <f>ROUND(IF(C88="L",(L88-G88),(G88-L88)),4)</f>
        <v>-50.8</v>
      </c>
      <c r="N88" s="249">
        <f>IFERROR(ROUND((M88/I88),2),"")</f>
        <v>-1</v>
      </c>
      <c r="O88" s="250">
        <f>IF(D88="O",IF(N88&lt;0,N88,0),0)</f>
        <v>0</v>
      </c>
      <c r="P88" s="251">
        <f>IF(N88&gt;= 0,N88,0)</f>
        <v>0</v>
      </c>
      <c r="Q88" s="251">
        <f>IF(N88&lt;0,N88,0)</f>
        <v>-1</v>
      </c>
      <c r="R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44378</v>
      </c>
      <c r="T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8" s="253">
        <f ca="1">IF(Tabla33610673[[#This Row],[Equity]]&lt;Tabla33610673[[#This Row],[Equity Peak]],(Tabla33610673[[#This Row],[Equity Peak]]-Tabla33610673[[#This Row],[Equity]])/Tabla33610673[[#This Row],[Equity Peak]],"")</f>
        <v>3.3222229483911729E-2</v>
      </c>
      <c r="V88" s="254">
        <f>IF(B88="FX",N88,0)</f>
        <v>0</v>
      </c>
      <c r="W88" s="254">
        <f>IF(D88="O",IF(V88&lt;0,V88,0),0)</f>
        <v>0</v>
      </c>
      <c r="X88" s="254">
        <f>IF(B88="COM",N88,0)</f>
        <v>0</v>
      </c>
      <c r="Y88" s="254">
        <f>IF(D88="O",IF(X88&lt;0,X88,0),0)</f>
        <v>0</v>
      </c>
      <c r="Z88" s="254">
        <f>IF(B88="IND",N88,0)</f>
        <v>-1</v>
      </c>
      <c r="AA88" s="250">
        <f>IF(D88="O",IF(Z88&lt;0,Z88,0),0)</f>
        <v>0</v>
      </c>
      <c r="AB88" s="254">
        <f>IF(B88="CRYPTO",N88,0)</f>
        <v>0</v>
      </c>
      <c r="AC88" s="250">
        <f>IF(D88="O",IF(AB88&lt;0,AB88,0),0)</f>
        <v>0</v>
      </c>
      <c r="AD88" s="255">
        <f>IF(K88&lt;&gt;"",K88-E88,0)</f>
        <v>0.17777777777519077</v>
      </c>
      <c r="AE88" s="255">
        <f>IF(N88&gt;0,AD88,0)</f>
        <v>0</v>
      </c>
      <c r="AF88" s="255">
        <f>IF(N88&lt;0,AD88,0)</f>
        <v>0.17777777777519077</v>
      </c>
      <c r="AG88" s="255">
        <f>IF(N88=0,AD88,0)</f>
        <v>0</v>
      </c>
    </row>
    <row r="89" spans="2:33" ht="15" customHeight="1" x14ac:dyDescent="0.3">
      <c r="B89" s="196" t="s">
        <v>5</v>
      </c>
      <c r="C89" s="197" t="s">
        <v>13</v>
      </c>
      <c r="D89" s="246" t="str">
        <f>IF(E89&lt;&gt;"",IF(K89&lt;&gt;"","C","O"),"")</f>
        <v>C</v>
      </c>
      <c r="E89" s="199">
        <v>44855.489583333336</v>
      </c>
      <c r="F89" s="200" t="s">
        <v>93</v>
      </c>
      <c r="G89" s="235">
        <v>10928.31</v>
      </c>
      <c r="H89" s="235">
        <v>10978.97</v>
      </c>
      <c r="I89" s="247">
        <f>ABS(G89-H89)</f>
        <v>50.659999999999854</v>
      </c>
      <c r="J89" s="235">
        <v>10387.9</v>
      </c>
      <c r="K89" s="199">
        <v>44855.667361111111</v>
      </c>
      <c r="L89" s="235">
        <v>10978.97</v>
      </c>
      <c r="M89" s="248">
        <f>ROUND(IF(C89="L",(L89-G89),(G89-L89)),4)</f>
        <v>-50.66</v>
      </c>
      <c r="N89" s="249">
        <f>IFERROR(ROUND((M89/I89),2),"")</f>
        <v>-1</v>
      </c>
      <c r="O89" s="250">
        <f>IF(D89="O",IF(N89&lt;0,N89,0),0)</f>
        <v>0</v>
      </c>
      <c r="P89" s="251">
        <f>IF(N89&gt;= 0,N89,0)</f>
        <v>0</v>
      </c>
      <c r="Q89" s="251">
        <f>IF(N89&lt;0,N89,0)</f>
        <v>-1</v>
      </c>
      <c r="R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44478</v>
      </c>
      <c r="T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89" s="253">
        <f ca="1">IF(Tabla33610673[[#This Row],[Equity]]&lt;Tabla33610673[[#This Row],[Equity Peak]],(Tabla33610673[[#This Row],[Equity Peak]]-Tabla33610673[[#This Row],[Equity]])/Tabla33610673[[#This Row],[Equity Peak]],"")</f>
        <v>3.1043722632507681E-2</v>
      </c>
      <c r="V89" s="254">
        <f>IF(B89="FX",N89,0)</f>
        <v>0</v>
      </c>
      <c r="W89" s="254">
        <f>IF(D89="O",IF(V89&lt;0,V89,0),0)</f>
        <v>0</v>
      </c>
      <c r="X89" s="254">
        <f>IF(B89="COM",N89,0)</f>
        <v>0</v>
      </c>
      <c r="Y89" s="254">
        <f>IF(D89="O",IF(X89&lt;0,X89,0),0)</f>
        <v>0</v>
      </c>
      <c r="Z89" s="254">
        <f>IF(B89="IND",N89,0)</f>
        <v>-1</v>
      </c>
      <c r="AA89" s="250">
        <f>IF(D89="O",IF(Z89&lt;0,Z89,0),0)</f>
        <v>0</v>
      </c>
      <c r="AB89" s="254">
        <f>IF(B89="CRYPTO",N89,0)</f>
        <v>0</v>
      </c>
      <c r="AC89" s="250">
        <f>IF(D89="O",IF(AB89&lt;0,AB89,0),0)</f>
        <v>0</v>
      </c>
      <c r="AD89" s="255">
        <f>IF(K89&lt;&gt;"",K89-E89,0)</f>
        <v>0.17777777777519077</v>
      </c>
      <c r="AE89" s="255">
        <f>IF(N89&gt;0,AD89,0)</f>
        <v>0</v>
      </c>
      <c r="AF89" s="255">
        <f>IF(N89&lt;0,AD89,0)</f>
        <v>0.17777777777519077</v>
      </c>
      <c r="AG89" s="255">
        <f>IF(N89=0,AD89,0)</f>
        <v>0</v>
      </c>
    </row>
    <row r="90" spans="2:33" ht="15" customHeight="1" x14ac:dyDescent="0.3">
      <c r="B90" s="196" t="s">
        <v>7</v>
      </c>
      <c r="C90" s="197" t="s">
        <v>15</v>
      </c>
      <c r="D90" s="246" t="str">
        <f>IF(E90&lt;&gt;"",IF(K90&lt;&gt;"","C","O"),"")</f>
        <v>C</v>
      </c>
      <c r="E90" s="199">
        <v>44855.28125</v>
      </c>
      <c r="F90" s="200" t="s">
        <v>116</v>
      </c>
      <c r="G90" s="235">
        <v>150.376</v>
      </c>
      <c r="H90" s="235">
        <v>150.178</v>
      </c>
      <c r="I90" s="247">
        <f>ABS(G90-H90)</f>
        <v>0.1980000000000075</v>
      </c>
      <c r="J90" s="235">
        <v>152.43899999999999</v>
      </c>
      <c r="K90" s="199">
        <v>44855.665277777778</v>
      </c>
      <c r="L90" s="235">
        <v>151.50399999999999</v>
      </c>
      <c r="M90" s="248">
        <f>ROUND(IF(C90="L",(L90-G90),(G90-L90)),4)</f>
        <v>1.1279999999999999</v>
      </c>
      <c r="N90" s="249">
        <f>IFERROR(ROUND((M90/I90),2),"")</f>
        <v>5.7</v>
      </c>
      <c r="O90" s="250">
        <f>IF(D90="O",IF(N90&lt;0,N90,0),0)</f>
        <v>0</v>
      </c>
      <c r="P90" s="251">
        <f>IF(N90&gt;= 0,N90,0)</f>
        <v>5.7</v>
      </c>
      <c r="Q90" s="251">
        <f>IF(N90&lt;0,N90,0)</f>
        <v>0</v>
      </c>
      <c r="R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44578</v>
      </c>
      <c r="T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0" s="253">
        <f ca="1">IF(Tabla33610673[[#This Row],[Equity]]&lt;Tabla33610673[[#This Row],[Equity Peak]],(Tabla33610673[[#This Row],[Equity Peak]]-Tabla33610673[[#This Row],[Equity]])/Tabla33610673[[#This Row],[Equity Peak]],"")</f>
        <v>2.8865215781103633E-2</v>
      </c>
      <c r="V90" s="254">
        <f>IF(B90="FX",N90,0)</f>
        <v>5.7</v>
      </c>
      <c r="W90" s="254">
        <f>IF(D90="O",IF(V90&lt;0,V90,0),0)</f>
        <v>0</v>
      </c>
      <c r="X90" s="254">
        <f>IF(B90="COM",N90,0)</f>
        <v>0</v>
      </c>
      <c r="Y90" s="254">
        <f>IF(D90="O",IF(X90&lt;0,X90,0),0)</f>
        <v>0</v>
      </c>
      <c r="Z90" s="254">
        <f>IF(B90="IND",N90,0)</f>
        <v>0</v>
      </c>
      <c r="AA90" s="250">
        <f>IF(D90="O",IF(Z90&lt;0,Z90,0),0)</f>
        <v>0</v>
      </c>
      <c r="AB90" s="254">
        <f>IF(B90="CRYPTO",N90,0)</f>
        <v>0</v>
      </c>
      <c r="AC90" s="250">
        <f>IF(D90="O",IF(AB90&lt;0,AB90,0),0)</f>
        <v>0</v>
      </c>
      <c r="AD90" s="255">
        <f>IF(K90&lt;&gt;"",K90-E90,0)</f>
        <v>0.38402777777810115</v>
      </c>
      <c r="AE90" s="255">
        <f>IF(N90&gt;0,AD90,0)</f>
        <v>0.38402777777810115</v>
      </c>
      <c r="AF90" s="255">
        <f>IF(N90&lt;0,AD90,0)</f>
        <v>0</v>
      </c>
      <c r="AG90" s="255">
        <f>IF(N90=0,AD90,0)</f>
        <v>0</v>
      </c>
    </row>
    <row r="91" spans="2:33" ht="15" customHeight="1" x14ac:dyDescent="0.3">
      <c r="B91" s="196" t="s">
        <v>19</v>
      </c>
      <c r="C91" s="197" t="s">
        <v>13</v>
      </c>
      <c r="D91" s="246" t="str">
        <f>IF(E91&lt;&gt;"",IF(K91&lt;&gt;"","C","O"),"")</f>
        <v>C</v>
      </c>
      <c r="E91" s="199">
        <v>44855.28125</v>
      </c>
      <c r="F91" s="200" t="s">
        <v>88</v>
      </c>
      <c r="G91" s="235">
        <v>1621.07</v>
      </c>
      <c r="H91" s="235">
        <v>1624.31</v>
      </c>
      <c r="I91" s="247">
        <f>ABS(G91-H91)</f>
        <v>3.2400000000000091</v>
      </c>
      <c r="J91" s="235">
        <v>1582.14</v>
      </c>
      <c r="K91" s="199">
        <v>44855.433333333334</v>
      </c>
      <c r="L91" s="235">
        <v>1624.31</v>
      </c>
      <c r="M91" s="248">
        <f>ROUND(IF(C91="L",(L91-G91),(G91-L91)),4)</f>
        <v>-3.24</v>
      </c>
      <c r="N91" s="249">
        <f>IFERROR(ROUND((M91/I91),2),"")</f>
        <v>-1</v>
      </c>
      <c r="O91" s="250">
        <f>IF(D91="O",IF(N91&lt;0,N91,0),0)</f>
        <v>0</v>
      </c>
      <c r="P91" s="251">
        <f>IF(N91&gt;= 0,N91,0)</f>
        <v>0</v>
      </c>
      <c r="Q91" s="251">
        <f>IF(N91&lt;0,N91,0)</f>
        <v>-1</v>
      </c>
      <c r="R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44008</v>
      </c>
      <c r="T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1" s="253">
        <f ca="1">IF(Tabla33610673[[#This Row],[Equity]]&lt;Tabla33610673[[#This Row],[Equity Peak]],(Tabla33610673[[#This Row],[Equity Peak]]-Tabla33610673[[#This Row],[Equity]])/Tabla33610673[[#This Row],[Equity Peak]],"")</f>
        <v>4.1282704834106704E-2</v>
      </c>
      <c r="V91" s="254">
        <f>IF(B91="FX",N91,0)</f>
        <v>0</v>
      </c>
      <c r="W91" s="254">
        <f>IF(D91="O",IF(V91&lt;0,V91,0),0)</f>
        <v>0</v>
      </c>
      <c r="X91" s="254">
        <f>IF(B91="COM",N91,0)</f>
        <v>-1</v>
      </c>
      <c r="Y91" s="254">
        <f>IF(D91="O",IF(X91&lt;0,X91,0),0)</f>
        <v>0</v>
      </c>
      <c r="Z91" s="254">
        <f>IF(B91="IND",N91,0)</f>
        <v>0</v>
      </c>
      <c r="AA91" s="250">
        <f>IF(D91="O",IF(Z91&lt;0,Z91,0),0)</f>
        <v>0</v>
      </c>
      <c r="AB91" s="254">
        <f>IF(B91="CRYPTO",N91,0)</f>
        <v>0</v>
      </c>
      <c r="AC91" s="250">
        <f>IF(D91="O",IF(AB91&lt;0,AB91,0),0)</f>
        <v>0</v>
      </c>
      <c r="AD91" s="255">
        <f>IF(K91&lt;&gt;"",K91-E91,0)</f>
        <v>0.15208333333430346</v>
      </c>
      <c r="AE91" s="255">
        <f>IF(N91&gt;0,AD91,0)</f>
        <v>0</v>
      </c>
      <c r="AF91" s="255">
        <f>IF(N91&lt;0,AD91,0)</f>
        <v>0.15208333333430346</v>
      </c>
      <c r="AG91" s="255">
        <f>IF(N91=0,AD91,0)</f>
        <v>0</v>
      </c>
    </row>
    <row r="92" spans="2:33" ht="15" customHeight="1" x14ac:dyDescent="0.3">
      <c r="B92" s="196" t="s">
        <v>5</v>
      </c>
      <c r="C92" s="197" t="s">
        <v>13</v>
      </c>
      <c r="D92" s="246" t="str">
        <f>IF(E92&lt;&gt;"",IF(K92&lt;&gt;"","C","O"),"")</f>
        <v>C</v>
      </c>
      <c r="E92" s="199">
        <v>44855.09375</v>
      </c>
      <c r="F92" s="200" t="s">
        <v>92</v>
      </c>
      <c r="G92" s="235">
        <v>10944.58</v>
      </c>
      <c r="H92" s="235">
        <v>11002.24</v>
      </c>
      <c r="I92" s="247">
        <f>ABS(G92-H92)</f>
        <v>57.659999999999854</v>
      </c>
      <c r="J92" s="235">
        <v>9868.18</v>
      </c>
      <c r="K92" s="199">
        <v>44855.252083333333</v>
      </c>
      <c r="L92" s="235">
        <v>11002.24</v>
      </c>
      <c r="M92" s="248">
        <f>ROUND(IF(C92="L",(L92-G92),(G92-L92)),4)</f>
        <v>-57.66</v>
      </c>
      <c r="N92" s="249">
        <f>IFERROR(ROUND((M92/I92),2),"")</f>
        <v>-1</v>
      </c>
      <c r="O92" s="250">
        <f>IF(D92="O",IF(N92&lt;0,N92,0),0)</f>
        <v>0</v>
      </c>
      <c r="P92" s="251">
        <f>IF(N92&gt;= 0,N92,0)</f>
        <v>0</v>
      </c>
      <c r="Q92" s="251">
        <f>IF(N92&lt;0,N92,0)</f>
        <v>-1</v>
      </c>
      <c r="R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44108</v>
      </c>
      <c r="T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2" s="253">
        <f ca="1">IF(Tabla33610673[[#This Row],[Equity]]&lt;Tabla33610673[[#This Row],[Equity Peak]],(Tabla33610673[[#This Row],[Equity Peak]]-Tabla33610673[[#This Row],[Equity]])/Tabla33610673[[#This Row],[Equity Peak]],"")</f>
        <v>3.9104197982702656E-2</v>
      </c>
      <c r="V92" s="254">
        <f>IF(B92="FX",N92,0)</f>
        <v>0</v>
      </c>
      <c r="W92" s="254">
        <f>IF(D92="O",IF(V92&lt;0,V92,0),0)</f>
        <v>0</v>
      </c>
      <c r="X92" s="254">
        <f>IF(B92="COM",N92,0)</f>
        <v>0</v>
      </c>
      <c r="Y92" s="254">
        <f>IF(D92="O",IF(X92&lt;0,X92,0),0)</f>
        <v>0</v>
      </c>
      <c r="Z92" s="254">
        <f>IF(B92="IND",N92,0)</f>
        <v>-1</v>
      </c>
      <c r="AA92" s="250">
        <f>IF(D92="O",IF(Z92&lt;0,Z92,0),0)</f>
        <v>0</v>
      </c>
      <c r="AB92" s="254">
        <f>IF(B92="CRYPTO",N92,0)</f>
        <v>0</v>
      </c>
      <c r="AC92" s="250">
        <f>IF(D92="O",IF(AB92&lt;0,AB92,0),0)</f>
        <v>0</v>
      </c>
      <c r="AD92" s="255">
        <f>IF(K92&lt;&gt;"",K92-E92,0)</f>
        <v>0.15833333333284827</v>
      </c>
      <c r="AE92" s="255">
        <f>IF(N92&gt;0,AD92,0)</f>
        <v>0</v>
      </c>
      <c r="AF92" s="255">
        <f>IF(N92&lt;0,AD92,0)</f>
        <v>0.15833333333284827</v>
      </c>
      <c r="AG92" s="255">
        <f>IF(N92=0,AD92,0)</f>
        <v>0</v>
      </c>
    </row>
    <row r="93" spans="2:33" ht="15" customHeight="1" x14ac:dyDescent="0.3">
      <c r="B93" s="196" t="s">
        <v>5</v>
      </c>
      <c r="C93" s="197" t="s">
        <v>13</v>
      </c>
      <c r="D93" s="246" t="str">
        <f>IF(E93&lt;&gt;"",IF(K93&lt;&gt;"","C","O"),"")</f>
        <v>C</v>
      </c>
      <c r="E93" s="199">
        <v>44855.09375</v>
      </c>
      <c r="F93" s="200" t="s">
        <v>93</v>
      </c>
      <c r="G93" s="235">
        <v>10944.58</v>
      </c>
      <c r="H93" s="235">
        <v>11000.51</v>
      </c>
      <c r="I93" s="247">
        <f>ABS(G93-H93)</f>
        <v>55.930000000000291</v>
      </c>
      <c r="J93" s="235">
        <v>10348.02</v>
      </c>
      <c r="K93" s="199">
        <v>44855.252083333333</v>
      </c>
      <c r="L93" s="235">
        <v>11000.51</v>
      </c>
      <c r="M93" s="248">
        <f>ROUND(IF(C93="L",(L93-G93),(G93-L93)),4)</f>
        <v>-55.93</v>
      </c>
      <c r="N93" s="249">
        <f>IFERROR(ROUND((M93/I93),2),"")</f>
        <v>-1</v>
      </c>
      <c r="O93" s="250">
        <f>IF(D93="O",IF(N93&lt;0,N93,0),0)</f>
        <v>0</v>
      </c>
      <c r="P93" s="251">
        <f>IF(N93&gt;= 0,N93,0)</f>
        <v>0</v>
      </c>
      <c r="Q93" s="251">
        <f>IF(N93&lt;0,N93,0)</f>
        <v>-1</v>
      </c>
      <c r="R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44208</v>
      </c>
      <c r="T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3" s="253">
        <f ca="1">IF(Tabla33610673[[#This Row],[Equity]]&lt;Tabla33610673[[#This Row],[Equity Peak]],(Tabla33610673[[#This Row],[Equity Peak]]-Tabla33610673[[#This Row],[Equity]])/Tabla33610673[[#This Row],[Equity Peak]],"")</f>
        <v>3.6925691131298607E-2</v>
      </c>
      <c r="V93" s="254">
        <f>IF(B93="FX",N93,0)</f>
        <v>0</v>
      </c>
      <c r="W93" s="254">
        <f>IF(D93="O",IF(V93&lt;0,V93,0),0)</f>
        <v>0</v>
      </c>
      <c r="X93" s="254">
        <f>IF(B93="COM",N93,0)</f>
        <v>0</v>
      </c>
      <c r="Y93" s="254">
        <f>IF(D93="O",IF(X93&lt;0,X93,0),0)</f>
        <v>0</v>
      </c>
      <c r="Z93" s="254">
        <f>IF(B93="IND",N93,0)</f>
        <v>-1</v>
      </c>
      <c r="AA93" s="250">
        <f>IF(D93="O",IF(Z93&lt;0,Z93,0),0)</f>
        <v>0</v>
      </c>
      <c r="AB93" s="254">
        <f>IF(B93="CRYPTO",N93,0)</f>
        <v>0</v>
      </c>
      <c r="AC93" s="250">
        <f>IF(D93="O",IF(AB93&lt;0,AB93,0),0)</f>
        <v>0</v>
      </c>
      <c r="AD93" s="255">
        <f>IF(K93&lt;&gt;"",K93-E93,0)</f>
        <v>0.15833333333284827</v>
      </c>
      <c r="AE93" s="255">
        <f>IF(N93&gt;0,AD93,0)</f>
        <v>0</v>
      </c>
      <c r="AF93" s="255">
        <f>IF(N93&lt;0,AD93,0)</f>
        <v>0.15833333333284827</v>
      </c>
      <c r="AG93" s="255">
        <f>IF(N93=0,AD93,0)</f>
        <v>0</v>
      </c>
    </row>
    <row r="94" spans="2:33" ht="15" customHeight="1" x14ac:dyDescent="0.3">
      <c r="B94" s="196" t="s">
        <v>7</v>
      </c>
      <c r="C94" s="197" t="s">
        <v>15</v>
      </c>
      <c r="D94" s="246" t="str">
        <f>IF(E94&lt;&gt;"",IF(K94&lt;&gt;"","C","O"),"")</f>
        <v>C</v>
      </c>
      <c r="E94" s="199">
        <v>44854.885416666664</v>
      </c>
      <c r="F94" s="200" t="s">
        <v>116</v>
      </c>
      <c r="G94" s="235">
        <v>150.20400000000001</v>
      </c>
      <c r="H94" s="235">
        <v>149.999</v>
      </c>
      <c r="I94" s="247">
        <f>ABS(G94-H94)</f>
        <v>0.20500000000001251</v>
      </c>
      <c r="J94" s="235">
        <v>152.34100000000001</v>
      </c>
      <c r="K94" s="199">
        <v>44855.004861111112</v>
      </c>
      <c r="L94" s="235">
        <v>150.053</v>
      </c>
      <c r="M94" s="248">
        <f>ROUND(IF(C94="L",(L94-G94),(G94-L94)),4)</f>
        <v>-0.151</v>
      </c>
      <c r="N94" s="249">
        <f>IFERROR(ROUND((M94/I94),2),"")</f>
        <v>-0.74</v>
      </c>
      <c r="O94" s="250">
        <f>IF(D94="O",IF(N94&lt;0,N94,0),0)</f>
        <v>0</v>
      </c>
      <c r="P94" s="251">
        <f>IF(N94&gt;= 0,N94,0)</f>
        <v>0</v>
      </c>
      <c r="Q94" s="251">
        <f>IF(N94&lt;0,N94,0)</f>
        <v>-0.74</v>
      </c>
      <c r="R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44308</v>
      </c>
      <c r="T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4" s="253">
        <f ca="1">IF(Tabla33610673[[#This Row],[Equity]]&lt;Tabla33610673[[#This Row],[Equity Peak]],(Tabla33610673[[#This Row],[Equity Peak]]-Tabla33610673[[#This Row],[Equity]])/Tabla33610673[[#This Row],[Equity Peak]],"")</f>
        <v>3.4747184279894559E-2</v>
      </c>
      <c r="V94" s="254">
        <f>IF(B94="FX",N94,0)</f>
        <v>-0.74</v>
      </c>
      <c r="W94" s="254">
        <f>IF(D94="O",IF(V94&lt;0,V94,0),0)</f>
        <v>0</v>
      </c>
      <c r="X94" s="254">
        <f>IF(B94="COM",N94,0)</f>
        <v>0</v>
      </c>
      <c r="Y94" s="254">
        <f>IF(D94="O",IF(X94&lt;0,X94,0),0)</f>
        <v>0</v>
      </c>
      <c r="Z94" s="254">
        <f>IF(B94="IND",N94,0)</f>
        <v>0</v>
      </c>
      <c r="AA94" s="250">
        <f>IF(D94="O",IF(Z94&lt;0,Z94,0),0)</f>
        <v>0</v>
      </c>
      <c r="AB94" s="254">
        <f>IF(B94="CRYPTO",N94,0)</f>
        <v>0</v>
      </c>
      <c r="AC94" s="250">
        <f>IF(D94="O",IF(AB94&lt;0,AB94,0),0)</f>
        <v>0</v>
      </c>
      <c r="AD94" s="255">
        <f>IF(K94&lt;&gt;"",K94-E94,0)</f>
        <v>0.11944444444816327</v>
      </c>
      <c r="AE94" s="255">
        <f>IF(N94&gt;0,AD94,0)</f>
        <v>0</v>
      </c>
      <c r="AF94" s="255">
        <f>IF(N94&lt;0,AD94,0)</f>
        <v>0.11944444444816327</v>
      </c>
      <c r="AG94" s="255">
        <f>IF(N94=0,AD94,0)</f>
        <v>0</v>
      </c>
    </row>
    <row r="95" spans="2:33" ht="15" customHeight="1" x14ac:dyDescent="0.3">
      <c r="B95" s="196" t="s">
        <v>7</v>
      </c>
      <c r="C95" s="197" t="s">
        <v>15</v>
      </c>
      <c r="D95" s="246" t="str">
        <f>IF(E95&lt;&gt;"",IF(K95&lt;&gt;"","C","O"),"")</f>
        <v>C</v>
      </c>
      <c r="E95" s="199">
        <v>44854.729166666664</v>
      </c>
      <c r="F95" s="200" t="s">
        <v>115</v>
      </c>
      <c r="G95" s="235">
        <v>169.648</v>
      </c>
      <c r="H95" s="235">
        <v>168.88200000000001</v>
      </c>
      <c r="I95" s="247">
        <f>ABS(G95-H95)</f>
        <v>0.76599999999999113</v>
      </c>
      <c r="J95" s="235">
        <v>171.83699999999999</v>
      </c>
      <c r="K95" s="199">
        <v>44854.793749999997</v>
      </c>
      <c r="L95" s="235">
        <v>168.88200000000001</v>
      </c>
      <c r="M95" s="248">
        <f>ROUND(IF(C95="L",(L95-G95),(G95-L95)),4)</f>
        <v>-0.76600000000000001</v>
      </c>
      <c r="N95" s="249">
        <f>IFERROR(ROUND((M95/I95),2),"")</f>
        <v>-1</v>
      </c>
      <c r="O95" s="250">
        <f>IF(D95="O",IF(N95&lt;0,N95,0),0)</f>
        <v>0</v>
      </c>
      <c r="P95" s="251">
        <f>IF(N95&gt;= 0,N95,0)</f>
        <v>0</v>
      </c>
      <c r="Q95" s="251">
        <f>IF(N95&lt;0,N95,0)</f>
        <v>-1</v>
      </c>
      <c r="R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44382</v>
      </c>
      <c r="T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5" s="253">
        <f ca="1">IF(Tabla33610673[[#This Row],[Equity]]&lt;Tabla33610673[[#This Row],[Equity Peak]],(Tabla33610673[[#This Row],[Equity Peak]]-Tabla33610673[[#This Row],[Equity]])/Tabla33610673[[#This Row],[Equity Peak]],"")</f>
        <v>3.3135089209855563E-2</v>
      </c>
      <c r="V95" s="254">
        <f>IF(B95="FX",N95,0)</f>
        <v>-1</v>
      </c>
      <c r="W95" s="254">
        <f>IF(D95="O",IF(V95&lt;0,V95,0),0)</f>
        <v>0</v>
      </c>
      <c r="X95" s="254">
        <f>IF(B95="COM",N95,0)</f>
        <v>0</v>
      </c>
      <c r="Y95" s="254">
        <f>IF(D95="O",IF(X95&lt;0,X95,0),0)</f>
        <v>0</v>
      </c>
      <c r="Z95" s="254">
        <f>IF(B95="IND",N95,0)</f>
        <v>0</v>
      </c>
      <c r="AA95" s="250">
        <f>IF(D95="O",IF(Z95&lt;0,Z95,0),0)</f>
        <v>0</v>
      </c>
      <c r="AB95" s="254">
        <f>IF(B95="CRYPTO",N95,0)</f>
        <v>0</v>
      </c>
      <c r="AC95" s="250">
        <f>IF(D95="O",IF(AB95&lt;0,AB95,0),0)</f>
        <v>0</v>
      </c>
      <c r="AD95" s="255">
        <f>IF(K95&lt;&gt;"",K95-E95,0)</f>
        <v>6.4583333332848269E-2</v>
      </c>
      <c r="AE95" s="255">
        <f>IF(N95&gt;0,AD95,0)</f>
        <v>0</v>
      </c>
      <c r="AF95" s="255">
        <f>IF(N95&lt;0,AD95,0)</f>
        <v>6.4583333332848269E-2</v>
      </c>
      <c r="AG95" s="255">
        <f>IF(N95=0,AD95,0)</f>
        <v>0</v>
      </c>
    </row>
    <row r="96" spans="2:33" ht="15" customHeight="1" x14ac:dyDescent="0.3">
      <c r="B96" s="196" t="s">
        <v>7</v>
      </c>
      <c r="C96" s="197" t="s">
        <v>13</v>
      </c>
      <c r="D96" s="246" t="str">
        <f>IF(E96&lt;&gt;"",IF(K96&lt;&gt;"","C","O"),"")</f>
        <v>C</v>
      </c>
      <c r="E96" s="199">
        <v>44854.510416666664</v>
      </c>
      <c r="F96" s="200" t="s">
        <v>115</v>
      </c>
      <c r="G96" s="235">
        <v>167.52</v>
      </c>
      <c r="H96" s="235">
        <v>168.20099999999999</v>
      </c>
      <c r="I96" s="247">
        <f>ABS(G96-H96)</f>
        <v>0.68099999999998317</v>
      </c>
      <c r="J96" s="235">
        <v>165.57499999999999</v>
      </c>
      <c r="K96" s="199">
        <v>44854.591666666667</v>
      </c>
      <c r="L96" s="235">
        <v>168.20099999999999</v>
      </c>
      <c r="M96" s="248">
        <f>ROUND(IF(C96="L",(L96-G96),(G96-L96)),4)</f>
        <v>-0.68100000000000005</v>
      </c>
      <c r="N96" s="249">
        <f>IFERROR(ROUND((M96/I96),2),"")</f>
        <v>-1</v>
      </c>
      <c r="O96" s="250">
        <f>IF(D96="O",IF(N96&lt;0,N96,0),0)</f>
        <v>0</v>
      </c>
      <c r="P96" s="251">
        <f>IF(N96&gt;= 0,N96,0)</f>
        <v>0</v>
      </c>
      <c r="Q96" s="251">
        <f>IF(N96&lt;0,N96,0)</f>
        <v>-1</v>
      </c>
      <c r="R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44482</v>
      </c>
      <c r="T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6" s="253">
        <f ca="1">IF(Tabla33610673[[#This Row],[Equity]]&lt;Tabla33610673[[#This Row],[Equity Peak]],(Tabla33610673[[#This Row],[Equity Peak]]-Tabla33610673[[#This Row],[Equity]])/Tabla33610673[[#This Row],[Equity Peak]],"")</f>
        <v>3.0956582358451518E-2</v>
      </c>
      <c r="V96" s="254">
        <f>IF(B96="FX",N96,0)</f>
        <v>-1</v>
      </c>
      <c r="W96" s="254">
        <f>IF(D96="O",IF(V96&lt;0,V96,0),0)</f>
        <v>0</v>
      </c>
      <c r="X96" s="254">
        <f>IF(B96="COM",N96,0)</f>
        <v>0</v>
      </c>
      <c r="Y96" s="254">
        <f>IF(D96="O",IF(X96&lt;0,X96,0),0)</f>
        <v>0</v>
      </c>
      <c r="Z96" s="254">
        <f>IF(B96="IND",N96,0)</f>
        <v>0</v>
      </c>
      <c r="AA96" s="250">
        <f>IF(D96="O",IF(Z96&lt;0,Z96,0),0)</f>
        <v>0</v>
      </c>
      <c r="AB96" s="254">
        <f>IF(B96="CRYPTO",N96,0)</f>
        <v>0</v>
      </c>
      <c r="AC96" s="250">
        <f>IF(D96="O",IF(AB96&lt;0,AB96,0),0)</f>
        <v>0</v>
      </c>
      <c r="AD96" s="255">
        <f>IF(K96&lt;&gt;"",K96-E96,0)</f>
        <v>8.1250000002910383E-2</v>
      </c>
      <c r="AE96" s="255">
        <f>IF(N96&gt;0,AD96,0)</f>
        <v>0</v>
      </c>
      <c r="AF96" s="255">
        <f>IF(N96&lt;0,AD96,0)</f>
        <v>8.1250000002910383E-2</v>
      </c>
      <c r="AG96" s="255">
        <f>IF(N96=0,AD96,0)</f>
        <v>0</v>
      </c>
    </row>
    <row r="97" spans="2:33" ht="15" customHeight="1" x14ac:dyDescent="0.3">
      <c r="B97" s="196" t="s">
        <v>19</v>
      </c>
      <c r="C97" s="197" t="s">
        <v>13</v>
      </c>
      <c r="D97" s="246" t="str">
        <f>IF(E97&lt;&gt;"",IF(K97&lt;&gt;"","C","O"),"")</f>
        <v>C</v>
      </c>
      <c r="E97" s="199">
        <v>44853.5625</v>
      </c>
      <c r="F97" s="200" t="s">
        <v>88</v>
      </c>
      <c r="G97" s="235">
        <v>1635.93</v>
      </c>
      <c r="H97" s="235">
        <v>1638.67</v>
      </c>
      <c r="I97" s="247">
        <f>ABS(G97-H97)</f>
        <v>2.7400000000000091</v>
      </c>
      <c r="J97" s="235">
        <v>1603.1</v>
      </c>
      <c r="K97" s="199">
        <v>44854.538888888892</v>
      </c>
      <c r="L97" s="235">
        <v>1635.95</v>
      </c>
      <c r="M97" s="248">
        <f>ROUND(IF(C97="L",(L97-G97),(G97-L97)),4)</f>
        <v>-0.02</v>
      </c>
      <c r="N97" s="249">
        <f>IFERROR(ROUND((M97/I97),2),"")</f>
        <v>-0.01</v>
      </c>
      <c r="O97" s="250">
        <f>IF(D97="O",IF(N97&lt;0,N97,0),0)</f>
        <v>0</v>
      </c>
      <c r="P97" s="251">
        <f>IF(N97&gt;= 0,N97,0)</f>
        <v>0</v>
      </c>
      <c r="Q97" s="251">
        <f>IF(N97&lt;0,N97,0)</f>
        <v>-0.01</v>
      </c>
      <c r="R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44582</v>
      </c>
      <c r="T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7" s="253">
        <f ca="1">IF(Tabla33610673[[#This Row],[Equity]]&lt;Tabla33610673[[#This Row],[Equity Peak]],(Tabla33610673[[#This Row],[Equity Peak]]-Tabla33610673[[#This Row],[Equity]])/Tabla33610673[[#This Row],[Equity Peak]],"")</f>
        <v>2.877807550704747E-2</v>
      </c>
      <c r="V97" s="254">
        <f>IF(B97="FX",N97,0)</f>
        <v>0</v>
      </c>
      <c r="W97" s="254">
        <f>IF(D97="O",IF(V97&lt;0,V97,0),0)</f>
        <v>0</v>
      </c>
      <c r="X97" s="254">
        <f>IF(B97="COM",N97,0)</f>
        <v>-0.01</v>
      </c>
      <c r="Y97" s="254">
        <f>IF(D97="O",IF(X97&lt;0,X97,0),0)</f>
        <v>0</v>
      </c>
      <c r="Z97" s="254">
        <f>IF(B97="IND",N97,0)</f>
        <v>0</v>
      </c>
      <c r="AA97" s="250">
        <f>IF(D97="O",IF(Z97&lt;0,Z97,0),0)</f>
        <v>0</v>
      </c>
      <c r="AB97" s="254">
        <f>IF(B97="CRYPTO",N97,0)</f>
        <v>0</v>
      </c>
      <c r="AC97" s="250">
        <f>IF(D97="O",IF(AB97&lt;0,AB97,0),0)</f>
        <v>0</v>
      </c>
      <c r="AD97" s="255">
        <f>IF(K97&lt;&gt;"",K97-E97,0)</f>
        <v>0.97638888889196096</v>
      </c>
      <c r="AE97" s="255">
        <f>IF(N97&gt;0,AD97,0)</f>
        <v>0</v>
      </c>
      <c r="AF97" s="255">
        <f>IF(N97&lt;0,AD97,0)</f>
        <v>0.97638888889196096</v>
      </c>
      <c r="AG97" s="255">
        <f>IF(N97=0,AD97,0)</f>
        <v>0</v>
      </c>
    </row>
    <row r="98" spans="2:33" ht="15" customHeight="1" x14ac:dyDescent="0.3">
      <c r="B98" s="196" t="s">
        <v>7</v>
      </c>
      <c r="C98" s="197" t="s">
        <v>15</v>
      </c>
      <c r="D98" s="246" t="str">
        <f>IF(E98&lt;&gt;"",IF(K98&lt;&gt;"","C","O"),"")</f>
        <v>C</v>
      </c>
      <c r="E98" s="199">
        <v>44853.40625</v>
      </c>
      <c r="F98" s="200" t="s">
        <v>116</v>
      </c>
      <c r="G98" s="235">
        <v>149.42099999999999</v>
      </c>
      <c r="H98" s="235">
        <v>149.191</v>
      </c>
      <c r="I98" s="247">
        <f>ABS(G98-H98)</f>
        <v>0.22999999999998977</v>
      </c>
      <c r="J98" s="235">
        <v>151.816</v>
      </c>
      <c r="K98" s="199">
        <v>44854.444444444445</v>
      </c>
      <c r="L98" s="235">
        <v>149.655</v>
      </c>
      <c r="M98" s="248">
        <f>ROUND(IF(C98="L",(L98-G98),(G98-L98)),4)</f>
        <v>0.23400000000000001</v>
      </c>
      <c r="N98" s="249">
        <f>IFERROR(ROUND((M98/I98),2),"")</f>
        <v>1.02</v>
      </c>
      <c r="O98" s="250">
        <f>IF(D98="O",IF(N98&lt;0,N98,0),0)</f>
        <v>0</v>
      </c>
      <c r="P98" s="251">
        <f>IF(N98&gt;= 0,N98,0)</f>
        <v>1.02</v>
      </c>
      <c r="Q98" s="251">
        <f>IF(N98&lt;0,N98,0)</f>
        <v>0</v>
      </c>
      <c r="R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44583</v>
      </c>
      <c r="T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8" s="253">
        <f ca="1">IF(Tabla33610673[[#This Row],[Equity]]&lt;Tabla33610673[[#This Row],[Equity Peak]],(Tabla33610673[[#This Row],[Equity Peak]]-Tabla33610673[[#This Row],[Equity]])/Tabla33610673[[#This Row],[Equity Peak]],"")</f>
        <v>2.8756290438533429E-2</v>
      </c>
      <c r="V98" s="254">
        <f>IF(B98="FX",N98,0)</f>
        <v>1.02</v>
      </c>
      <c r="W98" s="254">
        <f>IF(D98="O",IF(V98&lt;0,V98,0),0)</f>
        <v>0</v>
      </c>
      <c r="X98" s="254">
        <f>IF(B98="COM",N98,0)</f>
        <v>0</v>
      </c>
      <c r="Y98" s="254">
        <f>IF(D98="O",IF(X98&lt;0,X98,0),0)</f>
        <v>0</v>
      </c>
      <c r="Z98" s="254">
        <f>IF(B98="IND",N98,0)</f>
        <v>0</v>
      </c>
      <c r="AA98" s="250">
        <f>IF(D98="O",IF(Z98&lt;0,Z98,0),0)</f>
        <v>0</v>
      </c>
      <c r="AB98" s="254">
        <f>IF(B98="CRYPTO",N98,0)</f>
        <v>0</v>
      </c>
      <c r="AC98" s="250">
        <f>IF(D98="O",IF(AB98&lt;0,AB98,0),0)</f>
        <v>0</v>
      </c>
      <c r="AD98" s="255">
        <f>IF(K98&lt;&gt;"",K98-E98,0)</f>
        <v>1.0381944444452529</v>
      </c>
      <c r="AE98" s="255">
        <f>IF(N98&gt;0,AD98,0)</f>
        <v>1.0381944444452529</v>
      </c>
      <c r="AF98" s="255">
        <f>IF(N98&lt;0,AD98,0)</f>
        <v>0</v>
      </c>
      <c r="AG98" s="255">
        <f>IF(N98=0,AD98,0)</f>
        <v>0</v>
      </c>
    </row>
    <row r="99" spans="2:33" ht="15" customHeight="1" x14ac:dyDescent="0.3">
      <c r="B99" s="196" t="s">
        <v>5</v>
      </c>
      <c r="C99" s="197" t="s">
        <v>13</v>
      </c>
      <c r="D99" s="246" t="str">
        <f>IF(E99&lt;&gt;"",IF(K99&lt;&gt;"","C","O"),"")</f>
        <v>C</v>
      </c>
      <c r="E99" s="199">
        <v>44854.15625</v>
      </c>
      <c r="F99" s="200" t="s">
        <v>92</v>
      </c>
      <c r="G99" s="235">
        <v>10995.24</v>
      </c>
      <c r="H99" s="235">
        <v>11050.7</v>
      </c>
      <c r="I99" s="247">
        <f>ABS(G99-H99)</f>
        <v>55.460000000000946</v>
      </c>
      <c r="J99" s="235">
        <v>9959.9500000000007</v>
      </c>
      <c r="K99" s="199">
        <v>44854.34097222222</v>
      </c>
      <c r="L99" s="235">
        <v>11050.7</v>
      </c>
      <c r="M99" s="248">
        <f>ROUND(IF(C99="L",(L99-G99),(G99-L99)),4)</f>
        <v>-55.46</v>
      </c>
      <c r="N99" s="249">
        <f>IFERROR(ROUND((M99/I99),2),"")</f>
        <v>-1</v>
      </c>
      <c r="O99" s="250">
        <f>IF(D99="O",IF(N99&lt;0,N99,0),0)</f>
        <v>0</v>
      </c>
      <c r="P99" s="251">
        <f>IF(N99&gt;= 0,N99,0)</f>
        <v>0</v>
      </c>
      <c r="Q99" s="251">
        <f>IF(N99&lt;0,N99,0)</f>
        <v>-1</v>
      </c>
      <c r="R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44481</v>
      </c>
      <c r="T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99" s="253">
        <f ca="1">IF(Tabla33610673[[#This Row],[Equity]]&lt;Tabla33610673[[#This Row],[Equity Peak]],(Tabla33610673[[#This Row],[Equity Peak]]-Tabla33610673[[#This Row],[Equity]])/Tabla33610673[[#This Row],[Equity Peak]],"")</f>
        <v>3.0978367426965556E-2</v>
      </c>
      <c r="V99" s="254">
        <f>IF(B99="FX",N99,0)</f>
        <v>0</v>
      </c>
      <c r="W99" s="254">
        <f>IF(D99="O",IF(V99&lt;0,V99,0),0)</f>
        <v>0</v>
      </c>
      <c r="X99" s="254">
        <f>IF(B99="COM",N99,0)</f>
        <v>0</v>
      </c>
      <c r="Y99" s="254">
        <f>IF(D99="O",IF(X99&lt;0,X99,0),0)</f>
        <v>0</v>
      </c>
      <c r="Z99" s="254">
        <f>IF(B99="IND",N99,0)</f>
        <v>-1</v>
      </c>
      <c r="AA99" s="250">
        <f>IF(D99="O",IF(Z99&lt;0,Z99,0),0)</f>
        <v>0</v>
      </c>
      <c r="AB99" s="254">
        <f>IF(B99="CRYPTO",N99,0)</f>
        <v>0</v>
      </c>
      <c r="AC99" s="250">
        <f>IF(D99="O",IF(AB99&lt;0,AB99,0),0)</f>
        <v>0</v>
      </c>
      <c r="AD99" s="255">
        <f>IF(K99&lt;&gt;"",K99-E99,0)</f>
        <v>0.18472222222044365</v>
      </c>
      <c r="AE99" s="255">
        <f>IF(N99&gt;0,AD99,0)</f>
        <v>0</v>
      </c>
      <c r="AF99" s="255">
        <f>IF(N99&lt;0,AD99,0)</f>
        <v>0.18472222222044365</v>
      </c>
      <c r="AG99" s="255">
        <f>IF(N99=0,AD99,0)</f>
        <v>0</v>
      </c>
    </row>
    <row r="100" spans="2:33" ht="15" customHeight="1" x14ac:dyDescent="0.3">
      <c r="B100" s="196" t="s">
        <v>5</v>
      </c>
      <c r="C100" s="197" t="s">
        <v>13</v>
      </c>
      <c r="D100" s="246" t="str">
        <f>IF(E100&lt;&gt;"",IF(K100&lt;&gt;"","C","O"),"")</f>
        <v>C</v>
      </c>
      <c r="E100" s="199">
        <v>44854.15625</v>
      </c>
      <c r="F100" s="200" t="s">
        <v>93</v>
      </c>
      <c r="G100" s="235">
        <v>10995.24</v>
      </c>
      <c r="H100" s="235">
        <v>11047.65</v>
      </c>
      <c r="I100" s="247">
        <f>ABS(G100-H100)</f>
        <v>52.409999999999854</v>
      </c>
      <c r="J100" s="235">
        <v>10436.16</v>
      </c>
      <c r="K100" s="199">
        <v>44854.34097222222</v>
      </c>
      <c r="L100" s="235">
        <v>11047.65</v>
      </c>
      <c r="M100" s="248">
        <f>ROUND(IF(C100="L",(L100-G100),(G100-L100)),4)</f>
        <v>-52.41</v>
      </c>
      <c r="N100" s="249">
        <f>IFERROR(ROUND((M100/I100),2),"")</f>
        <v>-1</v>
      </c>
      <c r="O100" s="250">
        <f>IF(D100="O",IF(N100&lt;0,N100,0),0)</f>
        <v>0</v>
      </c>
      <c r="P100" s="251">
        <f>IF(N100&gt;= 0,N100,0)</f>
        <v>0</v>
      </c>
      <c r="Q100" s="251">
        <f>IF(N100&lt;0,N100,0)</f>
        <v>-1</v>
      </c>
      <c r="R1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44581</v>
      </c>
      <c r="T1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0" s="253">
        <f ca="1">IF(Tabla33610673[[#This Row],[Equity]]&lt;Tabla33610673[[#This Row],[Equity Peak]],(Tabla33610673[[#This Row],[Equity Peak]]-Tabla33610673[[#This Row],[Equity]])/Tabla33610673[[#This Row],[Equity Peak]],"")</f>
        <v>2.8799860575561512E-2</v>
      </c>
      <c r="V100" s="254">
        <f>IF(B100="FX",N100,0)</f>
        <v>0</v>
      </c>
      <c r="W100" s="254">
        <f>IF(D100="O",IF(V100&lt;0,V100,0),0)</f>
        <v>0</v>
      </c>
      <c r="X100" s="254">
        <f>IF(B100="COM",N100,0)</f>
        <v>0</v>
      </c>
      <c r="Y100" s="254">
        <f>IF(D100="O",IF(X100&lt;0,X100,0),0)</f>
        <v>0</v>
      </c>
      <c r="Z100" s="254">
        <f>IF(B100="IND",N100,0)</f>
        <v>-1</v>
      </c>
      <c r="AA100" s="250">
        <f>IF(D100="O",IF(Z100&lt;0,Z100,0),0)</f>
        <v>0</v>
      </c>
      <c r="AB100" s="254">
        <f>IF(B100="CRYPTO",N100,0)</f>
        <v>0</v>
      </c>
      <c r="AC100" s="250">
        <f>IF(D100="O",IF(AB100&lt;0,AB100,0),0)</f>
        <v>0</v>
      </c>
      <c r="AD100" s="255">
        <f>IF(K100&lt;&gt;"",K100-E100,0)</f>
        <v>0.18472222222044365</v>
      </c>
      <c r="AE100" s="255">
        <f>IF(N100&gt;0,AD100,0)</f>
        <v>0</v>
      </c>
      <c r="AF100" s="255">
        <f>IF(N100&lt;0,AD100,0)</f>
        <v>0.18472222222044365</v>
      </c>
      <c r="AG100" s="255">
        <f>IF(N100=0,AD100,0)</f>
        <v>0</v>
      </c>
    </row>
    <row r="101" spans="2:33" ht="15" customHeight="1" x14ac:dyDescent="0.3">
      <c r="B101" s="196" t="s">
        <v>19</v>
      </c>
      <c r="C101" s="197" t="s">
        <v>13</v>
      </c>
      <c r="D101" s="246" t="str">
        <f>IF(E101&lt;&gt;"",IF(K101&lt;&gt;"","C","O"),"")</f>
        <v>C</v>
      </c>
      <c r="E101" s="199">
        <v>44853.427083333336</v>
      </c>
      <c r="F101" s="200" t="s">
        <v>88</v>
      </c>
      <c r="G101" s="235">
        <v>1638.52</v>
      </c>
      <c r="H101" s="235">
        <v>1641.23</v>
      </c>
      <c r="I101" s="247">
        <f>ABS(G101-H101)</f>
        <v>2.7100000000000364</v>
      </c>
      <c r="J101" s="235">
        <v>1605.99</v>
      </c>
      <c r="K101" s="199">
        <v>44853.444444444445</v>
      </c>
      <c r="L101" s="235">
        <v>1641.23</v>
      </c>
      <c r="M101" s="248">
        <f>ROUND(IF(C101="L",(L101-G101),(G101-L101)),4)</f>
        <v>-2.71</v>
      </c>
      <c r="N101" s="249">
        <f>IFERROR(ROUND((M101/I101),2),"")</f>
        <v>-1</v>
      </c>
      <c r="O101" s="250">
        <f>IF(D101="O",IF(N101&lt;0,N101,0),0)</f>
        <v>0</v>
      </c>
      <c r="P101" s="251">
        <f>IF(N101&gt;= 0,N101,0)</f>
        <v>0</v>
      </c>
      <c r="Q101" s="251">
        <f>IF(N101&lt;0,N101,0)</f>
        <v>-1</v>
      </c>
      <c r="R1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44681</v>
      </c>
      <c r="T1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1" s="253">
        <f ca="1">IF(Tabla33610673[[#This Row],[Equity]]&lt;Tabla33610673[[#This Row],[Equity Peak]],(Tabla33610673[[#This Row],[Equity Peak]]-Tabla33610673[[#This Row],[Equity]])/Tabla33610673[[#This Row],[Equity Peak]],"")</f>
        <v>2.6621353724157464E-2</v>
      </c>
      <c r="V101" s="254">
        <f>IF(B101="FX",N101,0)</f>
        <v>0</v>
      </c>
      <c r="W101" s="254">
        <f>IF(D101="O",IF(V101&lt;0,V101,0),0)</f>
        <v>0</v>
      </c>
      <c r="X101" s="254">
        <f>IF(B101="COM",N101,0)</f>
        <v>-1</v>
      </c>
      <c r="Y101" s="254">
        <f>IF(D101="O",IF(X101&lt;0,X101,0),0)</f>
        <v>0</v>
      </c>
      <c r="Z101" s="254">
        <f>IF(B101="IND",N101,0)</f>
        <v>0</v>
      </c>
      <c r="AA101" s="250">
        <f>IF(D101="O",IF(Z101&lt;0,Z101,0),0)</f>
        <v>0</v>
      </c>
      <c r="AB101" s="254">
        <f>IF(B101="CRYPTO",N101,0)</f>
        <v>0</v>
      </c>
      <c r="AC101" s="250">
        <f>IF(D101="O",IF(AB101&lt;0,AB101,0),0)</f>
        <v>0</v>
      </c>
      <c r="AD101" s="255">
        <f>IF(K101&lt;&gt;"",K101-E101,0)</f>
        <v>1.7361111109494232E-2</v>
      </c>
      <c r="AE101" s="255">
        <f>IF(N101&gt;0,AD101,0)</f>
        <v>0</v>
      </c>
      <c r="AF101" s="255">
        <f>IF(N101&lt;0,AD101,0)</f>
        <v>1.7361111109494232E-2</v>
      </c>
      <c r="AG101" s="255">
        <f>IF(N101=0,AD101,0)</f>
        <v>0</v>
      </c>
    </row>
    <row r="102" spans="2:33" ht="15" customHeight="1" x14ac:dyDescent="0.3">
      <c r="B102" s="196" t="s">
        <v>5</v>
      </c>
      <c r="C102" s="197" t="s">
        <v>15</v>
      </c>
      <c r="D102" s="246" t="str">
        <f>IF(E102&lt;&gt;"",IF(K102&lt;&gt;"","C","O"),"")</f>
        <v>C</v>
      </c>
      <c r="E102" s="199">
        <v>44852.635416666664</v>
      </c>
      <c r="F102" s="200" t="s">
        <v>91</v>
      </c>
      <c r="G102" s="235">
        <v>12873.52</v>
      </c>
      <c r="H102" s="235">
        <v>12823.44</v>
      </c>
      <c r="I102" s="247">
        <f>ABS(G102-H102)</f>
        <v>50.079999999999927</v>
      </c>
      <c r="J102" s="235">
        <v>13808.34</v>
      </c>
      <c r="K102" s="199">
        <v>44852.732638888891</v>
      </c>
      <c r="L102" s="235">
        <v>12834.98</v>
      </c>
      <c r="M102" s="248">
        <f>ROUND(IF(C102="L",(L102-G102),(G102-L102)),4)</f>
        <v>-38.54</v>
      </c>
      <c r="N102" s="249">
        <f>IFERROR(ROUND((M102/I102),2),"")</f>
        <v>-0.77</v>
      </c>
      <c r="O102" s="250">
        <f>IF(D102="O",IF(N102&lt;0,N102,0),0)</f>
        <v>0</v>
      </c>
      <c r="P102" s="251">
        <f>IF(N102&gt;= 0,N102,0)</f>
        <v>0</v>
      </c>
      <c r="Q102" s="251">
        <f>IF(N102&lt;0,N102,0)</f>
        <v>-0.77</v>
      </c>
      <c r="R1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44781</v>
      </c>
      <c r="T1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2" s="253">
        <f ca="1">IF(Tabla33610673[[#This Row],[Equity]]&lt;Tabla33610673[[#This Row],[Equity Peak]],(Tabla33610673[[#This Row],[Equity Peak]]-Tabla33610673[[#This Row],[Equity]])/Tabla33610673[[#This Row],[Equity Peak]],"")</f>
        <v>2.4442846872753415E-2</v>
      </c>
      <c r="V102" s="254">
        <f>IF(B102="FX",N102,0)</f>
        <v>0</v>
      </c>
      <c r="W102" s="254">
        <f>IF(D102="O",IF(V102&lt;0,V102,0),0)</f>
        <v>0</v>
      </c>
      <c r="X102" s="254">
        <f>IF(B102="COM",N102,0)</f>
        <v>0</v>
      </c>
      <c r="Y102" s="254">
        <f>IF(D102="O",IF(X102&lt;0,X102,0),0)</f>
        <v>0</v>
      </c>
      <c r="Z102" s="254">
        <f>IF(B102="IND",N102,0)</f>
        <v>-0.77</v>
      </c>
      <c r="AA102" s="250">
        <f>IF(D102="O",IF(Z102&lt;0,Z102,0),0)</f>
        <v>0</v>
      </c>
      <c r="AB102" s="254">
        <f>IF(B102="CRYPTO",N102,0)</f>
        <v>0</v>
      </c>
      <c r="AC102" s="250">
        <f>IF(D102="O",IF(AB102&lt;0,AB102,0),0)</f>
        <v>0</v>
      </c>
      <c r="AD102" s="255">
        <f>IF(K102&lt;&gt;"",K102-E102,0)</f>
        <v>9.7222222226264421E-2</v>
      </c>
      <c r="AE102" s="255">
        <f>IF(N102&gt;0,AD102,0)</f>
        <v>0</v>
      </c>
      <c r="AF102" s="255">
        <f>IF(N102&lt;0,AD102,0)</f>
        <v>9.7222222226264421E-2</v>
      </c>
      <c r="AG102" s="255">
        <f>IF(N102=0,AD102,0)</f>
        <v>0</v>
      </c>
    </row>
    <row r="103" spans="2:33" ht="15" customHeight="1" x14ac:dyDescent="0.3">
      <c r="B103" s="196" t="s">
        <v>5</v>
      </c>
      <c r="C103" s="197" t="s">
        <v>15</v>
      </c>
      <c r="D103" s="246" t="str">
        <f>IF(E103&lt;&gt;"",IF(K103&lt;&gt;"","C","O"),"")</f>
        <v>C</v>
      </c>
      <c r="E103" s="199">
        <v>44852.635416666664</v>
      </c>
      <c r="F103" s="200" t="s">
        <v>92</v>
      </c>
      <c r="G103" s="235">
        <v>11312.42</v>
      </c>
      <c r="H103" s="235">
        <v>11272.07</v>
      </c>
      <c r="I103" s="247">
        <f>ABS(G103-H103)</f>
        <v>40.350000000000364</v>
      </c>
      <c r="J103" s="235">
        <v>12065.69</v>
      </c>
      <c r="K103" s="199">
        <v>44852.703472222223</v>
      </c>
      <c r="L103" s="235">
        <v>11272.07</v>
      </c>
      <c r="M103" s="248">
        <f>ROUND(IF(C103="L",(L103-G103),(G103-L103)),4)</f>
        <v>-40.35</v>
      </c>
      <c r="N103" s="249">
        <f>IFERROR(ROUND((M103/I103),2),"")</f>
        <v>-1</v>
      </c>
      <c r="O103" s="250">
        <f>IF(D103="O",IF(N103&lt;0,N103,0),0)</f>
        <v>0</v>
      </c>
      <c r="P103" s="251">
        <f>IF(N103&gt;= 0,N103,0)</f>
        <v>0</v>
      </c>
      <c r="Q103" s="251">
        <f>IF(N103&lt;0,N103,0)</f>
        <v>-1</v>
      </c>
      <c r="R1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44858</v>
      </c>
      <c r="T1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3" s="253">
        <f ca="1">IF(Tabla33610673[[#This Row],[Equity]]&lt;Tabla33610673[[#This Row],[Equity Peak]],(Tabla33610673[[#This Row],[Equity Peak]]-Tabla33610673[[#This Row],[Equity]])/Tabla33610673[[#This Row],[Equity Peak]],"")</f>
        <v>2.2765396597172298E-2</v>
      </c>
      <c r="V103" s="254">
        <f>IF(B103="FX",N103,0)</f>
        <v>0</v>
      </c>
      <c r="W103" s="254">
        <f>IF(D103="O",IF(V103&lt;0,V103,0),0)</f>
        <v>0</v>
      </c>
      <c r="X103" s="254">
        <f>IF(B103="COM",N103,0)</f>
        <v>0</v>
      </c>
      <c r="Y103" s="254">
        <f>IF(D103="O",IF(X103&lt;0,X103,0),0)</f>
        <v>0</v>
      </c>
      <c r="Z103" s="254">
        <f>IF(B103="IND",N103,0)</f>
        <v>-1</v>
      </c>
      <c r="AA103" s="250">
        <f>IF(D103="O",IF(Z103&lt;0,Z103,0),0)</f>
        <v>0</v>
      </c>
      <c r="AB103" s="254">
        <f>IF(B103="CRYPTO",N103,0)</f>
        <v>0</v>
      </c>
      <c r="AC103" s="250">
        <f>IF(D103="O",IF(AB103&lt;0,AB103,0),0)</f>
        <v>0</v>
      </c>
      <c r="AD103" s="255">
        <f>IF(K103&lt;&gt;"",K103-E103,0)</f>
        <v>6.805555555911269E-2</v>
      </c>
      <c r="AE103" s="255">
        <f>IF(N103&gt;0,AD103,0)</f>
        <v>0</v>
      </c>
      <c r="AF103" s="255">
        <f>IF(N103&lt;0,AD103,0)</f>
        <v>6.805555555911269E-2</v>
      </c>
      <c r="AG103" s="255">
        <f>IF(N103=0,AD103,0)</f>
        <v>0</v>
      </c>
    </row>
    <row r="104" spans="2:33" ht="15" customHeight="1" x14ac:dyDescent="0.3">
      <c r="B104" s="196" t="s">
        <v>5</v>
      </c>
      <c r="C104" s="197" t="s">
        <v>15</v>
      </c>
      <c r="D104" s="246" t="str">
        <f>IF(E104&lt;&gt;"",IF(K104&lt;&gt;"","C","O"),"")</f>
        <v>C</v>
      </c>
      <c r="E104" s="199">
        <v>44852.635416666664</v>
      </c>
      <c r="F104" s="200" t="s">
        <v>93</v>
      </c>
      <c r="G104" s="235">
        <v>11312.42</v>
      </c>
      <c r="H104" s="235">
        <v>11267.44</v>
      </c>
      <c r="I104" s="247">
        <f>ABS(G104-H104)</f>
        <v>44.979999999999563</v>
      </c>
      <c r="J104" s="235">
        <v>11792.19</v>
      </c>
      <c r="K104" s="199">
        <v>44852.703472222223</v>
      </c>
      <c r="L104" s="235">
        <v>11267.44</v>
      </c>
      <c r="M104" s="248">
        <f>ROUND(IF(C104="L",(L104-G104),(G104-L104)),4)</f>
        <v>-44.98</v>
      </c>
      <c r="N104" s="249">
        <f>IFERROR(ROUND((M104/I104),2),"")</f>
        <v>-1</v>
      </c>
      <c r="O104" s="250">
        <f>IF(D104="O",IF(N104&lt;0,N104,0),0)</f>
        <v>0</v>
      </c>
      <c r="P104" s="251">
        <f>IF(N104&gt;= 0,N104,0)</f>
        <v>0</v>
      </c>
      <c r="Q104" s="251">
        <f>IF(N104&lt;0,N104,0)</f>
        <v>-1</v>
      </c>
      <c r="R1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44958</v>
      </c>
      <c r="T1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4" s="253">
        <f ca="1">IF(Tabla33610673[[#This Row],[Equity]]&lt;Tabla33610673[[#This Row],[Equity Peak]],(Tabla33610673[[#This Row],[Equity Peak]]-Tabla33610673[[#This Row],[Equity]])/Tabla33610673[[#This Row],[Equity Peak]],"")</f>
        <v>2.058688974576825E-2</v>
      </c>
      <c r="V104" s="254">
        <f>IF(B104="FX",N104,0)</f>
        <v>0</v>
      </c>
      <c r="W104" s="254">
        <f>IF(D104="O",IF(V104&lt;0,V104,0),0)</f>
        <v>0</v>
      </c>
      <c r="X104" s="254">
        <f>IF(B104="COM",N104,0)</f>
        <v>0</v>
      </c>
      <c r="Y104" s="254">
        <f>IF(D104="O",IF(X104&lt;0,X104,0),0)</f>
        <v>0</v>
      </c>
      <c r="Z104" s="254">
        <f>IF(B104="IND",N104,0)</f>
        <v>-1</v>
      </c>
      <c r="AA104" s="250">
        <f>IF(D104="O",IF(Z104&lt;0,Z104,0),0)</f>
        <v>0</v>
      </c>
      <c r="AB104" s="254">
        <f>IF(B104="CRYPTO",N104,0)</f>
        <v>0</v>
      </c>
      <c r="AC104" s="250">
        <f>IF(D104="O",IF(AB104&lt;0,AB104,0),0)</f>
        <v>0</v>
      </c>
      <c r="AD104" s="255">
        <f>IF(K104&lt;&gt;"",K104-E104,0)</f>
        <v>6.805555555911269E-2</v>
      </c>
      <c r="AE104" s="255">
        <f>IF(N104&gt;0,AD104,0)</f>
        <v>0</v>
      </c>
      <c r="AF104" s="255">
        <f>IF(N104&lt;0,AD104,0)</f>
        <v>6.805555555911269E-2</v>
      </c>
      <c r="AG104" s="255">
        <f>IF(N104=0,AD104,0)</f>
        <v>0</v>
      </c>
    </row>
    <row r="105" spans="2:33" ht="15" customHeight="1" x14ac:dyDescent="0.3">
      <c r="B105" s="196" t="s">
        <v>7</v>
      </c>
      <c r="C105" s="197" t="s">
        <v>15</v>
      </c>
      <c r="D105" s="246" t="str">
        <f>IF(E105&lt;&gt;"",IF(K105&lt;&gt;"","C","O"),"")</f>
        <v>C</v>
      </c>
      <c r="E105" s="199">
        <v>44851.75</v>
      </c>
      <c r="F105" s="200" t="s">
        <v>114</v>
      </c>
      <c r="G105" s="235">
        <v>0.98168999999999995</v>
      </c>
      <c r="H105" s="235">
        <v>0.97882000000000002</v>
      </c>
      <c r="I105" s="247">
        <f>ABS(G105-H105)</f>
        <v>2.8699999999999282E-3</v>
      </c>
      <c r="J105" s="235">
        <v>1.0075099999999999</v>
      </c>
      <c r="K105" s="199">
        <v>44852.57708333333</v>
      </c>
      <c r="L105" s="235">
        <v>0.98189000000000004</v>
      </c>
      <c r="M105" s="248">
        <f>ROUND(IF(C105="L",(L105-G105),(G105-L105)),4)</f>
        <v>2.0000000000000001E-4</v>
      </c>
      <c r="N105" s="249">
        <f>IFERROR(ROUND((M105/I105),2),"")</f>
        <v>7.0000000000000007E-2</v>
      </c>
      <c r="O105" s="250">
        <f>IF(D105="O",IF(N105&lt;0,N105,0),0)</f>
        <v>0</v>
      </c>
      <c r="P105" s="251">
        <f>IF(N105&gt;= 0,N105,0)</f>
        <v>7.0000000000000007E-2</v>
      </c>
      <c r="Q105" s="251">
        <f>IF(N105&lt;0,N105,0)</f>
        <v>0</v>
      </c>
      <c r="R1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45058</v>
      </c>
      <c r="T1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5" s="253">
        <f ca="1">IF(Tabla33610673[[#This Row],[Equity]]&lt;Tabla33610673[[#This Row],[Equity Peak]],(Tabla33610673[[#This Row],[Equity Peak]]-Tabla33610673[[#This Row],[Equity]])/Tabla33610673[[#This Row],[Equity Peak]],"")</f>
        <v>1.8408382894364202E-2</v>
      </c>
      <c r="V105" s="254">
        <f>IF(B105="FX",N105,0)</f>
        <v>7.0000000000000007E-2</v>
      </c>
      <c r="W105" s="254">
        <f>IF(D105="O",IF(V105&lt;0,V105,0),0)</f>
        <v>0</v>
      </c>
      <c r="X105" s="254">
        <f>IF(B105="COM",N105,0)</f>
        <v>0</v>
      </c>
      <c r="Y105" s="254">
        <f>IF(D105="O",IF(X105&lt;0,X105,0),0)</f>
        <v>0</v>
      </c>
      <c r="Z105" s="254">
        <f>IF(B105="IND",N105,0)</f>
        <v>0</v>
      </c>
      <c r="AA105" s="250">
        <f>IF(D105="O",IF(Z105&lt;0,Z105,0),0)</f>
        <v>0</v>
      </c>
      <c r="AB105" s="254">
        <f>IF(B105="CRYPTO",N105,0)</f>
        <v>0</v>
      </c>
      <c r="AC105" s="250">
        <f>IF(D105="O",IF(AB105&lt;0,AB105,0),0)</f>
        <v>0</v>
      </c>
      <c r="AD105" s="255">
        <f>IF(K105&lt;&gt;"",K105-E105,0)</f>
        <v>0.82708333332993789</v>
      </c>
      <c r="AE105" s="255">
        <f>IF(N105&gt;0,AD105,0)</f>
        <v>0.82708333332993789</v>
      </c>
      <c r="AF105" s="255">
        <f>IF(N105&lt;0,AD105,0)</f>
        <v>0</v>
      </c>
      <c r="AG105" s="255">
        <f>IF(N105=0,AD105,0)</f>
        <v>0</v>
      </c>
    </row>
    <row r="106" spans="2:33" ht="15" customHeight="1" x14ac:dyDescent="0.3">
      <c r="B106" s="196" t="s">
        <v>5</v>
      </c>
      <c r="C106" s="197" t="s">
        <v>15</v>
      </c>
      <c r="D106" s="246" t="str">
        <f>IF(E106&lt;&gt;"",IF(K106&lt;&gt;"","C","O"),"")</f>
        <v>C</v>
      </c>
      <c r="E106" s="199">
        <v>44852.28125</v>
      </c>
      <c r="F106" s="200" t="s">
        <v>91</v>
      </c>
      <c r="G106" s="235">
        <v>12742.77</v>
      </c>
      <c r="H106" s="235">
        <v>12692.93</v>
      </c>
      <c r="I106" s="247">
        <f>ABS(G106-H106)</f>
        <v>49.840000000000146</v>
      </c>
      <c r="J106" s="235">
        <v>13673.04</v>
      </c>
      <c r="K106" s="199">
        <v>44852.52847222222</v>
      </c>
      <c r="L106" s="235">
        <v>12740.44</v>
      </c>
      <c r="M106" s="248">
        <f>ROUND(IF(C106="L",(L106-G106),(G106-L106)),4)</f>
        <v>-2.33</v>
      </c>
      <c r="N106" s="249">
        <f>IFERROR(ROUND((M106/I106),2),"")</f>
        <v>-0.05</v>
      </c>
      <c r="O106" s="250">
        <f>IF(D106="O",IF(N106&lt;0,N106,0),0)</f>
        <v>0</v>
      </c>
      <c r="P106" s="251">
        <f>IF(N106&gt;= 0,N106,0)</f>
        <v>0</v>
      </c>
      <c r="Q106" s="251">
        <f>IF(N106&lt;0,N106,0)</f>
        <v>-0.05</v>
      </c>
      <c r="R1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45051</v>
      </c>
      <c r="T1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6" s="253">
        <f ca="1">IF(Tabla33610673[[#This Row],[Equity]]&lt;Tabla33610673[[#This Row],[Equity Peak]],(Tabla33610673[[#This Row],[Equity Peak]]-Tabla33610673[[#This Row],[Equity]])/Tabla33610673[[#This Row],[Equity Peak]],"")</f>
        <v>1.8560878373962485E-2</v>
      </c>
      <c r="V106" s="254">
        <f>IF(B106="FX",N106,0)</f>
        <v>0</v>
      </c>
      <c r="W106" s="254">
        <f>IF(D106="O",IF(V106&lt;0,V106,0),0)</f>
        <v>0</v>
      </c>
      <c r="X106" s="254">
        <f>IF(B106="COM",N106,0)</f>
        <v>0</v>
      </c>
      <c r="Y106" s="254">
        <f>IF(D106="O",IF(X106&lt;0,X106,0),0)</f>
        <v>0</v>
      </c>
      <c r="Z106" s="254">
        <f>IF(B106="IND",N106,0)</f>
        <v>-0.05</v>
      </c>
      <c r="AA106" s="250">
        <f>IF(D106="O",IF(Z106&lt;0,Z106,0),0)</f>
        <v>0</v>
      </c>
      <c r="AB106" s="254">
        <f>IF(B106="CRYPTO",N106,0)</f>
        <v>0</v>
      </c>
      <c r="AC106" s="250">
        <f>IF(D106="O",IF(AB106&lt;0,AB106,0),0)</f>
        <v>0</v>
      </c>
      <c r="AD106" s="255">
        <f>IF(K106&lt;&gt;"",K106-E106,0)</f>
        <v>0.24722222222044365</v>
      </c>
      <c r="AE106" s="255">
        <f>IF(N106&gt;0,AD106,0)</f>
        <v>0</v>
      </c>
      <c r="AF106" s="255">
        <f>IF(N106&lt;0,AD106,0)</f>
        <v>0.24722222222044365</v>
      </c>
      <c r="AG106" s="255">
        <f>IF(N106=0,AD106,0)</f>
        <v>0</v>
      </c>
    </row>
    <row r="107" spans="2:33" ht="15" customHeight="1" x14ac:dyDescent="0.3">
      <c r="B107" s="196" t="s">
        <v>7</v>
      </c>
      <c r="C107" s="197" t="s">
        <v>15</v>
      </c>
      <c r="D107" s="246" t="str">
        <f>IF(E107&lt;&gt;"",IF(K107&lt;&gt;"","C","O"),"")</f>
        <v>C</v>
      </c>
      <c r="E107" s="199">
        <v>44851.34375</v>
      </c>
      <c r="F107" s="200" t="s">
        <v>115</v>
      </c>
      <c r="G107" s="235">
        <v>167.31</v>
      </c>
      <c r="H107" s="235">
        <v>166.273</v>
      </c>
      <c r="I107" s="247">
        <f>ABS(G107-H107)</f>
        <v>1.0370000000000061</v>
      </c>
      <c r="J107" s="235">
        <v>170.273</v>
      </c>
      <c r="K107" s="199">
        <v>44852.50277777778</v>
      </c>
      <c r="L107" s="235">
        <v>168.38800000000001</v>
      </c>
      <c r="M107" s="248">
        <f>ROUND(IF(C107="L",(L107-G107),(G107-L107)),4)</f>
        <v>1.0780000000000001</v>
      </c>
      <c r="N107" s="249">
        <f>IFERROR(ROUND((M107/I107),2),"")</f>
        <v>1.04</v>
      </c>
      <c r="O107" s="250">
        <f>IF(D107="O",IF(N107&lt;0,N107,0),0)</f>
        <v>0</v>
      </c>
      <c r="P107" s="251">
        <f>IF(N107&gt;= 0,N107,0)</f>
        <v>1.04</v>
      </c>
      <c r="Q107" s="251">
        <f>IF(N107&lt;0,N107,0)</f>
        <v>0</v>
      </c>
      <c r="R1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45056</v>
      </c>
      <c r="T1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7" s="253">
        <f ca="1">IF(Tabla33610673[[#This Row],[Equity]]&lt;Tabla33610673[[#This Row],[Equity Peak]],(Tabla33610673[[#This Row],[Equity Peak]]-Tabla33610673[[#This Row],[Equity]])/Tabla33610673[[#This Row],[Equity Peak]],"")</f>
        <v>1.8451953031392285E-2</v>
      </c>
      <c r="V107" s="254">
        <f>IF(B107="FX",N107,0)</f>
        <v>1.04</v>
      </c>
      <c r="W107" s="254">
        <f>IF(D107="O",IF(V107&lt;0,V107,0),0)</f>
        <v>0</v>
      </c>
      <c r="X107" s="254">
        <f>IF(B107="COM",N107,0)</f>
        <v>0</v>
      </c>
      <c r="Y107" s="254">
        <f>IF(D107="O",IF(X107&lt;0,X107,0),0)</f>
        <v>0</v>
      </c>
      <c r="Z107" s="254">
        <f>IF(B107="IND",N107,0)</f>
        <v>0</v>
      </c>
      <c r="AA107" s="250">
        <f>IF(D107="O",IF(Z107&lt;0,Z107,0),0)</f>
        <v>0</v>
      </c>
      <c r="AB107" s="254">
        <f>IF(B107="CRYPTO",N107,0)</f>
        <v>0</v>
      </c>
      <c r="AC107" s="250">
        <f>IF(D107="O",IF(AB107&lt;0,AB107,0),0)</f>
        <v>0</v>
      </c>
      <c r="AD107" s="255">
        <f>IF(K107&lt;&gt;"",K107-E107,0)</f>
        <v>1.1590277777795563</v>
      </c>
      <c r="AE107" s="255">
        <f>IF(N107&gt;0,AD107,0)</f>
        <v>1.1590277777795563</v>
      </c>
      <c r="AF107" s="255">
        <f>IF(N107&lt;0,AD107,0)</f>
        <v>0</v>
      </c>
      <c r="AG107" s="255">
        <f>IF(N107=0,AD107,0)</f>
        <v>0</v>
      </c>
    </row>
    <row r="108" spans="2:33" ht="15" customHeight="1" x14ac:dyDescent="0.3">
      <c r="B108" s="196" t="s">
        <v>7</v>
      </c>
      <c r="C108" s="197" t="s">
        <v>15</v>
      </c>
      <c r="D108" s="246" t="str">
        <f>IF(E108&lt;&gt;"",IF(K108&lt;&gt;"","C","O"),"")</f>
        <v>C</v>
      </c>
      <c r="E108" s="199">
        <v>44852.489583333336</v>
      </c>
      <c r="F108" s="200" t="s">
        <v>116</v>
      </c>
      <c r="G108" s="235">
        <v>149.11000000000001</v>
      </c>
      <c r="H108" s="235">
        <v>148.87</v>
      </c>
      <c r="I108" s="247">
        <f>ABS(G108-H108)</f>
        <v>0.24000000000000909</v>
      </c>
      <c r="J108" s="235">
        <v>151.60499999999999</v>
      </c>
      <c r="K108" s="199">
        <v>44852.502083333333</v>
      </c>
      <c r="L108" s="235">
        <v>149.03899999999999</v>
      </c>
      <c r="M108" s="248">
        <f>ROUND(IF(C108="L",(L108-G108),(G108-L108)),4)</f>
        <v>-7.0999999999999994E-2</v>
      </c>
      <c r="N108" s="249">
        <f>IFERROR(ROUND((M108/I108),2),"")</f>
        <v>-0.3</v>
      </c>
      <c r="O108" s="250">
        <f>IF(D108="O",IF(N108&lt;0,N108,0),0)</f>
        <v>0</v>
      </c>
      <c r="P108" s="251">
        <f>IF(N108&gt;= 0,N108,0)</f>
        <v>0</v>
      </c>
      <c r="Q108" s="251">
        <f>IF(N108&lt;0,N108,0)</f>
        <v>-0.3</v>
      </c>
      <c r="R1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44952</v>
      </c>
      <c r="T1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8" s="253">
        <f ca="1">IF(Tabla33610673[[#This Row],[Equity]]&lt;Tabla33610673[[#This Row],[Equity Peak]],(Tabla33610673[[#This Row],[Equity Peak]]-Tabla33610673[[#This Row],[Equity]])/Tabla33610673[[#This Row],[Equity Peak]],"")</f>
        <v>2.0717600156852492E-2</v>
      </c>
      <c r="V108" s="254">
        <f>IF(B108="FX",N108,0)</f>
        <v>-0.3</v>
      </c>
      <c r="W108" s="254">
        <f>IF(D108="O",IF(V108&lt;0,V108,0),0)</f>
        <v>0</v>
      </c>
      <c r="X108" s="254">
        <f>IF(B108="COM",N108,0)</f>
        <v>0</v>
      </c>
      <c r="Y108" s="254">
        <f>IF(D108="O",IF(X108&lt;0,X108,0),0)</f>
        <v>0</v>
      </c>
      <c r="Z108" s="254">
        <f>IF(B108="IND",N108,0)</f>
        <v>0</v>
      </c>
      <c r="AA108" s="250">
        <f>IF(D108="O",IF(Z108&lt;0,Z108,0),0)</f>
        <v>0</v>
      </c>
      <c r="AB108" s="254">
        <f>IF(B108="CRYPTO",N108,0)</f>
        <v>0</v>
      </c>
      <c r="AC108" s="250">
        <f>IF(D108="O",IF(AB108&lt;0,AB108,0),0)</f>
        <v>0</v>
      </c>
      <c r="AD108" s="255">
        <f>IF(K108&lt;&gt;"",K108-E108,0)</f>
        <v>1.2499999997089617E-2</v>
      </c>
      <c r="AE108" s="255">
        <f>IF(N108&gt;0,AD108,0)</f>
        <v>0</v>
      </c>
      <c r="AF108" s="255">
        <f>IF(N108&lt;0,AD108,0)</f>
        <v>1.2499999997089617E-2</v>
      </c>
      <c r="AG108" s="255">
        <f>IF(N108=0,AD108,0)</f>
        <v>0</v>
      </c>
    </row>
    <row r="109" spans="2:33" ht="15" customHeight="1" x14ac:dyDescent="0.3">
      <c r="B109" s="196" t="s">
        <v>5</v>
      </c>
      <c r="C109" s="197" t="s">
        <v>15</v>
      </c>
      <c r="D109" s="246" t="str">
        <f>IF(E109&lt;&gt;"",IF(K109&lt;&gt;"","C","O"),"")</f>
        <v>C</v>
      </c>
      <c r="E109" s="199">
        <v>44852.28125</v>
      </c>
      <c r="F109" s="200" t="s">
        <v>93</v>
      </c>
      <c r="G109" s="235">
        <v>11239.19</v>
      </c>
      <c r="H109" s="235">
        <v>11196.55</v>
      </c>
      <c r="I109" s="247">
        <f>ABS(G109-H109)</f>
        <v>42.640000000001237</v>
      </c>
      <c r="J109" s="235">
        <v>11694</v>
      </c>
      <c r="K109" s="199">
        <v>44852.5</v>
      </c>
      <c r="L109" s="235">
        <v>11196.55</v>
      </c>
      <c r="M109" s="248">
        <f>ROUND(IF(C109="L",(L109-G109),(G109-L109)),4)</f>
        <v>-42.64</v>
      </c>
      <c r="N109" s="249">
        <f>IFERROR(ROUND((M109/I109),2),"")</f>
        <v>-1</v>
      </c>
      <c r="O109" s="250">
        <f>IF(D109="O",IF(N109&lt;0,N109,0),0)</f>
        <v>0</v>
      </c>
      <c r="P109" s="251">
        <f>IF(N109&gt;= 0,N109,0)</f>
        <v>0</v>
      </c>
      <c r="Q109" s="251">
        <f>IF(N109&lt;0,N109,0)</f>
        <v>-1</v>
      </c>
      <c r="R1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44982</v>
      </c>
      <c r="T1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09" s="253">
        <f ca="1">IF(Tabla33610673[[#This Row],[Equity]]&lt;Tabla33610673[[#This Row],[Equity Peak]],(Tabla33610673[[#This Row],[Equity Peak]]-Tabla33610673[[#This Row],[Equity]])/Tabla33610673[[#This Row],[Equity Peak]],"")</f>
        <v>2.0064048101431278E-2</v>
      </c>
      <c r="V109" s="254">
        <f>IF(B109="FX",N109,0)</f>
        <v>0</v>
      </c>
      <c r="W109" s="254">
        <f>IF(D109="O",IF(V109&lt;0,V109,0),0)</f>
        <v>0</v>
      </c>
      <c r="X109" s="254">
        <f>IF(B109="COM",N109,0)</f>
        <v>0</v>
      </c>
      <c r="Y109" s="254">
        <f>IF(D109="O",IF(X109&lt;0,X109,0),0)</f>
        <v>0</v>
      </c>
      <c r="Z109" s="254">
        <f>IF(B109="IND",N109,0)</f>
        <v>-1</v>
      </c>
      <c r="AA109" s="250">
        <f>IF(D109="O",IF(Z109&lt;0,Z109,0),0)</f>
        <v>0</v>
      </c>
      <c r="AB109" s="254">
        <f>IF(B109="CRYPTO",N109,0)</f>
        <v>0</v>
      </c>
      <c r="AC109" s="250">
        <f>IF(D109="O",IF(AB109&lt;0,AB109,0),0)</f>
        <v>0</v>
      </c>
      <c r="AD109" s="255">
        <f>IF(K109&lt;&gt;"",K109-E109,0)</f>
        <v>0.21875</v>
      </c>
      <c r="AE109" s="255">
        <f>IF(N109&gt;0,AD109,0)</f>
        <v>0</v>
      </c>
      <c r="AF109" s="255">
        <f>IF(N109&lt;0,AD109,0)</f>
        <v>0.21875</v>
      </c>
      <c r="AG109" s="255">
        <f>IF(N109=0,AD109,0)</f>
        <v>0</v>
      </c>
    </row>
    <row r="110" spans="2:33" ht="15" customHeight="1" x14ac:dyDescent="0.3">
      <c r="B110" s="196" t="s">
        <v>5</v>
      </c>
      <c r="C110" s="197" t="s">
        <v>15</v>
      </c>
      <c r="D110" s="246" t="str">
        <f>IF(E110&lt;&gt;"",IF(K110&lt;&gt;"","C","O"),"")</f>
        <v>C</v>
      </c>
      <c r="E110" s="199">
        <v>44852.3125</v>
      </c>
      <c r="F110" s="200" t="s">
        <v>92</v>
      </c>
      <c r="G110" s="235">
        <v>11294.69</v>
      </c>
      <c r="H110" s="235">
        <v>11250.42</v>
      </c>
      <c r="I110" s="247">
        <f>ABS(G110-H110)</f>
        <v>44.270000000000437</v>
      </c>
      <c r="J110" s="235">
        <v>12120.98</v>
      </c>
      <c r="K110" s="199">
        <v>44852.372916666667</v>
      </c>
      <c r="L110" s="235">
        <v>11250.42</v>
      </c>
      <c r="M110" s="248">
        <f>ROUND(IF(C110="L",(L110-G110),(G110-L110)),4)</f>
        <v>-44.27</v>
      </c>
      <c r="N110" s="249">
        <f>IFERROR(ROUND((M110/I110),2),"")</f>
        <v>-1</v>
      </c>
      <c r="O110" s="250">
        <f>IF(D110="O",IF(N110&lt;0,N110,0),0)</f>
        <v>0</v>
      </c>
      <c r="P110" s="251">
        <f>IF(N110&gt;= 0,N110,0)</f>
        <v>0</v>
      </c>
      <c r="Q110" s="251">
        <f>IF(N110&lt;0,N110,0)</f>
        <v>-1</v>
      </c>
      <c r="R1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45082</v>
      </c>
      <c r="T1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0" s="253">
        <f ca="1">IF(Tabla33610673[[#This Row],[Equity]]&lt;Tabla33610673[[#This Row],[Equity Peak]],(Tabla33610673[[#This Row],[Equity Peak]]-Tabla33610673[[#This Row],[Equity]])/Tabla33610673[[#This Row],[Equity Peak]],"")</f>
        <v>1.7885541250027233E-2</v>
      </c>
      <c r="V110" s="254">
        <f>IF(B110="FX",N110,0)</f>
        <v>0</v>
      </c>
      <c r="W110" s="254">
        <f>IF(D110="O",IF(V110&lt;0,V110,0),0)</f>
        <v>0</v>
      </c>
      <c r="X110" s="254">
        <f>IF(B110="COM",N110,0)</f>
        <v>0</v>
      </c>
      <c r="Y110" s="254">
        <f>IF(D110="O",IF(X110&lt;0,X110,0),0)</f>
        <v>0</v>
      </c>
      <c r="Z110" s="254">
        <f>IF(B110="IND",N110,0)</f>
        <v>-1</v>
      </c>
      <c r="AA110" s="250">
        <f>IF(D110="O",IF(Z110&lt;0,Z110,0),0)</f>
        <v>0</v>
      </c>
      <c r="AB110" s="254">
        <f>IF(B110="CRYPTO",N110,0)</f>
        <v>0</v>
      </c>
      <c r="AC110" s="250">
        <f>IF(D110="O",IF(AB110&lt;0,AB110,0),0)</f>
        <v>0</v>
      </c>
      <c r="AD110" s="255">
        <f>IF(K110&lt;&gt;"",K110-E110,0)</f>
        <v>6.0416666667151731E-2</v>
      </c>
      <c r="AE110" s="255">
        <f>IF(N110&gt;0,AD110,0)</f>
        <v>0</v>
      </c>
      <c r="AF110" s="255">
        <f>IF(N110&lt;0,AD110,0)</f>
        <v>6.0416666667151731E-2</v>
      </c>
      <c r="AG110" s="255">
        <f>IF(N110=0,AD110,0)</f>
        <v>0</v>
      </c>
    </row>
    <row r="111" spans="2:33" ht="15" customHeight="1" x14ac:dyDescent="0.3">
      <c r="B111" s="196" t="s">
        <v>5</v>
      </c>
      <c r="C111" s="197" t="s">
        <v>15</v>
      </c>
      <c r="D111" s="246" t="str">
        <f>IF(E111&lt;&gt;"",IF(K111&lt;&gt;"","C","O"),"")</f>
        <v>C</v>
      </c>
      <c r="E111" s="199">
        <v>44851.697916666664</v>
      </c>
      <c r="F111" s="200" t="s">
        <v>91</v>
      </c>
      <c r="G111" s="235">
        <v>12689.17</v>
      </c>
      <c r="H111" s="235">
        <v>12637.78</v>
      </c>
      <c r="I111" s="247">
        <f>ABS(G111-H111)</f>
        <v>51.389999999999418</v>
      </c>
      <c r="J111" s="235">
        <v>13648.49</v>
      </c>
      <c r="K111" s="199">
        <v>44851.743750000001</v>
      </c>
      <c r="L111" s="235">
        <v>12637.78</v>
      </c>
      <c r="M111" s="248">
        <f>ROUND(IF(C111="L",(L111-G111),(G111-L111)),4)</f>
        <v>-51.39</v>
      </c>
      <c r="N111" s="249">
        <f>IFERROR(ROUND((M111/I111),2),"")</f>
        <v>-1</v>
      </c>
      <c r="O111" s="250">
        <f>IF(D111="O",IF(N111&lt;0,N111,0),0)</f>
        <v>0</v>
      </c>
      <c r="P111" s="251">
        <f>IF(N111&gt;= 0,N111,0)</f>
        <v>0</v>
      </c>
      <c r="Q111" s="251">
        <f>IF(N111&lt;0,N111,0)</f>
        <v>-1</v>
      </c>
      <c r="R1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45182</v>
      </c>
      <c r="T1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1" s="253">
        <f ca="1">IF(Tabla33610673[[#This Row],[Equity]]&lt;Tabla33610673[[#This Row],[Equity Peak]],(Tabla33610673[[#This Row],[Equity Peak]]-Tabla33610673[[#This Row],[Equity]])/Tabla33610673[[#This Row],[Equity Peak]],"")</f>
        <v>1.5707034398623185E-2</v>
      </c>
      <c r="V111" s="254">
        <f>IF(B111="FX",N111,0)</f>
        <v>0</v>
      </c>
      <c r="W111" s="254">
        <f>IF(D111="O",IF(V111&lt;0,V111,0),0)</f>
        <v>0</v>
      </c>
      <c r="X111" s="254">
        <f>IF(B111="COM",N111,0)</f>
        <v>0</v>
      </c>
      <c r="Y111" s="254">
        <f>IF(D111="O",IF(X111&lt;0,X111,0),0)</f>
        <v>0</v>
      </c>
      <c r="Z111" s="254">
        <f>IF(B111="IND",N111,0)</f>
        <v>-1</v>
      </c>
      <c r="AA111" s="250">
        <f>IF(D111="O",IF(Z111&lt;0,Z111,0),0)</f>
        <v>0</v>
      </c>
      <c r="AB111" s="254">
        <f>IF(B111="CRYPTO",N111,0)</f>
        <v>0</v>
      </c>
      <c r="AC111" s="250">
        <f>IF(D111="O",IF(AB111&lt;0,AB111,0),0)</f>
        <v>0</v>
      </c>
      <c r="AD111" s="255">
        <f>IF(K111&lt;&gt;"",K111-E111,0)</f>
        <v>4.5833333337213844E-2</v>
      </c>
      <c r="AE111" s="255">
        <f>IF(N111&gt;0,AD111,0)</f>
        <v>0</v>
      </c>
      <c r="AF111" s="255">
        <f>IF(N111&lt;0,AD111,0)</f>
        <v>4.5833333337213844E-2</v>
      </c>
      <c r="AG111" s="255">
        <f>IF(N111=0,AD111,0)</f>
        <v>0</v>
      </c>
    </row>
    <row r="112" spans="2:33" ht="15" customHeight="1" x14ac:dyDescent="0.3">
      <c r="B112" s="196" t="s">
        <v>7</v>
      </c>
      <c r="C112" s="197" t="s">
        <v>15</v>
      </c>
      <c r="D112" s="246" t="str">
        <f>IF(E112&lt;&gt;"",IF(K112&lt;&gt;"","C","O"),"")</f>
        <v>C</v>
      </c>
      <c r="E112" s="199">
        <v>44848.708333333336</v>
      </c>
      <c r="F112" s="200" t="s">
        <v>116</v>
      </c>
      <c r="G112" s="235">
        <v>148.06200000000001</v>
      </c>
      <c r="H112" s="235">
        <v>147.83799999999999</v>
      </c>
      <c r="I112" s="247">
        <f>ABS(G112-H112)</f>
        <v>0.22400000000001796</v>
      </c>
      <c r="J112" s="235">
        <v>150.39400000000001</v>
      </c>
      <c r="K112" s="199">
        <v>44851.037499999999</v>
      </c>
      <c r="L112" s="235">
        <v>148.47999999999999</v>
      </c>
      <c r="M112" s="248">
        <f>ROUND(IF(C112="L",(L112-G112),(G112-L112)),4)</f>
        <v>0.41799999999999998</v>
      </c>
      <c r="N112" s="249">
        <f>IFERROR(ROUND((M112/I112),2),"")</f>
        <v>1.87</v>
      </c>
      <c r="O112" s="250">
        <f>IF(D112="O",IF(N112&lt;0,N112,0),0)</f>
        <v>0</v>
      </c>
      <c r="P112" s="251">
        <f>IF(N112&gt;= 0,N112,0)</f>
        <v>1.87</v>
      </c>
      <c r="Q112" s="251">
        <f>IF(N112&lt;0,N112,0)</f>
        <v>0</v>
      </c>
      <c r="R1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45282</v>
      </c>
      <c r="T1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2" s="253">
        <f ca="1">IF(Tabla33610673[[#This Row],[Equity]]&lt;Tabla33610673[[#This Row],[Equity Peak]],(Tabla33610673[[#This Row],[Equity Peak]]-Tabla33610673[[#This Row],[Equity]])/Tabla33610673[[#This Row],[Equity Peak]],"")</f>
        <v>1.3528527547219137E-2</v>
      </c>
      <c r="V112" s="254">
        <f>IF(B112="FX",N112,0)</f>
        <v>1.87</v>
      </c>
      <c r="W112" s="254">
        <f>IF(D112="O",IF(V112&lt;0,V112,0),0)</f>
        <v>0</v>
      </c>
      <c r="X112" s="254">
        <f>IF(B112="COM",N112,0)</f>
        <v>0</v>
      </c>
      <c r="Y112" s="254">
        <f>IF(D112="O",IF(X112&lt;0,X112,0),0)</f>
        <v>0</v>
      </c>
      <c r="Z112" s="254">
        <f>IF(B112="IND",N112,0)</f>
        <v>0</v>
      </c>
      <c r="AA112" s="250">
        <f>IF(D112="O",IF(Z112&lt;0,Z112,0),0)</f>
        <v>0</v>
      </c>
      <c r="AB112" s="254">
        <f>IF(B112="CRYPTO",N112,0)</f>
        <v>0</v>
      </c>
      <c r="AC112" s="250">
        <f>IF(D112="O",IF(AB112&lt;0,AB112,0),0)</f>
        <v>0</v>
      </c>
      <c r="AD112" s="255">
        <f>IF(K112&lt;&gt;"",K112-E112,0)</f>
        <v>2.3291666666627862</v>
      </c>
      <c r="AE112" s="255">
        <f>IF(N112&gt;0,AD112,0)</f>
        <v>2.3291666666627862</v>
      </c>
      <c r="AF112" s="255">
        <f>IF(N112&lt;0,AD112,0)</f>
        <v>0</v>
      </c>
      <c r="AG112" s="255">
        <f>IF(N112=0,AD112,0)</f>
        <v>0</v>
      </c>
    </row>
    <row r="113" spans="2:33" ht="15" customHeight="1" x14ac:dyDescent="0.3">
      <c r="B113" s="196" t="s">
        <v>7</v>
      </c>
      <c r="C113" s="197" t="s">
        <v>15</v>
      </c>
      <c r="D113" s="246" t="str">
        <f>IF(E113&lt;&gt;"",IF(K113&lt;&gt;"","C","O"),"")</f>
        <v>C</v>
      </c>
      <c r="E113" s="199">
        <v>44848.625</v>
      </c>
      <c r="F113" s="200" t="s">
        <v>116</v>
      </c>
      <c r="G113" s="235">
        <v>147.804</v>
      </c>
      <c r="H113" s="235">
        <v>147.583</v>
      </c>
      <c r="I113" s="247">
        <f>ABS(G113-H113)</f>
        <v>0.22100000000000364</v>
      </c>
      <c r="J113" s="235">
        <v>150.09800000000001</v>
      </c>
      <c r="K113" s="199">
        <v>44848.701388888891</v>
      </c>
      <c r="L113" s="235">
        <v>147.74100000000001</v>
      </c>
      <c r="M113" s="248">
        <f>ROUND(IF(C113="L",(L113-G113),(G113-L113)),4)</f>
        <v>-6.3E-2</v>
      </c>
      <c r="N113" s="249">
        <f>IFERROR(ROUND((M113/I113),2),"")</f>
        <v>-0.28999999999999998</v>
      </c>
      <c r="O113" s="250">
        <f>IF(D113="O",IF(N113&lt;0,N113,0),0)</f>
        <v>0</v>
      </c>
      <c r="P113" s="251">
        <f>IF(N113&gt;= 0,N113,0)</f>
        <v>0</v>
      </c>
      <c r="Q113" s="251">
        <f>IF(N113&lt;0,N113,0)</f>
        <v>-0.28999999999999998</v>
      </c>
      <c r="R1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45095</v>
      </c>
      <c r="T1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3" s="253">
        <f ca="1">IF(Tabla33610673[[#This Row],[Equity]]&lt;Tabla33610673[[#This Row],[Equity Peak]],(Tabla33610673[[#This Row],[Equity Peak]]-Tabla33610673[[#This Row],[Equity]])/Tabla33610673[[#This Row],[Equity Peak]],"")</f>
        <v>1.7602335359344704E-2</v>
      </c>
      <c r="V113" s="254">
        <f>IF(B113="FX",N113,0)</f>
        <v>-0.28999999999999998</v>
      </c>
      <c r="W113" s="254">
        <f>IF(D113="O",IF(V113&lt;0,V113,0),0)</f>
        <v>0</v>
      </c>
      <c r="X113" s="254">
        <f>IF(B113="COM",N113,0)</f>
        <v>0</v>
      </c>
      <c r="Y113" s="254">
        <f>IF(D113="O",IF(X113&lt;0,X113,0),0)</f>
        <v>0</v>
      </c>
      <c r="Z113" s="254">
        <f>IF(B113="IND",N113,0)</f>
        <v>0</v>
      </c>
      <c r="AA113" s="250">
        <f>IF(D113="O",IF(Z113&lt;0,Z113,0),0)</f>
        <v>0</v>
      </c>
      <c r="AB113" s="254">
        <f>IF(B113="CRYPTO",N113,0)</f>
        <v>0</v>
      </c>
      <c r="AC113" s="250">
        <f>IF(D113="O",IF(AB113&lt;0,AB113,0),0)</f>
        <v>0</v>
      </c>
      <c r="AD113" s="255">
        <f>IF(K113&lt;&gt;"",K113-E113,0)</f>
        <v>7.6388888890505768E-2</v>
      </c>
      <c r="AE113" s="255">
        <f>IF(N113&gt;0,AD113,0)</f>
        <v>0</v>
      </c>
      <c r="AF113" s="255">
        <f>IF(N113&lt;0,AD113,0)</f>
        <v>7.6388888890505768E-2</v>
      </c>
      <c r="AG113" s="255">
        <f>IF(N113=0,AD113,0)</f>
        <v>0</v>
      </c>
    </row>
    <row r="114" spans="2:33" ht="15" customHeight="1" x14ac:dyDescent="0.3">
      <c r="B114" s="196" t="s">
        <v>5</v>
      </c>
      <c r="C114" s="197" t="s">
        <v>15</v>
      </c>
      <c r="D114" s="246" t="str">
        <f>IF(E114&lt;&gt;"",IF(K114&lt;&gt;"","C","O"),"")</f>
        <v>C</v>
      </c>
      <c r="E114" s="199">
        <v>44848.666666666664</v>
      </c>
      <c r="F114" s="200" t="s">
        <v>93</v>
      </c>
      <c r="G114" s="235">
        <v>11160.09</v>
      </c>
      <c r="H114" s="235">
        <v>11093.49</v>
      </c>
      <c r="I114" s="247">
        <f>ABS(G114-H114)</f>
        <v>66.600000000000364</v>
      </c>
      <c r="J114" s="235">
        <v>11870.52</v>
      </c>
      <c r="K114" s="199">
        <v>44848.688888888886</v>
      </c>
      <c r="L114" s="235">
        <v>11093.49</v>
      </c>
      <c r="M114" s="248">
        <f>ROUND(IF(C114="L",(L114-G114),(G114-L114)),4)</f>
        <v>-66.599999999999994</v>
      </c>
      <c r="N114" s="249">
        <f>IFERROR(ROUND((M114/I114),2),"")</f>
        <v>-1</v>
      </c>
      <c r="O114" s="250">
        <f>IF(D114="O",IF(N114&lt;0,N114,0),0)</f>
        <v>0</v>
      </c>
      <c r="P114" s="251">
        <f>IF(N114&gt;= 0,N114,0)</f>
        <v>0</v>
      </c>
      <c r="Q114" s="251">
        <f>IF(N114&lt;0,N114,0)</f>
        <v>-1</v>
      </c>
      <c r="R1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45124</v>
      </c>
      <c r="T1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4" s="253">
        <f ca="1">IF(Tabla33610673[[#This Row],[Equity]]&lt;Tabla33610673[[#This Row],[Equity Peak]],(Tabla33610673[[#This Row],[Equity Peak]]-Tabla33610673[[#This Row],[Equity]])/Tabla33610673[[#This Row],[Equity Peak]],"")</f>
        <v>1.6970568372437531E-2</v>
      </c>
      <c r="V114" s="254">
        <f>IF(B114="FX",N114,0)</f>
        <v>0</v>
      </c>
      <c r="W114" s="254">
        <f>IF(D114="O",IF(V114&lt;0,V114,0),0)</f>
        <v>0</v>
      </c>
      <c r="X114" s="254">
        <f>IF(B114="COM",N114,0)</f>
        <v>0</v>
      </c>
      <c r="Y114" s="254">
        <f>IF(D114="O",IF(X114&lt;0,X114,0),0)</f>
        <v>0</v>
      </c>
      <c r="Z114" s="254">
        <f>IF(B114="IND",N114,0)</f>
        <v>-1</v>
      </c>
      <c r="AA114" s="250">
        <f>IF(D114="O",IF(Z114&lt;0,Z114,0),0)</f>
        <v>0</v>
      </c>
      <c r="AB114" s="254">
        <f>IF(B114="CRYPTO",N114,0)</f>
        <v>0</v>
      </c>
      <c r="AC114" s="250">
        <f>IF(D114="O",IF(AB114&lt;0,AB114,0),0)</f>
        <v>0</v>
      </c>
      <c r="AD114" s="255">
        <f>IF(K114&lt;&gt;"",K114-E114,0)</f>
        <v>2.2222222221898846E-2</v>
      </c>
      <c r="AE114" s="255">
        <f>IF(N114&gt;0,AD114,0)</f>
        <v>0</v>
      </c>
      <c r="AF114" s="255">
        <f>IF(N114&lt;0,AD114,0)</f>
        <v>2.2222222221898846E-2</v>
      </c>
      <c r="AG114" s="255">
        <f>IF(N114=0,AD114,0)</f>
        <v>0</v>
      </c>
    </row>
    <row r="115" spans="2:33" ht="15" customHeight="1" x14ac:dyDescent="0.3">
      <c r="B115" s="196" t="s">
        <v>7</v>
      </c>
      <c r="C115" s="197" t="s">
        <v>15</v>
      </c>
      <c r="D115" s="246" t="str">
        <f>IF(E115&lt;&gt;"",IF(K115&lt;&gt;"","C","O"),"")</f>
        <v>C</v>
      </c>
      <c r="E115" s="199">
        <v>44848.5</v>
      </c>
      <c r="F115" s="200" t="s">
        <v>116</v>
      </c>
      <c r="G115" s="235">
        <v>147.69</v>
      </c>
      <c r="H115" s="235">
        <v>147.47200000000001</v>
      </c>
      <c r="I115" s="247">
        <f>ABS(G115-H115)</f>
        <v>0.21799999999998931</v>
      </c>
      <c r="J115" s="235">
        <v>149.95599999999999</v>
      </c>
      <c r="K115" s="199">
        <v>44848.53125</v>
      </c>
      <c r="L115" s="235">
        <v>147.53200000000001</v>
      </c>
      <c r="M115" s="248">
        <f>ROUND(IF(C115="L",(L115-G115),(G115-L115)),4)</f>
        <v>-0.158</v>
      </c>
      <c r="N115" s="249">
        <f>IFERROR(ROUND((M115/I115),2),"")</f>
        <v>-0.72</v>
      </c>
      <c r="O115" s="250">
        <f>IF(D115="O",IF(N115&lt;0,N115,0),0)</f>
        <v>0</v>
      </c>
      <c r="P115" s="251">
        <f>IF(N115&gt;= 0,N115,0)</f>
        <v>0</v>
      </c>
      <c r="Q115" s="251">
        <f>IF(N115&lt;0,N115,0)</f>
        <v>-0.72</v>
      </c>
      <c r="R1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45224</v>
      </c>
      <c r="T1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5" s="253">
        <f ca="1">IF(Tabla33610673[[#This Row],[Equity]]&lt;Tabla33610673[[#This Row],[Equity Peak]],(Tabla33610673[[#This Row],[Equity Peak]]-Tabla33610673[[#This Row],[Equity]])/Tabla33610673[[#This Row],[Equity Peak]],"")</f>
        <v>1.4792061521033484E-2</v>
      </c>
      <c r="V115" s="254">
        <f>IF(B115="FX",N115,0)</f>
        <v>-0.72</v>
      </c>
      <c r="W115" s="254">
        <f>IF(D115="O",IF(V115&lt;0,V115,0),0)</f>
        <v>0</v>
      </c>
      <c r="X115" s="254">
        <f>IF(B115="COM",N115,0)</f>
        <v>0</v>
      </c>
      <c r="Y115" s="254">
        <f>IF(D115="O",IF(X115&lt;0,X115,0),0)</f>
        <v>0</v>
      </c>
      <c r="Z115" s="254">
        <f>IF(B115="IND",N115,0)</f>
        <v>0</v>
      </c>
      <c r="AA115" s="250">
        <f>IF(D115="O",IF(Z115&lt;0,Z115,0),0)</f>
        <v>0</v>
      </c>
      <c r="AB115" s="254">
        <f>IF(B115="CRYPTO",N115,0)</f>
        <v>0</v>
      </c>
      <c r="AC115" s="250">
        <f>IF(D115="O",IF(AB115&lt;0,AB115,0),0)</f>
        <v>0</v>
      </c>
      <c r="AD115" s="255">
        <f>IF(K115&lt;&gt;"",K115-E115,0)</f>
        <v>3.125E-2</v>
      </c>
      <c r="AE115" s="255">
        <f>IF(N115&gt;0,AD115,0)</f>
        <v>0</v>
      </c>
      <c r="AF115" s="255">
        <f>IF(N115&lt;0,AD115,0)</f>
        <v>3.125E-2</v>
      </c>
      <c r="AG115" s="255">
        <f>IF(N115=0,AD115,0)</f>
        <v>0</v>
      </c>
    </row>
    <row r="116" spans="2:33" ht="15" customHeight="1" x14ac:dyDescent="0.3">
      <c r="B116" s="196" t="s">
        <v>5</v>
      </c>
      <c r="C116" s="197" t="s">
        <v>15</v>
      </c>
      <c r="D116" s="246" t="str">
        <f>IF(E116&lt;&gt;"",IF(K116&lt;&gt;"","C","O"),"")</f>
        <v>C</v>
      </c>
      <c r="E116" s="199">
        <v>44848.197916666664</v>
      </c>
      <c r="F116" s="200" t="s">
        <v>91</v>
      </c>
      <c r="G116" s="235">
        <v>12521.52</v>
      </c>
      <c r="H116" s="235">
        <v>12470.1</v>
      </c>
      <c r="I116" s="247">
        <f>ABS(G116-H116)</f>
        <v>51.420000000000073</v>
      </c>
      <c r="J116" s="235">
        <v>13481.44</v>
      </c>
      <c r="K116" s="199">
        <v>44848.431250000001</v>
      </c>
      <c r="L116" s="235">
        <v>12519.61</v>
      </c>
      <c r="M116" s="248">
        <f>ROUND(IF(C116="L",(L116-G116),(G116-L116)),4)</f>
        <v>-1.91</v>
      </c>
      <c r="N116" s="249">
        <f>IFERROR(ROUND((M116/I116),2),"")</f>
        <v>-0.04</v>
      </c>
      <c r="O116" s="250">
        <f>IF(D116="O",IF(N116&lt;0,N116,0),0)</f>
        <v>0</v>
      </c>
      <c r="P116" s="251">
        <f>IF(N116&gt;= 0,N116,0)</f>
        <v>0</v>
      </c>
      <c r="Q116" s="251">
        <f>IF(N116&lt;0,N116,0)</f>
        <v>-0.04</v>
      </c>
      <c r="R1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45296</v>
      </c>
      <c r="T1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6" s="253">
        <f ca="1">IF(Tabla33610673[[#This Row],[Equity]]&lt;Tabla33610673[[#This Row],[Equity Peak]],(Tabla33610673[[#This Row],[Equity Peak]]-Tabla33610673[[#This Row],[Equity]])/Tabla33610673[[#This Row],[Equity Peak]],"")</f>
        <v>1.3223536588022569E-2</v>
      </c>
      <c r="V116" s="254">
        <f>IF(B116="FX",N116,0)</f>
        <v>0</v>
      </c>
      <c r="W116" s="254">
        <f>IF(D116="O",IF(V116&lt;0,V116,0),0)</f>
        <v>0</v>
      </c>
      <c r="X116" s="254">
        <f>IF(B116="COM",N116,0)</f>
        <v>0</v>
      </c>
      <c r="Y116" s="254">
        <f>IF(D116="O",IF(X116&lt;0,X116,0),0)</f>
        <v>0</v>
      </c>
      <c r="Z116" s="254">
        <f>IF(B116="IND",N116,0)</f>
        <v>-0.04</v>
      </c>
      <c r="AA116" s="250">
        <f>IF(D116="O",IF(Z116&lt;0,Z116,0),0)</f>
        <v>0</v>
      </c>
      <c r="AB116" s="254">
        <f>IF(B116="CRYPTO",N116,0)</f>
        <v>0</v>
      </c>
      <c r="AC116" s="250">
        <f>IF(D116="O",IF(AB116&lt;0,AB116,0),0)</f>
        <v>0</v>
      </c>
      <c r="AD116" s="255">
        <f>IF(K116&lt;&gt;"",K116-E116,0)</f>
        <v>0.23333333333721384</v>
      </c>
      <c r="AE116" s="255">
        <f>IF(N116&gt;0,AD116,0)</f>
        <v>0</v>
      </c>
      <c r="AF116" s="255">
        <f>IF(N116&lt;0,AD116,0)</f>
        <v>0.23333333333721384</v>
      </c>
      <c r="AG116" s="255">
        <f>IF(N116=0,AD116,0)</f>
        <v>0</v>
      </c>
    </row>
    <row r="117" spans="2:33" ht="15" customHeight="1" x14ac:dyDescent="0.3">
      <c r="B117" s="196" t="s">
        <v>5</v>
      </c>
      <c r="C117" s="197" t="s">
        <v>13</v>
      </c>
      <c r="D117" s="246" t="str">
        <f>IF(E117&lt;&gt;"",IF(K117&lt;&gt;"","C","O"),"")</f>
        <v>C</v>
      </c>
      <c r="E117" s="199">
        <v>44847.65625</v>
      </c>
      <c r="F117" s="200" t="s">
        <v>91</v>
      </c>
      <c r="G117" s="235">
        <v>12043.67</v>
      </c>
      <c r="H117" s="235">
        <v>12090.84</v>
      </c>
      <c r="I117" s="247">
        <f>ABS(G117-H117)</f>
        <v>47.170000000000073</v>
      </c>
      <c r="J117" s="235">
        <v>11163.21</v>
      </c>
      <c r="K117" s="199">
        <v>44847.702777777777</v>
      </c>
      <c r="L117" s="235">
        <v>12083.36</v>
      </c>
      <c r="M117" s="248">
        <f>ROUND(IF(C117="L",(L117-G117),(G117-L117)),4)</f>
        <v>-39.69</v>
      </c>
      <c r="N117" s="249">
        <f>IFERROR(ROUND((M117/I117),2),"")</f>
        <v>-0.84</v>
      </c>
      <c r="O117" s="250">
        <f>IF(D117="O",IF(N117&lt;0,N117,0),0)</f>
        <v>0</v>
      </c>
      <c r="P117" s="251">
        <f>IF(N117&gt;= 0,N117,0)</f>
        <v>0</v>
      </c>
      <c r="Q117" s="251">
        <f>IF(N117&lt;0,N117,0)</f>
        <v>-0.84</v>
      </c>
      <c r="R1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45300</v>
      </c>
      <c r="T1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7" s="253">
        <f ca="1">IF(Tabla33610673[[#This Row],[Equity]]&lt;Tabla33610673[[#This Row],[Equity Peak]],(Tabla33610673[[#This Row],[Equity Peak]]-Tabla33610673[[#This Row],[Equity]])/Tabla33610673[[#This Row],[Equity Peak]],"")</f>
        <v>1.3136396313966408E-2</v>
      </c>
      <c r="V117" s="254">
        <f>IF(B117="FX",N117,0)</f>
        <v>0</v>
      </c>
      <c r="W117" s="254">
        <f>IF(D117="O",IF(V117&lt;0,V117,0),0)</f>
        <v>0</v>
      </c>
      <c r="X117" s="254">
        <f>IF(B117="COM",N117,0)</f>
        <v>0</v>
      </c>
      <c r="Y117" s="254">
        <f>IF(D117="O",IF(X117&lt;0,X117,0),0)</f>
        <v>0</v>
      </c>
      <c r="Z117" s="254">
        <f>IF(B117="IND",N117,0)</f>
        <v>-0.84</v>
      </c>
      <c r="AA117" s="250">
        <f>IF(D117="O",IF(Z117&lt;0,Z117,0),0)</f>
        <v>0</v>
      </c>
      <c r="AB117" s="254">
        <f>IF(B117="CRYPTO",N117,0)</f>
        <v>0</v>
      </c>
      <c r="AC117" s="250">
        <f>IF(D117="O",IF(AB117&lt;0,AB117,0),0)</f>
        <v>0</v>
      </c>
      <c r="AD117" s="255">
        <f>IF(K117&lt;&gt;"",K117-E117,0)</f>
        <v>4.6527777776645962E-2</v>
      </c>
      <c r="AE117" s="255">
        <f>IF(N117&gt;0,AD117,0)</f>
        <v>0</v>
      </c>
      <c r="AF117" s="255">
        <f>IF(N117&lt;0,AD117,0)</f>
        <v>4.6527777776645962E-2</v>
      </c>
      <c r="AG117" s="255">
        <f>IF(N117=0,AD117,0)</f>
        <v>0</v>
      </c>
    </row>
    <row r="118" spans="2:33" ht="15" customHeight="1" x14ac:dyDescent="0.3">
      <c r="B118" s="196" t="s">
        <v>5</v>
      </c>
      <c r="C118" s="197" t="s">
        <v>13</v>
      </c>
      <c r="D118" s="246" t="str">
        <f>IF(E118&lt;&gt;"",IF(K118&lt;&gt;"","C","O"),"")</f>
        <v>C</v>
      </c>
      <c r="E118" s="199">
        <v>44847.65625</v>
      </c>
      <c r="F118" s="200" t="s">
        <v>93</v>
      </c>
      <c r="G118" s="235">
        <v>10473.549999999999</v>
      </c>
      <c r="H118" s="235">
        <v>10517.16</v>
      </c>
      <c r="I118" s="247">
        <f>ABS(G118-H118)</f>
        <v>43.610000000000582</v>
      </c>
      <c r="J118" s="235">
        <v>10008.39</v>
      </c>
      <c r="K118" s="199">
        <v>44847.700694444444</v>
      </c>
      <c r="L118" s="235">
        <v>10517.16</v>
      </c>
      <c r="M118" s="248">
        <f>ROUND(IF(C118="L",(L118-G118),(G118-L118)),4)</f>
        <v>-43.61</v>
      </c>
      <c r="N118" s="249">
        <f>IFERROR(ROUND((M118/I118),2),"")</f>
        <v>-1</v>
      </c>
      <c r="O118" s="250">
        <f>IF(D118="O",IF(N118&lt;0,N118,0),0)</f>
        <v>0</v>
      </c>
      <c r="P118" s="251">
        <f>IF(N118&gt;= 0,N118,0)</f>
        <v>0</v>
      </c>
      <c r="Q118" s="251">
        <f>IF(N118&lt;0,N118,0)</f>
        <v>-1</v>
      </c>
      <c r="R1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45384</v>
      </c>
      <c r="T1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8" s="253">
        <f ca="1">IF(Tabla33610673[[#This Row],[Equity]]&lt;Tabla33610673[[#This Row],[Equity Peak]],(Tabla33610673[[#This Row],[Equity Peak]]-Tabla33610673[[#This Row],[Equity]])/Tabla33610673[[#This Row],[Equity Peak]],"")</f>
        <v>1.1306450558787007E-2</v>
      </c>
      <c r="V118" s="254">
        <f>IF(B118="FX",N118,0)</f>
        <v>0</v>
      </c>
      <c r="W118" s="254">
        <f>IF(D118="O",IF(V118&lt;0,V118,0),0)</f>
        <v>0</v>
      </c>
      <c r="X118" s="254">
        <f>IF(B118="COM",N118,0)</f>
        <v>0</v>
      </c>
      <c r="Y118" s="254">
        <f>IF(D118="O",IF(X118&lt;0,X118,0),0)</f>
        <v>0</v>
      </c>
      <c r="Z118" s="254">
        <f>IF(B118="IND",N118,0)</f>
        <v>-1</v>
      </c>
      <c r="AA118" s="250">
        <f>IF(D118="O",IF(Z118&lt;0,Z118,0),0)</f>
        <v>0</v>
      </c>
      <c r="AB118" s="254">
        <f>IF(B118="CRYPTO",N118,0)</f>
        <v>0</v>
      </c>
      <c r="AC118" s="250">
        <f>IF(D118="O",IF(AB118&lt;0,AB118,0),0)</f>
        <v>0</v>
      </c>
      <c r="AD118" s="255">
        <f>IF(K118&lt;&gt;"",K118-E118,0)</f>
        <v>4.4444444443797693E-2</v>
      </c>
      <c r="AE118" s="255">
        <f>IF(N118&gt;0,AD118,0)</f>
        <v>0</v>
      </c>
      <c r="AF118" s="255">
        <f>IF(N118&lt;0,AD118,0)</f>
        <v>4.4444444443797693E-2</v>
      </c>
      <c r="AG118" s="255">
        <f>IF(N118=0,AD118,0)</f>
        <v>0</v>
      </c>
    </row>
    <row r="119" spans="2:33" ht="15" customHeight="1" x14ac:dyDescent="0.3">
      <c r="B119" s="196" t="s">
        <v>7</v>
      </c>
      <c r="C119" s="197" t="s">
        <v>13</v>
      </c>
      <c r="D119" s="246" t="str">
        <f>IF(E119&lt;&gt;"",IF(K119&lt;&gt;"","C","O"),"")</f>
        <v>C</v>
      </c>
      <c r="E119" s="199">
        <v>44847.65625</v>
      </c>
      <c r="F119" s="200" t="s">
        <v>114</v>
      </c>
      <c r="G119" s="235">
        <v>0.96489000000000003</v>
      </c>
      <c r="H119" s="235">
        <v>0.96811999999999998</v>
      </c>
      <c r="I119" s="247">
        <f>ABS(G119-H119)</f>
        <v>3.2299999999999551E-3</v>
      </c>
      <c r="J119" s="235">
        <v>0.93581000000000003</v>
      </c>
      <c r="K119" s="199">
        <v>44847.7</v>
      </c>
      <c r="L119" s="235">
        <v>0.96811999999999998</v>
      </c>
      <c r="M119" s="248">
        <f>ROUND(IF(C119="L",(L119-G119),(G119-L119)),4)</f>
        <v>-3.2000000000000002E-3</v>
      </c>
      <c r="N119" s="249">
        <f>IFERROR(ROUND((M119/I119),2),"")</f>
        <v>-0.99</v>
      </c>
      <c r="O119" s="250">
        <f>IF(D119="O",IF(N119&lt;0,N119,0),0)</f>
        <v>0</v>
      </c>
      <c r="P119" s="251">
        <f>IF(N119&gt;= 0,N119,0)</f>
        <v>0</v>
      </c>
      <c r="Q119" s="251">
        <f>IF(N119&lt;0,N119,0)</f>
        <v>-0.99</v>
      </c>
      <c r="R1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45484</v>
      </c>
      <c r="T1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19" s="253">
        <f ca="1">IF(Tabla33610673[[#This Row],[Equity]]&lt;Tabla33610673[[#This Row],[Equity Peak]],(Tabla33610673[[#This Row],[Equity Peak]]-Tabla33610673[[#This Row],[Equity]])/Tabla33610673[[#This Row],[Equity Peak]],"")</f>
        <v>9.127943707382959E-3</v>
      </c>
      <c r="V119" s="254">
        <f>IF(B119="FX",N119,0)</f>
        <v>-0.99</v>
      </c>
      <c r="W119" s="254">
        <f>IF(D119="O",IF(V119&lt;0,V119,0),0)</f>
        <v>0</v>
      </c>
      <c r="X119" s="254">
        <f>IF(B119="COM",N119,0)</f>
        <v>0</v>
      </c>
      <c r="Y119" s="254">
        <f>IF(D119="O",IF(X119&lt;0,X119,0),0)</f>
        <v>0</v>
      </c>
      <c r="Z119" s="254">
        <f>IF(B119="IND",N119,0)</f>
        <v>0</v>
      </c>
      <c r="AA119" s="250">
        <f>IF(D119="O",IF(Z119&lt;0,Z119,0),0)</f>
        <v>0</v>
      </c>
      <c r="AB119" s="254">
        <f>IF(B119="CRYPTO",N119,0)</f>
        <v>0</v>
      </c>
      <c r="AC119" s="250">
        <f>IF(D119="O",IF(AB119&lt;0,AB119,0),0)</f>
        <v>0</v>
      </c>
      <c r="AD119" s="255">
        <f>IF(K119&lt;&gt;"",K119-E119,0)</f>
        <v>4.3749999997089617E-2</v>
      </c>
      <c r="AE119" s="255">
        <f>IF(N119&gt;0,AD119,0)</f>
        <v>0</v>
      </c>
      <c r="AF119" s="255">
        <f>IF(N119&lt;0,AD119,0)</f>
        <v>4.3749999997089617E-2</v>
      </c>
      <c r="AG119" s="255">
        <f>IF(N119=0,AD119,0)</f>
        <v>0</v>
      </c>
    </row>
    <row r="120" spans="2:33" ht="15" customHeight="1" x14ac:dyDescent="0.3">
      <c r="B120" s="196" t="s">
        <v>5</v>
      </c>
      <c r="C120" s="197" t="s">
        <v>13</v>
      </c>
      <c r="D120" s="246" t="str">
        <f>IF(E120&lt;&gt;"",IF(K120&lt;&gt;"","C","O"),"")</f>
        <v>C</v>
      </c>
      <c r="E120" s="199">
        <v>44847.65625</v>
      </c>
      <c r="F120" s="200" t="s">
        <v>92</v>
      </c>
      <c r="G120" s="235">
        <v>10473.549999999999</v>
      </c>
      <c r="H120" s="235">
        <v>10511.24</v>
      </c>
      <c r="I120" s="247">
        <f>ABS(G120-H120)</f>
        <v>37.690000000000509</v>
      </c>
      <c r="J120" s="235">
        <v>9770.08</v>
      </c>
      <c r="K120" s="199">
        <v>44847.699305555558</v>
      </c>
      <c r="L120" s="235">
        <v>10511.24</v>
      </c>
      <c r="M120" s="248">
        <f>ROUND(IF(C120="L",(L120-G120),(G120-L120)),4)</f>
        <v>-37.69</v>
      </c>
      <c r="N120" s="249">
        <f>IFERROR(ROUND((M120/I120),2),"")</f>
        <v>-1</v>
      </c>
      <c r="O120" s="250">
        <f>IF(D120="O",IF(N120&lt;0,N120,0),0)</f>
        <v>0</v>
      </c>
      <c r="P120" s="251">
        <f>IF(N120&gt;= 0,N120,0)</f>
        <v>0</v>
      </c>
      <c r="Q120" s="251">
        <f>IF(N120&lt;0,N120,0)</f>
        <v>-1</v>
      </c>
      <c r="R1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45583</v>
      </c>
      <c r="T1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0" s="253">
        <f ca="1">IF(Tabla33610673[[#This Row],[Equity]]&lt;Tabla33610673[[#This Row],[Equity Peak]],(Tabla33610673[[#This Row],[Equity Peak]]-Tabla33610673[[#This Row],[Equity]])/Tabla33610673[[#This Row],[Equity Peak]],"")</f>
        <v>6.9712219244929523E-3</v>
      </c>
      <c r="V120" s="254">
        <f>IF(B120="FX",N120,0)</f>
        <v>0</v>
      </c>
      <c r="W120" s="254">
        <f>IF(D120="O",IF(V120&lt;0,V120,0),0)</f>
        <v>0</v>
      </c>
      <c r="X120" s="254">
        <f>IF(B120="COM",N120,0)</f>
        <v>0</v>
      </c>
      <c r="Y120" s="254">
        <f>IF(D120="O",IF(X120&lt;0,X120,0),0)</f>
        <v>0</v>
      </c>
      <c r="Z120" s="254">
        <f>IF(B120="IND",N120,0)</f>
        <v>-1</v>
      </c>
      <c r="AA120" s="250">
        <f>IF(D120="O",IF(Z120&lt;0,Z120,0),0)</f>
        <v>0</v>
      </c>
      <c r="AB120" s="254">
        <f>IF(B120="CRYPTO",N120,0)</f>
        <v>0</v>
      </c>
      <c r="AC120" s="250">
        <f>IF(D120="O",IF(AB120&lt;0,AB120,0),0)</f>
        <v>0</v>
      </c>
      <c r="AD120" s="255">
        <f>IF(K120&lt;&gt;"",K120-E120,0)</f>
        <v>4.3055555557657499E-2</v>
      </c>
      <c r="AE120" s="255">
        <f>IF(N120&gt;0,AD120,0)</f>
        <v>0</v>
      </c>
      <c r="AF120" s="255">
        <f>IF(N120&lt;0,AD120,0)</f>
        <v>4.3055555557657499E-2</v>
      </c>
      <c r="AG120" s="255">
        <f>IF(N120=0,AD120,0)</f>
        <v>0</v>
      </c>
    </row>
    <row r="121" spans="2:33" ht="15" customHeight="1" x14ac:dyDescent="0.3">
      <c r="B121" s="196" t="s">
        <v>7</v>
      </c>
      <c r="C121" s="197" t="s">
        <v>15</v>
      </c>
      <c r="D121" s="246" t="str">
        <f>IF(E121&lt;&gt;"",IF(K121&lt;&gt;"","C","O"),"")</f>
        <v>C</v>
      </c>
      <c r="E121" s="199">
        <v>44847.65625</v>
      </c>
      <c r="F121" s="200" t="s">
        <v>116</v>
      </c>
      <c r="G121" s="235">
        <v>147.43199999999999</v>
      </c>
      <c r="H121" s="235">
        <v>147.23400000000001</v>
      </c>
      <c r="I121" s="247">
        <f>ABS(G121-H121)</f>
        <v>0.19799999999997908</v>
      </c>
      <c r="J121" s="235">
        <v>149.489</v>
      </c>
      <c r="K121" s="199">
        <v>44847.680555555555</v>
      </c>
      <c r="L121" s="235">
        <v>147.303</v>
      </c>
      <c r="M121" s="248">
        <f>ROUND(IF(C121="L",(L121-G121),(G121-L121)),4)</f>
        <v>-0.129</v>
      </c>
      <c r="N121" s="249">
        <f>IFERROR(ROUND((M121/I121),2),"")</f>
        <v>-0.65</v>
      </c>
      <c r="O121" s="250">
        <f>IF(D121="O",IF(N121&lt;0,N121,0),0)</f>
        <v>0</v>
      </c>
      <c r="P121" s="251">
        <f>IF(N121&gt;= 0,N121,0)</f>
        <v>0</v>
      </c>
      <c r="Q121" s="251">
        <f>IF(N121&lt;0,N121,0)</f>
        <v>-0.65</v>
      </c>
      <c r="R1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45683</v>
      </c>
      <c r="T1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1" s="253">
        <f ca="1">IF(Tabla33610673[[#This Row],[Equity]]&lt;Tabla33610673[[#This Row],[Equity Peak]],(Tabla33610673[[#This Row],[Equity Peak]]-Tabla33610673[[#This Row],[Equity]])/Tabla33610673[[#This Row],[Equity Peak]],"")</f>
        <v>4.7927150730889051E-3</v>
      </c>
      <c r="V121" s="254">
        <f>IF(B121="FX",N121,0)</f>
        <v>-0.65</v>
      </c>
      <c r="W121" s="254">
        <f>IF(D121="O",IF(V121&lt;0,V121,0),0)</f>
        <v>0</v>
      </c>
      <c r="X121" s="254">
        <f>IF(B121="COM",N121,0)</f>
        <v>0</v>
      </c>
      <c r="Y121" s="254">
        <f>IF(D121="O",IF(X121&lt;0,X121,0),0)</f>
        <v>0</v>
      </c>
      <c r="Z121" s="254">
        <f>IF(B121="IND",N121,0)</f>
        <v>0</v>
      </c>
      <c r="AA121" s="250">
        <f>IF(D121="O",IF(Z121&lt;0,Z121,0),0)</f>
        <v>0</v>
      </c>
      <c r="AB121" s="254">
        <f>IF(B121="CRYPTO",N121,0)</f>
        <v>0</v>
      </c>
      <c r="AC121" s="250">
        <f>IF(D121="O",IF(AB121&lt;0,AB121,0),0)</f>
        <v>0</v>
      </c>
      <c r="AD121" s="255">
        <f>IF(K121&lt;&gt;"",K121-E121,0)</f>
        <v>2.4305555554747116E-2</v>
      </c>
      <c r="AE121" s="255">
        <f>IF(N121&gt;0,AD121,0)</f>
        <v>0</v>
      </c>
      <c r="AF121" s="255">
        <f>IF(N121&lt;0,AD121,0)</f>
        <v>2.4305555554747116E-2</v>
      </c>
      <c r="AG121" s="255">
        <f>IF(N121=0,AD121,0)</f>
        <v>0</v>
      </c>
    </row>
    <row r="122" spans="2:33" ht="15" customHeight="1" x14ac:dyDescent="0.3">
      <c r="B122" s="196" t="s">
        <v>7</v>
      </c>
      <c r="C122" s="197" t="s">
        <v>15</v>
      </c>
      <c r="D122" s="246" t="str">
        <f>IF(E122&lt;&gt;"",IF(K122&lt;&gt;"","C","O"),"")</f>
        <v>C</v>
      </c>
      <c r="E122" s="199">
        <v>44846.760416666664</v>
      </c>
      <c r="F122" s="200" t="s">
        <v>115</v>
      </c>
      <c r="G122" s="235">
        <v>162.75200000000001</v>
      </c>
      <c r="H122" s="235">
        <v>161.749</v>
      </c>
      <c r="I122" s="247">
        <f>ABS(G122-H122)</f>
        <v>1.0030000000000143</v>
      </c>
      <c r="J122" s="235">
        <v>165.61699999999999</v>
      </c>
      <c r="K122" s="199">
        <v>44847.612500000003</v>
      </c>
      <c r="L122" s="235">
        <v>165.61699999999999</v>
      </c>
      <c r="M122" s="248">
        <f>ROUND(IF(C122="L",(L122-G122),(G122-L122)),4)</f>
        <v>2.8650000000000002</v>
      </c>
      <c r="N122" s="249">
        <f>IFERROR(ROUND((M122/I122),2),"")</f>
        <v>2.86</v>
      </c>
      <c r="O122" s="250">
        <f>IF(D122="O",IF(N122&lt;0,N122,0),0)</f>
        <v>0</v>
      </c>
      <c r="P122" s="251">
        <f>IF(N122&gt;= 0,N122,0)</f>
        <v>2.86</v>
      </c>
      <c r="Q122" s="251">
        <f>IF(N122&lt;0,N122,0)</f>
        <v>0</v>
      </c>
      <c r="R1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45748</v>
      </c>
      <c r="T1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2" s="253">
        <f ca="1">IF(Tabla33610673[[#This Row],[Equity]]&lt;Tabla33610673[[#This Row],[Equity Peak]],(Tabla33610673[[#This Row],[Equity Peak]]-Tabla33610673[[#This Row],[Equity]])/Tabla33610673[[#This Row],[Equity Peak]],"")</f>
        <v>3.3766856196762738E-3</v>
      </c>
      <c r="V122" s="254">
        <f>IF(B122="FX",N122,0)</f>
        <v>2.86</v>
      </c>
      <c r="W122" s="254">
        <f>IF(D122="O",IF(V122&lt;0,V122,0),0)</f>
        <v>0</v>
      </c>
      <c r="X122" s="254">
        <f>IF(B122="COM",N122,0)</f>
        <v>0</v>
      </c>
      <c r="Y122" s="254">
        <f>IF(D122="O",IF(X122&lt;0,X122,0),0)</f>
        <v>0</v>
      </c>
      <c r="Z122" s="254">
        <f>IF(B122="IND",N122,0)</f>
        <v>0</v>
      </c>
      <c r="AA122" s="250">
        <f>IF(D122="O",IF(Z122&lt;0,Z122,0),0)</f>
        <v>0</v>
      </c>
      <c r="AB122" s="254">
        <f>IF(B122="CRYPTO",N122,0)</f>
        <v>0</v>
      </c>
      <c r="AC122" s="250">
        <f>IF(D122="O",IF(AB122&lt;0,AB122,0),0)</f>
        <v>0</v>
      </c>
      <c r="AD122" s="255">
        <f>IF(K122&lt;&gt;"",K122-E122,0)</f>
        <v>0.85208333333866904</v>
      </c>
      <c r="AE122" s="255">
        <f>IF(N122&gt;0,AD122,0)</f>
        <v>0.85208333333866904</v>
      </c>
      <c r="AF122" s="255">
        <f>IF(N122&lt;0,AD122,0)</f>
        <v>0</v>
      </c>
      <c r="AG122" s="255">
        <f>IF(N122=0,AD122,0)</f>
        <v>0</v>
      </c>
    </row>
    <row r="123" spans="2:33" ht="15" customHeight="1" x14ac:dyDescent="0.3">
      <c r="B123" s="196" t="s">
        <v>7</v>
      </c>
      <c r="C123" s="197" t="s">
        <v>15</v>
      </c>
      <c r="D123" s="246" t="str">
        <f>IF(E123&lt;&gt;"",IF(K123&lt;&gt;"","C","O"),"")</f>
        <v>C</v>
      </c>
      <c r="E123" s="199">
        <v>44845.927083333336</v>
      </c>
      <c r="F123" s="200" t="s">
        <v>116</v>
      </c>
      <c r="G123" s="235">
        <v>145.87</v>
      </c>
      <c r="H123" s="235">
        <v>145.678</v>
      </c>
      <c r="I123" s="247">
        <f>ABS(G123-H123)</f>
        <v>0.19200000000000728</v>
      </c>
      <c r="J123" s="235">
        <v>147.86600000000001</v>
      </c>
      <c r="K123" s="199">
        <v>44846.294444444444</v>
      </c>
      <c r="L123" s="235">
        <v>146.04</v>
      </c>
      <c r="M123" s="248">
        <f>ROUND(IF(C123="L",(L123-G123),(G123-L123)),4)</f>
        <v>0.17</v>
      </c>
      <c r="N123" s="249">
        <f>IFERROR(ROUND((M123/I123),2),"")</f>
        <v>0.89</v>
      </c>
      <c r="O123" s="250">
        <f>IF(D123="O",IF(N123&lt;0,N123,0),0)</f>
        <v>0</v>
      </c>
      <c r="P123" s="251">
        <f>IF(N123&gt;= 0,N123,0)</f>
        <v>0.89</v>
      </c>
      <c r="Q123" s="251">
        <f>IF(N123&lt;0,N123,0)</f>
        <v>0</v>
      </c>
      <c r="R1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45462</v>
      </c>
      <c r="T1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3" s="253">
        <f ca="1">IF(Tabla33610673[[#This Row],[Equity]]&lt;Tabla33610673[[#This Row],[Equity Peak]],(Tabla33610673[[#This Row],[Equity Peak]]-Tabla33610673[[#This Row],[Equity]])/Tabla33610673[[#This Row],[Equity Peak]],"")</f>
        <v>9.6072152146918499E-3</v>
      </c>
      <c r="V123" s="254">
        <f>IF(B123="FX",N123,0)</f>
        <v>0.89</v>
      </c>
      <c r="W123" s="254">
        <f>IF(D123="O",IF(V123&lt;0,V123,0),0)</f>
        <v>0</v>
      </c>
      <c r="X123" s="254">
        <f>IF(B123="COM",N123,0)</f>
        <v>0</v>
      </c>
      <c r="Y123" s="254">
        <f>IF(D123="O",IF(X123&lt;0,X123,0),0)</f>
        <v>0</v>
      </c>
      <c r="Z123" s="254">
        <f>IF(B123="IND",N123,0)</f>
        <v>0</v>
      </c>
      <c r="AA123" s="250">
        <f>IF(D123="O",IF(Z123&lt;0,Z123,0),0)</f>
        <v>0</v>
      </c>
      <c r="AB123" s="254">
        <f>IF(B123="CRYPTO",N123,0)</f>
        <v>0</v>
      </c>
      <c r="AC123" s="250">
        <f>IF(D123="O",IF(AB123&lt;0,AB123,0),0)</f>
        <v>0</v>
      </c>
      <c r="AD123" s="255">
        <f>IF(K123&lt;&gt;"",K123-E123,0)</f>
        <v>0.36736111110803904</v>
      </c>
      <c r="AE123" s="255">
        <f>IF(N123&gt;0,AD123,0)</f>
        <v>0.36736111110803904</v>
      </c>
      <c r="AF123" s="255">
        <f>IF(N123&lt;0,AD123,0)</f>
        <v>0</v>
      </c>
      <c r="AG123" s="255">
        <f>IF(N123=0,AD123,0)</f>
        <v>0</v>
      </c>
    </row>
    <row r="124" spans="2:33" ht="15" customHeight="1" x14ac:dyDescent="0.3">
      <c r="B124" s="196" t="s">
        <v>7</v>
      </c>
      <c r="C124" s="197" t="s">
        <v>13</v>
      </c>
      <c r="D124" s="246" t="str">
        <f>IF(E124&lt;&gt;"",IF(K124&lt;&gt;"","C","O"),"")</f>
        <v>C</v>
      </c>
      <c r="E124" s="199">
        <v>44845.96875</v>
      </c>
      <c r="F124" s="200" t="s">
        <v>115</v>
      </c>
      <c r="G124" s="235">
        <v>159.773</v>
      </c>
      <c r="H124" s="235">
        <v>160.58199999999999</v>
      </c>
      <c r="I124" s="247">
        <f>ABS(G124-H124)</f>
        <v>0.8089999999999975</v>
      </c>
      <c r="J124" s="235">
        <v>157.46299999999999</v>
      </c>
      <c r="K124" s="199">
        <v>44846.293749999997</v>
      </c>
      <c r="L124" s="235">
        <v>160.58199999999999</v>
      </c>
      <c r="M124" s="248">
        <f>ROUND(IF(C124="L",(L124-G124),(G124-L124)),4)</f>
        <v>-0.80900000000000005</v>
      </c>
      <c r="N124" s="249">
        <f>IFERROR(ROUND((M124/I124),2),"")</f>
        <v>-1</v>
      </c>
      <c r="O124" s="250">
        <f>IF(D124="O",IF(N124&lt;0,N124,0),0)</f>
        <v>0</v>
      </c>
      <c r="P124" s="251">
        <f>IF(N124&gt;= 0,N124,0)</f>
        <v>0</v>
      </c>
      <c r="Q124" s="251">
        <f>IF(N124&lt;0,N124,0)</f>
        <v>-1</v>
      </c>
      <c r="R1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45373</v>
      </c>
      <c r="T1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4" s="253">
        <f ca="1">IF(Tabla33610673[[#This Row],[Equity]]&lt;Tabla33610673[[#This Row],[Equity Peak]],(Tabla33610673[[#This Row],[Equity Peak]]-Tabla33610673[[#This Row],[Equity]])/Tabla33610673[[#This Row],[Equity Peak]],"")</f>
        <v>1.1546086312441453E-2</v>
      </c>
      <c r="V124" s="254">
        <f>IF(B124="FX",N124,0)</f>
        <v>-1</v>
      </c>
      <c r="W124" s="254">
        <f>IF(D124="O",IF(V124&lt;0,V124,0),0)</f>
        <v>0</v>
      </c>
      <c r="X124" s="254">
        <f>IF(B124="COM",N124,0)</f>
        <v>0</v>
      </c>
      <c r="Y124" s="254">
        <f>IF(D124="O",IF(X124&lt;0,X124,0),0)</f>
        <v>0</v>
      </c>
      <c r="Z124" s="254">
        <f>IF(B124="IND",N124,0)</f>
        <v>0</v>
      </c>
      <c r="AA124" s="250">
        <f>IF(D124="O",IF(Z124&lt;0,Z124,0),0)</f>
        <v>0</v>
      </c>
      <c r="AB124" s="254">
        <f>IF(B124="CRYPTO",N124,0)</f>
        <v>0</v>
      </c>
      <c r="AC124" s="250">
        <f>IF(D124="O",IF(AB124&lt;0,AB124,0),0)</f>
        <v>0</v>
      </c>
      <c r="AD124" s="255">
        <f>IF(K124&lt;&gt;"",K124-E124,0)</f>
        <v>0.32499999999708962</v>
      </c>
      <c r="AE124" s="255">
        <f>IF(N124&gt;0,AD124,0)</f>
        <v>0</v>
      </c>
      <c r="AF124" s="255">
        <f>IF(N124&lt;0,AD124,0)</f>
        <v>0.32499999999708962</v>
      </c>
      <c r="AG124" s="255">
        <f>IF(N124=0,AD124,0)</f>
        <v>0</v>
      </c>
    </row>
    <row r="125" spans="2:33" ht="15" customHeight="1" x14ac:dyDescent="0.3">
      <c r="B125" s="196" t="s">
        <v>7</v>
      </c>
      <c r="C125" s="197" t="s">
        <v>15</v>
      </c>
      <c r="D125" s="246" t="str">
        <f>IF(E125&lt;&gt;"",IF(K125&lt;&gt;"","C","O"),"")</f>
        <v>C</v>
      </c>
      <c r="E125" s="199">
        <v>44845.645833333336</v>
      </c>
      <c r="F125" s="200" t="s">
        <v>115</v>
      </c>
      <c r="G125" s="235">
        <v>161.67699999999999</v>
      </c>
      <c r="H125" s="235">
        <v>160.97200000000001</v>
      </c>
      <c r="I125" s="247">
        <f>ABS(G125-H125)</f>
        <v>0.70499999999998408</v>
      </c>
      <c r="J125" s="235">
        <v>163.691</v>
      </c>
      <c r="K125" s="199">
        <v>44845.90625</v>
      </c>
      <c r="L125" s="235">
        <v>161.667</v>
      </c>
      <c r="M125" s="248">
        <f>ROUND(IF(C125="L",(L125-G125),(G125-L125)),4)</f>
        <v>-0.01</v>
      </c>
      <c r="N125" s="249">
        <f>IFERROR(ROUND((M125/I125),2),"")</f>
        <v>-0.01</v>
      </c>
      <c r="O125" s="250">
        <f>IF(D125="O",IF(N125&lt;0,N125,0),0)</f>
        <v>0</v>
      </c>
      <c r="P125" s="251">
        <f>IF(N125&gt;= 0,N125,0)</f>
        <v>0</v>
      </c>
      <c r="Q125" s="251">
        <f>IF(N125&lt;0,N125,0)</f>
        <v>-0.01</v>
      </c>
      <c r="R1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45473</v>
      </c>
      <c r="T1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5" s="253">
        <f ca="1">IF(Tabla33610673[[#This Row],[Equity]]&lt;Tabla33610673[[#This Row],[Equity Peak]],(Tabla33610673[[#This Row],[Equity Peak]]-Tabla33610673[[#This Row],[Equity]])/Tabla33610673[[#This Row],[Equity Peak]],"")</f>
        <v>9.3675794610374053E-3</v>
      </c>
      <c r="V125" s="254">
        <f>IF(B125="FX",N125,0)</f>
        <v>-0.01</v>
      </c>
      <c r="W125" s="254">
        <f>IF(D125="O",IF(V125&lt;0,V125,0),0)</f>
        <v>0</v>
      </c>
      <c r="X125" s="254">
        <f>IF(B125="COM",N125,0)</f>
        <v>0</v>
      </c>
      <c r="Y125" s="254">
        <f>IF(D125="O",IF(X125&lt;0,X125,0),0)</f>
        <v>0</v>
      </c>
      <c r="Z125" s="254">
        <f>IF(B125="IND",N125,0)</f>
        <v>0</v>
      </c>
      <c r="AA125" s="250">
        <f>IF(D125="O",IF(Z125&lt;0,Z125,0),0)</f>
        <v>0</v>
      </c>
      <c r="AB125" s="254">
        <f>IF(B125="CRYPTO",N125,0)</f>
        <v>0</v>
      </c>
      <c r="AC125" s="250">
        <f>IF(D125="O",IF(AB125&lt;0,AB125,0),0)</f>
        <v>0</v>
      </c>
      <c r="AD125" s="255">
        <f>IF(K125&lt;&gt;"",K125-E125,0)</f>
        <v>0.26041666666424135</v>
      </c>
      <c r="AE125" s="255">
        <f>IF(N125&gt;0,AD125,0)</f>
        <v>0</v>
      </c>
      <c r="AF125" s="255">
        <f>IF(N125&lt;0,AD125,0)</f>
        <v>0.26041666666424135</v>
      </c>
      <c r="AG125" s="255">
        <f>IF(N125=0,AD125,0)</f>
        <v>0</v>
      </c>
    </row>
    <row r="126" spans="2:33" ht="15" customHeight="1" x14ac:dyDescent="0.3">
      <c r="B126" s="196" t="s">
        <v>5</v>
      </c>
      <c r="C126" s="197" t="s">
        <v>13</v>
      </c>
      <c r="D126" s="246" t="str">
        <f>IF(E126&lt;&gt;"",IF(K126&lt;&gt;"","C","O"),"")</f>
        <v>C</v>
      </c>
      <c r="E126" s="199">
        <v>44845.708333333336</v>
      </c>
      <c r="F126" s="200" t="s">
        <v>92</v>
      </c>
      <c r="G126" s="235">
        <v>10762.04</v>
      </c>
      <c r="H126" s="235">
        <v>10805.88</v>
      </c>
      <c r="I126" s="247">
        <f>ABS(G126-H126)</f>
        <v>43.839999999998327</v>
      </c>
      <c r="J126" s="235">
        <v>9943.74</v>
      </c>
      <c r="K126" s="199">
        <v>44845.73541666667</v>
      </c>
      <c r="L126" s="235">
        <v>10805.88</v>
      </c>
      <c r="M126" s="248">
        <f>ROUND(IF(C126="L",(L126-G126),(G126-L126)),4)</f>
        <v>-43.84</v>
      </c>
      <c r="N126" s="249">
        <f>IFERROR(ROUND((M126/I126),2),"")</f>
        <v>-1</v>
      </c>
      <c r="O126" s="250">
        <f>IF(D126="O",IF(N126&lt;0,N126,0),0)</f>
        <v>0</v>
      </c>
      <c r="P126" s="251">
        <f>IF(N126&gt;= 0,N126,0)</f>
        <v>0</v>
      </c>
      <c r="Q126" s="251">
        <f>IF(N126&lt;0,N126,0)</f>
        <v>-1</v>
      </c>
      <c r="R1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45474</v>
      </c>
      <c r="T1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6" s="253">
        <f ca="1">IF(Tabla33610673[[#This Row],[Equity]]&lt;Tabla33610673[[#This Row],[Equity Peak]],(Tabla33610673[[#This Row],[Equity Peak]]-Tabla33610673[[#This Row],[Equity]])/Tabla33610673[[#This Row],[Equity Peak]],"")</f>
        <v>9.3457943925233638E-3</v>
      </c>
      <c r="V126" s="254">
        <f>IF(B126="FX",N126,0)</f>
        <v>0</v>
      </c>
      <c r="W126" s="254">
        <f>IF(D126="O",IF(V126&lt;0,V126,0),0)</f>
        <v>0</v>
      </c>
      <c r="X126" s="254">
        <f>IF(B126="COM",N126,0)</f>
        <v>0</v>
      </c>
      <c r="Y126" s="254">
        <f>IF(D126="O",IF(X126&lt;0,X126,0),0)</f>
        <v>0</v>
      </c>
      <c r="Z126" s="254">
        <f>IF(B126="IND",N126,0)</f>
        <v>-1</v>
      </c>
      <c r="AA126" s="250">
        <f>IF(D126="O",IF(Z126&lt;0,Z126,0),0)</f>
        <v>0</v>
      </c>
      <c r="AB126" s="254">
        <f>IF(B126="CRYPTO",N126,0)</f>
        <v>0</v>
      </c>
      <c r="AC126" s="250">
        <f>IF(D126="O",IF(AB126&lt;0,AB126,0),0)</f>
        <v>0</v>
      </c>
      <c r="AD126" s="255">
        <f>IF(K126&lt;&gt;"",K126-E126,0)</f>
        <v>2.7083333334303461E-2</v>
      </c>
      <c r="AE126" s="255">
        <f>IF(N126&gt;0,AD126,0)</f>
        <v>0</v>
      </c>
      <c r="AF126" s="255">
        <f>IF(N126&lt;0,AD126,0)</f>
        <v>2.7083333334303461E-2</v>
      </c>
      <c r="AG126" s="255">
        <f>IF(N126=0,AD126,0)</f>
        <v>0</v>
      </c>
    </row>
    <row r="127" spans="2:33" ht="15" customHeight="1" x14ac:dyDescent="0.3">
      <c r="B127" s="196" t="s">
        <v>5</v>
      </c>
      <c r="C127" s="197" t="s">
        <v>13</v>
      </c>
      <c r="D127" s="246" t="str">
        <f>IF(E127&lt;&gt;"",IF(K127&lt;&gt;"","C","O"),"")</f>
        <v>C</v>
      </c>
      <c r="E127" s="199">
        <v>44845.708333333336</v>
      </c>
      <c r="F127" s="200" t="s">
        <v>93</v>
      </c>
      <c r="G127" s="235">
        <v>10762.04</v>
      </c>
      <c r="H127" s="235">
        <v>10808.38</v>
      </c>
      <c r="I127" s="247">
        <f>ABS(G127-H127)</f>
        <v>46.339999999998327</v>
      </c>
      <c r="J127" s="235">
        <v>10267.75</v>
      </c>
      <c r="K127" s="199">
        <v>44845.73541666667</v>
      </c>
      <c r="L127" s="235">
        <v>10808.38</v>
      </c>
      <c r="M127" s="248">
        <f>ROUND(IF(C127="L",(L127-G127),(G127-L127)),4)</f>
        <v>-46.34</v>
      </c>
      <c r="N127" s="249">
        <f>IFERROR(ROUND((M127/I127),2),"")</f>
        <v>-1</v>
      </c>
      <c r="O127" s="250">
        <f>IF(D127="O",IF(N127&lt;0,N127,0),0)</f>
        <v>0</v>
      </c>
      <c r="P127" s="251">
        <f>IF(N127&gt;= 0,N127,0)</f>
        <v>0</v>
      </c>
      <c r="Q127" s="251">
        <f>IF(N127&lt;0,N127,0)</f>
        <v>-1</v>
      </c>
      <c r="R1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45574</v>
      </c>
      <c r="T1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7" s="253">
        <f ca="1">IF(Tabla33610673[[#This Row],[Equity]]&lt;Tabla33610673[[#This Row],[Equity Peak]],(Tabla33610673[[#This Row],[Equity Peak]]-Tabla33610673[[#This Row],[Equity]])/Tabla33610673[[#This Row],[Equity Peak]],"")</f>
        <v>7.1672875411193165E-3</v>
      </c>
      <c r="V127" s="254">
        <f>IF(B127="FX",N127,0)</f>
        <v>0</v>
      </c>
      <c r="W127" s="254">
        <f>IF(D127="O",IF(V127&lt;0,V127,0),0)</f>
        <v>0</v>
      </c>
      <c r="X127" s="254">
        <f>IF(B127="COM",N127,0)</f>
        <v>0</v>
      </c>
      <c r="Y127" s="254">
        <f>IF(D127="O",IF(X127&lt;0,X127,0),0)</f>
        <v>0</v>
      </c>
      <c r="Z127" s="254">
        <f>IF(B127="IND",N127,0)</f>
        <v>-1</v>
      </c>
      <c r="AA127" s="250">
        <f>IF(D127="O",IF(Z127&lt;0,Z127,0),0)</f>
        <v>0</v>
      </c>
      <c r="AB127" s="254">
        <f>IF(B127="CRYPTO",N127,0)</f>
        <v>0</v>
      </c>
      <c r="AC127" s="250">
        <f>IF(D127="O",IF(AB127&lt;0,AB127,0),0)</f>
        <v>0</v>
      </c>
      <c r="AD127" s="255">
        <f>IF(K127&lt;&gt;"",K127-E127,0)</f>
        <v>2.7083333334303461E-2</v>
      </c>
      <c r="AE127" s="255">
        <f>IF(N127&gt;0,AD127,0)</f>
        <v>0</v>
      </c>
      <c r="AF127" s="255">
        <f>IF(N127&lt;0,AD127,0)</f>
        <v>2.7083333334303461E-2</v>
      </c>
      <c r="AG127" s="255">
        <f>IF(N127=0,AD127,0)</f>
        <v>0</v>
      </c>
    </row>
    <row r="128" spans="2:33" ht="15" customHeight="1" x14ac:dyDescent="0.3">
      <c r="B128" s="196" t="s">
        <v>7</v>
      </c>
      <c r="C128" s="197" t="s">
        <v>13</v>
      </c>
      <c r="D128" s="246" t="str">
        <f>IF(E128&lt;&gt;"",IF(K128&lt;&gt;"","C","O"),"")</f>
        <v>C</v>
      </c>
      <c r="E128" s="199">
        <v>44845.302083333336</v>
      </c>
      <c r="F128" s="200" t="s">
        <v>114</v>
      </c>
      <c r="G128" s="235">
        <v>0.96794000000000002</v>
      </c>
      <c r="H128" s="235">
        <v>0.96957000000000004</v>
      </c>
      <c r="I128" s="247">
        <f>ABS(G128-H128)</f>
        <v>1.6300000000000203E-3</v>
      </c>
      <c r="J128" s="235">
        <v>0.95323000000000002</v>
      </c>
      <c r="K128" s="199">
        <v>44845.396527777775</v>
      </c>
      <c r="L128" s="235">
        <v>0.96957000000000004</v>
      </c>
      <c r="M128" s="248">
        <f>ROUND(IF(C128="L",(L128-G128),(G128-L128)),4)</f>
        <v>-1.6000000000000001E-3</v>
      </c>
      <c r="N128" s="249">
        <f>IFERROR(ROUND((M128/I128),2),"")</f>
        <v>-0.98</v>
      </c>
      <c r="O128" s="250">
        <f>IF(D128="O",IF(N128&lt;0,N128,0),0)</f>
        <v>0</v>
      </c>
      <c r="P128" s="251">
        <f>IF(N128&gt;= 0,N128,0)</f>
        <v>0</v>
      </c>
      <c r="Q128" s="251">
        <f>IF(N128&lt;0,N128,0)</f>
        <v>-0.98</v>
      </c>
      <c r="R1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45674</v>
      </c>
      <c r="T1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8" s="253">
        <f ca="1">IF(Tabla33610673[[#This Row],[Equity]]&lt;Tabla33610673[[#This Row],[Equity Peak]],(Tabla33610673[[#This Row],[Equity Peak]]-Tabla33610673[[#This Row],[Equity]])/Tabla33610673[[#This Row],[Equity Peak]],"")</f>
        <v>4.9887806897152692E-3</v>
      </c>
      <c r="V128" s="254">
        <f>IF(B128="FX",N128,0)</f>
        <v>-0.98</v>
      </c>
      <c r="W128" s="254">
        <f>IF(D128="O",IF(V128&lt;0,V128,0),0)</f>
        <v>0</v>
      </c>
      <c r="X128" s="254">
        <f>IF(B128="COM",N128,0)</f>
        <v>0</v>
      </c>
      <c r="Y128" s="254">
        <f>IF(D128="O",IF(X128&lt;0,X128,0),0)</f>
        <v>0</v>
      </c>
      <c r="Z128" s="254">
        <f>IF(B128="IND",N128,0)</f>
        <v>0</v>
      </c>
      <c r="AA128" s="250">
        <f>IF(D128="O",IF(Z128&lt;0,Z128,0),0)</f>
        <v>0</v>
      </c>
      <c r="AB128" s="254">
        <f>IF(B128="CRYPTO",N128,0)</f>
        <v>0</v>
      </c>
      <c r="AC128" s="250">
        <f>IF(D128="O",IF(AB128&lt;0,AB128,0),0)</f>
        <v>0</v>
      </c>
      <c r="AD128" s="255">
        <f>IF(K128&lt;&gt;"",K128-E128,0)</f>
        <v>9.4444444439432118E-2</v>
      </c>
      <c r="AE128" s="255">
        <f>IF(N128&gt;0,AD128,0)</f>
        <v>0</v>
      </c>
      <c r="AF128" s="255">
        <f>IF(N128&lt;0,AD128,0)</f>
        <v>9.4444444439432118E-2</v>
      </c>
      <c r="AG128" s="255">
        <f>IF(N128=0,AD128,0)</f>
        <v>0</v>
      </c>
    </row>
    <row r="129" spans="2:33" ht="15" customHeight="1" x14ac:dyDescent="0.3">
      <c r="B129" s="196" t="s">
        <v>7</v>
      </c>
      <c r="C129" s="197" t="s">
        <v>15</v>
      </c>
      <c r="D129" s="246" t="str">
        <f>IF(E129&lt;&gt;"",IF(K129&lt;&gt;"","C","O"),"")</f>
        <v>C</v>
      </c>
      <c r="E129" s="199">
        <v>44844.739583333336</v>
      </c>
      <c r="F129" s="200" t="s">
        <v>116</v>
      </c>
      <c r="G129" s="235">
        <v>145.74</v>
      </c>
      <c r="H129" s="235">
        <v>145.523</v>
      </c>
      <c r="I129" s="247">
        <f>ABS(G129-H129)</f>
        <v>0.21700000000001296</v>
      </c>
      <c r="J129" s="235">
        <v>147.994</v>
      </c>
      <c r="K129" s="199">
        <v>44845.145138888889</v>
      </c>
      <c r="L129" s="235">
        <v>145.57300000000001</v>
      </c>
      <c r="M129" s="248">
        <f>ROUND(IF(C129="L",(L129-G129),(G129-L129)),4)</f>
        <v>-0.16700000000000001</v>
      </c>
      <c r="N129" s="249">
        <f>IFERROR(ROUND((M129/I129),2),"")</f>
        <v>-0.77</v>
      </c>
      <c r="O129" s="250">
        <f>IF(D129="O",IF(N129&lt;0,N129,0),0)</f>
        <v>0</v>
      </c>
      <c r="P129" s="251">
        <f>IF(N129&gt;= 0,N129,0)</f>
        <v>0</v>
      </c>
      <c r="Q129" s="251">
        <f>IF(N129&lt;0,N129,0)</f>
        <v>-0.77</v>
      </c>
      <c r="R1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45772</v>
      </c>
      <c r="T1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29" s="253">
        <f ca="1">IF(Tabla33610673[[#This Row],[Equity]]&lt;Tabla33610673[[#This Row],[Equity Peak]],(Tabla33610673[[#This Row],[Equity Peak]]-Tabla33610673[[#This Row],[Equity]])/Tabla33610673[[#This Row],[Equity Peak]],"")</f>
        <v>2.8538439753393024E-3</v>
      </c>
      <c r="V129" s="254">
        <f>IF(B129="FX",N129,0)</f>
        <v>-0.77</v>
      </c>
      <c r="W129" s="254">
        <f>IF(D129="O",IF(V129&lt;0,V129,0),0)</f>
        <v>0</v>
      </c>
      <c r="X129" s="254">
        <f>IF(B129="COM",N129,0)</f>
        <v>0</v>
      </c>
      <c r="Y129" s="254">
        <f>IF(D129="O",IF(X129&lt;0,X129,0),0)</f>
        <v>0</v>
      </c>
      <c r="Z129" s="254">
        <f>IF(B129="IND",N129,0)</f>
        <v>0</v>
      </c>
      <c r="AA129" s="250">
        <f>IF(D129="O",IF(Z129&lt;0,Z129,0),0)</f>
        <v>0</v>
      </c>
      <c r="AB129" s="254">
        <f>IF(B129="CRYPTO",N129,0)</f>
        <v>0</v>
      </c>
      <c r="AC129" s="250">
        <f>IF(D129="O",IF(AB129&lt;0,AB129,0),0)</f>
        <v>0</v>
      </c>
      <c r="AD129" s="255">
        <f>IF(K129&lt;&gt;"",K129-E129,0)</f>
        <v>0.40555555555329192</v>
      </c>
      <c r="AE129" s="255">
        <f>IF(N129&gt;0,AD129,0)</f>
        <v>0</v>
      </c>
      <c r="AF129" s="255">
        <f>IF(N129&lt;0,AD129,0)</f>
        <v>0.40555555555329192</v>
      </c>
      <c r="AG129" s="255">
        <f>IF(N129=0,AD129,0)</f>
        <v>0</v>
      </c>
    </row>
    <row r="130" spans="2:33" ht="15" customHeight="1" x14ac:dyDescent="0.3">
      <c r="B130" s="196" t="s">
        <v>7</v>
      </c>
      <c r="C130" s="197" t="s">
        <v>13</v>
      </c>
      <c r="D130" s="246" t="str">
        <f>IF(E130&lt;&gt;"",IF(K130&lt;&gt;"","C","O"),"")</f>
        <v>C</v>
      </c>
      <c r="E130" s="199">
        <v>44841.90625</v>
      </c>
      <c r="F130" s="200" t="s">
        <v>115</v>
      </c>
      <c r="G130" s="235">
        <v>161.029</v>
      </c>
      <c r="H130" s="235">
        <v>161.85</v>
      </c>
      <c r="I130" s="247">
        <f>ABS(G130-H130)</f>
        <v>0.82099999999999795</v>
      </c>
      <c r="J130" s="235">
        <v>158.68199999999999</v>
      </c>
      <c r="K130" s="199">
        <v>44845.140972222223</v>
      </c>
      <c r="L130" s="235">
        <v>161.476</v>
      </c>
      <c r="M130" s="248">
        <f>ROUND(IF(C130="L",(L130-G130),(G130-L130)),4)</f>
        <v>-0.44700000000000001</v>
      </c>
      <c r="N130" s="249">
        <f>IFERROR(ROUND((M130/I130),2),"")</f>
        <v>-0.54</v>
      </c>
      <c r="O130" s="250">
        <f>IF(D130="O",IF(N130&lt;0,N130,0),0)</f>
        <v>0</v>
      </c>
      <c r="P130" s="251">
        <f>IF(N130&gt;= 0,N130,0)</f>
        <v>0</v>
      </c>
      <c r="Q130" s="251">
        <f>IF(N130&lt;0,N130,0)</f>
        <v>-0.54</v>
      </c>
      <c r="R1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45849</v>
      </c>
      <c r="T1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30" s="253">
        <f ca="1">IF(Tabla33610673[[#This Row],[Equity]]&lt;Tabla33610673[[#This Row],[Equity Peak]],(Tabla33610673[[#This Row],[Equity Peak]]-Tabla33610673[[#This Row],[Equity]])/Tabla33610673[[#This Row],[Equity Peak]],"")</f>
        <v>1.1763936997581858E-3</v>
      </c>
      <c r="V130" s="254">
        <f>IF(B130="FX",N130,0)</f>
        <v>-0.54</v>
      </c>
      <c r="W130" s="254">
        <f>IF(D130="O",IF(V130&lt;0,V130,0),0)</f>
        <v>0</v>
      </c>
      <c r="X130" s="254">
        <f>IF(B130="COM",N130,0)</f>
        <v>0</v>
      </c>
      <c r="Y130" s="254">
        <f>IF(D130="O",IF(X130&lt;0,X130,0),0)</f>
        <v>0</v>
      </c>
      <c r="Z130" s="254">
        <f>IF(B130="IND",N130,0)</f>
        <v>0</v>
      </c>
      <c r="AA130" s="250">
        <f>IF(D130="O",IF(Z130&lt;0,Z130,0),0)</f>
        <v>0</v>
      </c>
      <c r="AB130" s="254">
        <f>IF(B130="CRYPTO",N130,0)</f>
        <v>0</v>
      </c>
      <c r="AC130" s="250">
        <f>IF(D130="O",IF(AB130&lt;0,AB130,0),0)</f>
        <v>0</v>
      </c>
      <c r="AD130" s="255">
        <f>IF(K130&lt;&gt;"",K130-E130,0)</f>
        <v>3.234722222223354</v>
      </c>
      <c r="AE130" s="255">
        <f>IF(N130&gt;0,AD130,0)</f>
        <v>0</v>
      </c>
      <c r="AF130" s="255">
        <f>IF(N130&lt;0,AD130,0)</f>
        <v>3.234722222223354</v>
      </c>
      <c r="AG130" s="255">
        <f>IF(N130=0,AD130,0)</f>
        <v>0</v>
      </c>
    </row>
    <row r="131" spans="2:33" ht="15" customHeight="1" x14ac:dyDescent="0.3">
      <c r="B131" s="196" t="s">
        <v>5</v>
      </c>
      <c r="C131" s="197" t="s">
        <v>13</v>
      </c>
      <c r="D131" s="246" t="str">
        <f>IF(E131&lt;&gt;"",IF(K131&lt;&gt;"","C","O"),"")</f>
        <v>C</v>
      </c>
      <c r="E131" s="199">
        <v>44841.65625</v>
      </c>
      <c r="F131" s="200" t="s">
        <v>92</v>
      </c>
      <c r="G131" s="235">
        <v>11293.9</v>
      </c>
      <c r="H131" s="235">
        <v>11332.2</v>
      </c>
      <c r="I131" s="247">
        <f>ABS(G131-H131)</f>
        <v>38.300000000001091</v>
      </c>
      <c r="J131" s="235">
        <v>10578.94</v>
      </c>
      <c r="K131" s="199">
        <v>44844.869444444441</v>
      </c>
      <c r="L131" s="235">
        <v>10988.48</v>
      </c>
      <c r="M131" s="248">
        <f>ROUND(IF(C131="L",(L131-G131),(G131-L131)),4)</f>
        <v>305.42</v>
      </c>
      <c r="N131" s="249">
        <f>IFERROR(ROUND((M131/I131),2),"")</f>
        <v>7.97</v>
      </c>
      <c r="O131" s="250">
        <f>IF(D131="O",IF(N131&lt;0,N131,0),0)</f>
        <v>0</v>
      </c>
      <c r="P131" s="251">
        <f>IF(N131&gt;= 0,N131,0)</f>
        <v>7.97</v>
      </c>
      <c r="Q131" s="251">
        <f>IF(N131&lt;0,N131,0)</f>
        <v>0</v>
      </c>
      <c r="R1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45903</v>
      </c>
      <c r="T1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45903</v>
      </c>
      <c r="U13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131" s="254">
        <f>IF(B131="FX",N131,0)</f>
        <v>0</v>
      </c>
      <c r="W131" s="254">
        <f>IF(D131="O",IF(V131&lt;0,V131,0),0)</f>
        <v>0</v>
      </c>
      <c r="X131" s="254">
        <f>IF(B131="COM",N131,0)</f>
        <v>0</v>
      </c>
      <c r="Y131" s="254">
        <f>IF(D131="O",IF(X131&lt;0,X131,0),0)</f>
        <v>0</v>
      </c>
      <c r="Z131" s="254">
        <f>IF(B131="IND",N131,0)</f>
        <v>7.97</v>
      </c>
      <c r="AA131" s="250">
        <f>IF(D131="O",IF(Z131&lt;0,Z131,0),0)</f>
        <v>0</v>
      </c>
      <c r="AB131" s="254">
        <f>IF(B131="CRYPTO",N131,0)</f>
        <v>0</v>
      </c>
      <c r="AC131" s="250">
        <f>IF(D131="O",IF(AB131&lt;0,AB131,0),0)</f>
        <v>0</v>
      </c>
      <c r="AD131" s="255">
        <f>IF(K131&lt;&gt;"",K131-E131,0)</f>
        <v>3.2131944444408873</v>
      </c>
      <c r="AE131" s="255">
        <f>IF(N131&gt;0,AD131,0)</f>
        <v>3.2131944444408873</v>
      </c>
      <c r="AF131" s="255">
        <f>IF(N131&lt;0,AD131,0)</f>
        <v>0</v>
      </c>
      <c r="AG131" s="255">
        <f>IF(N131=0,AD131,0)</f>
        <v>0</v>
      </c>
    </row>
    <row r="132" spans="2:33" ht="15" customHeight="1" x14ac:dyDescent="0.3">
      <c r="B132" s="196" t="s">
        <v>5</v>
      </c>
      <c r="C132" s="197" t="s">
        <v>13</v>
      </c>
      <c r="D132" s="246" t="str">
        <f>IF(E132&lt;&gt;"",IF(K132&lt;&gt;"","C","O"),"")</f>
        <v>C</v>
      </c>
      <c r="E132" s="199">
        <v>44844.8125</v>
      </c>
      <c r="F132" s="200" t="s">
        <v>93</v>
      </c>
      <c r="G132" s="235">
        <v>10857.63</v>
      </c>
      <c r="H132" s="235">
        <v>10902.07</v>
      </c>
      <c r="I132" s="247">
        <f>ABS(G132-H132)</f>
        <v>44.440000000000509</v>
      </c>
      <c r="J132" s="235">
        <v>10383.620000000001</v>
      </c>
      <c r="K132" s="199">
        <v>44844.856249999997</v>
      </c>
      <c r="L132" s="235">
        <v>10902.07</v>
      </c>
      <c r="M132" s="248">
        <f>ROUND(IF(C132="L",(L132-G132),(G132-L132)),4)</f>
        <v>-44.44</v>
      </c>
      <c r="N132" s="249">
        <f>IFERROR(ROUND((M132/I132),2),"")</f>
        <v>-1</v>
      </c>
      <c r="O132" s="250">
        <f>IF(D132="O",IF(N132&lt;0,N132,0),0)</f>
        <v>0</v>
      </c>
      <c r="P132" s="251">
        <f>IF(N132&gt;= 0,N132,0)</f>
        <v>0</v>
      </c>
      <c r="Q132" s="251">
        <f>IF(N132&lt;0,N132,0)</f>
        <v>-1</v>
      </c>
      <c r="R1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45106</v>
      </c>
      <c r="T1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2" s="253">
        <f ca="1">IF(Tabla33610673[[#This Row],[Equity]]&lt;Tabla33610673[[#This Row],[Equity Peak]],(Tabla33610673[[#This Row],[Equity Peak]]-Tabla33610673[[#This Row],[Equity]])/Tabla33610673[[#This Row],[Equity Peak]],"")</f>
        <v>7.0225646670335718E-3</v>
      </c>
      <c r="V132" s="254">
        <f>IF(B132="FX",N132,0)</f>
        <v>0</v>
      </c>
      <c r="W132" s="254">
        <f>IF(D132="O",IF(V132&lt;0,V132,0),0)</f>
        <v>0</v>
      </c>
      <c r="X132" s="254">
        <f>IF(B132="COM",N132,0)</f>
        <v>0</v>
      </c>
      <c r="Y132" s="254">
        <f>IF(D132="O",IF(X132&lt;0,X132,0),0)</f>
        <v>0</v>
      </c>
      <c r="Z132" s="254">
        <f>IF(B132="IND",N132,0)</f>
        <v>-1</v>
      </c>
      <c r="AA132" s="250">
        <f>IF(D132="O",IF(Z132&lt;0,Z132,0),0)</f>
        <v>0</v>
      </c>
      <c r="AB132" s="254">
        <f>IF(B132="CRYPTO",N132,0)</f>
        <v>0</v>
      </c>
      <c r="AC132" s="250">
        <f>IF(D132="O",IF(AB132&lt;0,AB132,0),0)</f>
        <v>0</v>
      </c>
      <c r="AD132" s="255">
        <f>IF(K132&lt;&gt;"",K132-E132,0)</f>
        <v>4.3749999997089617E-2</v>
      </c>
      <c r="AE132" s="255">
        <f>IF(N132&gt;0,AD132,0)</f>
        <v>0</v>
      </c>
      <c r="AF132" s="255">
        <f>IF(N132&lt;0,AD132,0)</f>
        <v>4.3749999997089617E-2</v>
      </c>
      <c r="AG132" s="255">
        <f>IF(N132=0,AD132,0)</f>
        <v>0</v>
      </c>
    </row>
    <row r="133" spans="2:33" ht="15" customHeight="1" x14ac:dyDescent="0.3">
      <c r="B133" s="196" t="s">
        <v>5</v>
      </c>
      <c r="C133" s="197" t="s">
        <v>13</v>
      </c>
      <c r="D133" s="246" t="str">
        <f>IF(E133&lt;&gt;"",IF(K133&lt;&gt;"","C","O"),"")</f>
        <v>C</v>
      </c>
      <c r="E133" s="199">
        <v>44844.739583333336</v>
      </c>
      <c r="F133" s="200" t="s">
        <v>93</v>
      </c>
      <c r="G133" s="235">
        <v>10900.01</v>
      </c>
      <c r="H133" s="235">
        <v>10943.32</v>
      </c>
      <c r="I133" s="247">
        <f>ABS(G133-H133)</f>
        <v>43.309999999999491</v>
      </c>
      <c r="J133" s="235">
        <v>10438</v>
      </c>
      <c r="K133" s="199">
        <v>44844.784722222219</v>
      </c>
      <c r="L133" s="235">
        <v>10943.32</v>
      </c>
      <c r="M133" s="248">
        <f>ROUND(IF(C133="L",(L133-G133),(G133-L133)),4)</f>
        <v>-43.31</v>
      </c>
      <c r="N133" s="249">
        <f>IFERROR(ROUND((M133/I133),2),"")</f>
        <v>-1</v>
      </c>
      <c r="O133" s="250">
        <f>IF(D133="O",IF(N133&lt;0,N133,0),0)</f>
        <v>0</v>
      </c>
      <c r="P133" s="251">
        <f>IF(N133&gt;= 0,N133,0)</f>
        <v>0</v>
      </c>
      <c r="Q133" s="251">
        <f>IF(N133&lt;0,N133,0)</f>
        <v>-1</v>
      </c>
      <c r="R1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45206</v>
      </c>
      <c r="T1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3" s="253">
        <f ca="1">IF(Tabla33610673[[#This Row],[Equity]]&lt;Tabla33610673[[#This Row],[Equity Peak]],(Tabla33610673[[#This Row],[Equity Peak]]-Tabla33610673[[#This Row],[Equity]])/Tabla33610673[[#This Row],[Equity Peak]],"")</f>
        <v>4.8211337369290039E-3</v>
      </c>
      <c r="V133" s="254">
        <f>IF(B133="FX",N133,0)</f>
        <v>0</v>
      </c>
      <c r="W133" s="254">
        <f>IF(D133="O",IF(V133&lt;0,V133,0),0)</f>
        <v>0</v>
      </c>
      <c r="X133" s="254">
        <f>IF(B133="COM",N133,0)</f>
        <v>0</v>
      </c>
      <c r="Y133" s="254">
        <f>IF(D133="O",IF(X133&lt;0,X133,0),0)</f>
        <v>0</v>
      </c>
      <c r="Z133" s="254">
        <f>IF(B133="IND",N133,0)</f>
        <v>-1</v>
      </c>
      <c r="AA133" s="250">
        <f>IF(D133="O",IF(Z133&lt;0,Z133,0),0)</f>
        <v>0</v>
      </c>
      <c r="AB133" s="254">
        <f>IF(B133="CRYPTO",N133,0)</f>
        <v>0</v>
      </c>
      <c r="AC133" s="250">
        <f>IF(D133="O",IF(AB133&lt;0,AB133,0),0)</f>
        <v>0</v>
      </c>
      <c r="AD133" s="255">
        <f>IF(K133&lt;&gt;"",K133-E133,0)</f>
        <v>4.5138888883229811E-2</v>
      </c>
      <c r="AE133" s="255">
        <f>IF(N133&gt;0,AD133,0)</f>
        <v>0</v>
      </c>
      <c r="AF133" s="255">
        <f>IF(N133&lt;0,AD133,0)</f>
        <v>4.5138888883229811E-2</v>
      </c>
      <c r="AG133" s="255">
        <f>IF(N133=0,AD133,0)</f>
        <v>0</v>
      </c>
    </row>
    <row r="134" spans="2:33" ht="15" customHeight="1" x14ac:dyDescent="0.3">
      <c r="B134" s="196" t="s">
        <v>7</v>
      </c>
      <c r="C134" s="197" t="s">
        <v>13</v>
      </c>
      <c r="D134" s="246" t="str">
        <f>IF(E134&lt;&gt;"",IF(K134&lt;&gt;"","C","O"),"")</f>
        <v>C</v>
      </c>
      <c r="E134" s="199">
        <v>44844.364583333336</v>
      </c>
      <c r="F134" s="200" t="s">
        <v>114</v>
      </c>
      <c r="G134" s="235">
        <v>0.97219999999999995</v>
      </c>
      <c r="H134" s="235">
        <v>0.97350000000000003</v>
      </c>
      <c r="I134" s="247">
        <f>ABS(G134-H134)</f>
        <v>1.3000000000000789E-3</v>
      </c>
      <c r="J134" s="235">
        <v>0.96048999999999995</v>
      </c>
      <c r="K134" s="199">
        <v>44844.729166666664</v>
      </c>
      <c r="L134" s="235">
        <v>0.97226000000000001</v>
      </c>
      <c r="M134" s="248">
        <f>ROUND(IF(C134="L",(L134-G134),(G134-L134)),4)</f>
        <v>-1E-4</v>
      </c>
      <c r="N134" s="249">
        <f>IFERROR(ROUND((M134/I134),2),"")</f>
        <v>-0.08</v>
      </c>
      <c r="O134" s="250">
        <f>IF(D134="O",IF(N134&lt;0,N134,0),0)</f>
        <v>0</v>
      </c>
      <c r="P134" s="251">
        <f>IF(N134&gt;= 0,N134,0)</f>
        <v>0</v>
      </c>
      <c r="Q134" s="251">
        <f>IF(N134&lt;0,N134,0)</f>
        <v>-0.08</v>
      </c>
      <c r="R1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45306</v>
      </c>
      <c r="T1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4" s="253">
        <f ca="1">IF(Tabla33610673[[#This Row],[Equity]]&lt;Tabla33610673[[#This Row],[Equity Peak]],(Tabla33610673[[#This Row],[Equity Peak]]-Tabla33610673[[#This Row],[Equity]])/Tabla33610673[[#This Row],[Equity Peak]],"")</f>
        <v>2.619702806824436E-3</v>
      </c>
      <c r="V134" s="254">
        <f>IF(B134="FX",N134,0)</f>
        <v>-0.08</v>
      </c>
      <c r="W134" s="254">
        <f>IF(D134="O",IF(V134&lt;0,V134,0),0)</f>
        <v>0</v>
      </c>
      <c r="X134" s="254">
        <f>IF(B134="COM",N134,0)</f>
        <v>0</v>
      </c>
      <c r="Y134" s="254">
        <f>IF(D134="O",IF(X134&lt;0,X134,0),0)</f>
        <v>0</v>
      </c>
      <c r="Z134" s="254">
        <f>IF(B134="IND",N134,0)</f>
        <v>0</v>
      </c>
      <c r="AA134" s="250">
        <f>IF(D134="O",IF(Z134&lt;0,Z134,0),0)</f>
        <v>0</v>
      </c>
      <c r="AB134" s="254">
        <f>IF(B134="CRYPTO",N134,0)</f>
        <v>0</v>
      </c>
      <c r="AC134" s="250">
        <f>IF(D134="O",IF(AB134&lt;0,AB134,0),0)</f>
        <v>0</v>
      </c>
      <c r="AD134" s="255">
        <f>IF(K134&lt;&gt;"",K134-E134,0)</f>
        <v>0.36458333332848269</v>
      </c>
      <c r="AE134" s="255">
        <f>IF(N134&gt;0,AD134,0)</f>
        <v>0</v>
      </c>
      <c r="AF134" s="255">
        <f>IF(N134&lt;0,AD134,0)</f>
        <v>0.36458333332848269</v>
      </c>
      <c r="AG134" s="255">
        <f>IF(N134=0,AD134,0)</f>
        <v>0</v>
      </c>
    </row>
    <row r="135" spans="2:33" ht="15" customHeight="1" x14ac:dyDescent="0.3">
      <c r="B135" s="196" t="s">
        <v>5</v>
      </c>
      <c r="C135" s="197" t="s">
        <v>13</v>
      </c>
      <c r="D135" s="246" t="str">
        <f>IF(E135&lt;&gt;"",IF(K135&lt;&gt;"","C","O"),"")</f>
        <v>C</v>
      </c>
      <c r="E135" s="199">
        <v>44841.65625</v>
      </c>
      <c r="F135" s="200" t="s">
        <v>93</v>
      </c>
      <c r="G135" s="235">
        <v>11293.9</v>
      </c>
      <c r="H135" s="235">
        <v>11340</v>
      </c>
      <c r="I135" s="247">
        <f>ABS(G135-H135)</f>
        <v>46.100000000000364</v>
      </c>
      <c r="J135" s="235">
        <v>10802.15</v>
      </c>
      <c r="K135" s="199">
        <v>44844.657638888886</v>
      </c>
      <c r="L135" s="235">
        <v>11037.72</v>
      </c>
      <c r="M135" s="248">
        <f>ROUND(IF(C135="L",(L135-G135),(G135-L135)),4)</f>
        <v>256.18</v>
      </c>
      <c r="N135" s="249">
        <f>IFERROR(ROUND((M135/I135),2),"")</f>
        <v>5.56</v>
      </c>
      <c r="O135" s="250">
        <f>IF(D135="O",IF(N135&lt;0,N135,0),0)</f>
        <v>0</v>
      </c>
      <c r="P135" s="251">
        <f>IF(N135&gt;= 0,N135,0)</f>
        <v>5.56</v>
      </c>
      <c r="Q135" s="251">
        <f>IF(N135&lt;0,N135,0)</f>
        <v>0</v>
      </c>
      <c r="R1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45314</v>
      </c>
      <c r="T1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5" s="253">
        <f ca="1">IF(Tabla33610673[[#This Row],[Equity]]&lt;Tabla33610673[[#This Row],[Equity Peak]],(Tabla33610673[[#This Row],[Equity Peak]]-Tabla33610673[[#This Row],[Equity]])/Tabla33610673[[#This Row],[Equity Peak]],"")</f>
        <v>2.4435883324160704E-3</v>
      </c>
      <c r="V135" s="254">
        <f>IF(B135="FX",N135,0)</f>
        <v>0</v>
      </c>
      <c r="W135" s="254">
        <f>IF(D135="O",IF(V135&lt;0,V135,0),0)</f>
        <v>0</v>
      </c>
      <c r="X135" s="254">
        <f>IF(B135="COM",N135,0)</f>
        <v>0</v>
      </c>
      <c r="Y135" s="254">
        <f>IF(D135="O",IF(X135&lt;0,X135,0),0)</f>
        <v>0</v>
      </c>
      <c r="Z135" s="254">
        <f>IF(B135="IND",N135,0)</f>
        <v>5.56</v>
      </c>
      <c r="AA135" s="250">
        <f>IF(D135="O",IF(Z135&lt;0,Z135,0),0)</f>
        <v>0</v>
      </c>
      <c r="AB135" s="254">
        <f>IF(B135="CRYPTO",N135,0)</f>
        <v>0</v>
      </c>
      <c r="AC135" s="250">
        <f>IF(D135="O",IF(AB135&lt;0,AB135,0),0)</f>
        <v>0</v>
      </c>
      <c r="AD135" s="255">
        <f>IF(K135&lt;&gt;"",K135-E135,0)</f>
        <v>3.0013888888861402</v>
      </c>
      <c r="AE135" s="255">
        <f>IF(N135&gt;0,AD135,0)</f>
        <v>3.0013888888861402</v>
      </c>
      <c r="AF135" s="255">
        <f>IF(N135&lt;0,AD135,0)</f>
        <v>0</v>
      </c>
      <c r="AG135" s="255">
        <f>IF(N135=0,AD135,0)</f>
        <v>0</v>
      </c>
    </row>
    <row r="136" spans="2:33" ht="15" customHeight="1" x14ac:dyDescent="0.3">
      <c r="B136" s="196" t="s">
        <v>7</v>
      </c>
      <c r="C136" s="197" t="s">
        <v>15</v>
      </c>
      <c r="D136" s="246" t="str">
        <f>IF(E136&lt;&gt;"",IF(K136&lt;&gt;"","C","O"),"")</f>
        <v>C</v>
      </c>
      <c r="E136" s="199">
        <v>44844.114583333336</v>
      </c>
      <c r="F136" s="200" t="s">
        <v>116</v>
      </c>
      <c r="G136" s="235">
        <v>145.47900000000001</v>
      </c>
      <c r="H136" s="235">
        <v>145.25200000000001</v>
      </c>
      <c r="I136" s="247">
        <f>ABS(G136-H136)</f>
        <v>0.22700000000000387</v>
      </c>
      <c r="J136" s="235">
        <v>147.84</v>
      </c>
      <c r="K136" s="199">
        <v>44844.206944444442</v>
      </c>
      <c r="L136" s="235">
        <v>145.35400000000001</v>
      </c>
      <c r="M136" s="248">
        <f>ROUND(IF(C136="L",(L136-G136),(G136-L136)),4)</f>
        <v>-0.125</v>
      </c>
      <c r="N136" s="249">
        <f>IFERROR(ROUND((M136/I136),2),"")</f>
        <v>-0.55000000000000004</v>
      </c>
      <c r="O136" s="250">
        <f>IF(D136="O",IF(N136&lt;0,N136,0),0)</f>
        <v>0</v>
      </c>
      <c r="P136" s="251">
        <f>IF(N136&gt;= 0,N136,0)</f>
        <v>0</v>
      </c>
      <c r="Q136" s="251">
        <f>IF(N136&lt;0,N136,0)</f>
        <v>-0.55000000000000004</v>
      </c>
      <c r="R1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44758</v>
      </c>
      <c r="T1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6" s="253">
        <f ca="1">IF(Tabla33610673[[#This Row],[Equity]]&lt;Tabla33610673[[#This Row],[Equity Peak]],(Tabla33610673[[#This Row],[Equity Peak]]-Tabla33610673[[#This Row],[Equity]])/Tabla33610673[[#This Row],[Equity Peak]],"")</f>
        <v>1.4683544303797468E-2</v>
      </c>
      <c r="V136" s="254">
        <f>IF(B136="FX",N136,0)</f>
        <v>-0.55000000000000004</v>
      </c>
      <c r="W136" s="254">
        <f>IF(D136="O",IF(V136&lt;0,V136,0),0)</f>
        <v>0</v>
      </c>
      <c r="X136" s="254">
        <f>IF(B136="COM",N136,0)</f>
        <v>0</v>
      </c>
      <c r="Y136" s="254">
        <f>IF(D136="O",IF(X136&lt;0,X136,0),0)</f>
        <v>0</v>
      </c>
      <c r="Z136" s="254">
        <f>IF(B136="IND",N136,0)</f>
        <v>0</v>
      </c>
      <c r="AA136" s="250">
        <f>IF(D136="O",IF(Z136&lt;0,Z136,0),0)</f>
        <v>0</v>
      </c>
      <c r="AB136" s="254">
        <f>IF(B136="CRYPTO",N136,0)</f>
        <v>0</v>
      </c>
      <c r="AC136" s="250">
        <f>IF(D136="O",IF(AB136&lt;0,AB136,0),0)</f>
        <v>0</v>
      </c>
      <c r="AD136" s="255">
        <f>IF(K136&lt;&gt;"",K136-E136,0)</f>
        <v>9.2361111106583849E-2</v>
      </c>
      <c r="AE136" s="255">
        <f>IF(N136&gt;0,AD136,0)</f>
        <v>0</v>
      </c>
      <c r="AF136" s="255">
        <f>IF(N136&lt;0,AD136,0)</f>
        <v>9.2361111106583849E-2</v>
      </c>
      <c r="AG136" s="255">
        <f>IF(N136=0,AD136,0)</f>
        <v>0</v>
      </c>
    </row>
    <row r="137" spans="2:33" ht="15" customHeight="1" x14ac:dyDescent="0.3">
      <c r="B137" s="196" t="s">
        <v>7</v>
      </c>
      <c r="C137" s="197" t="s">
        <v>15</v>
      </c>
      <c r="D137" s="246" t="str">
        <f>IF(E137&lt;&gt;"",IF(K137&lt;&gt;"","C","O"),"")</f>
        <v>C</v>
      </c>
      <c r="E137" s="199">
        <v>44841.916666666664</v>
      </c>
      <c r="F137" s="200" t="s">
        <v>116</v>
      </c>
      <c r="G137" s="235">
        <v>145.36099999999999</v>
      </c>
      <c r="H137" s="235">
        <v>145.131</v>
      </c>
      <c r="I137" s="247">
        <f>ABS(G137-H137)</f>
        <v>0.22999999999998977</v>
      </c>
      <c r="J137" s="235">
        <v>147.756</v>
      </c>
      <c r="K137" s="199">
        <v>44841.999305555553</v>
      </c>
      <c r="L137" s="235">
        <v>145.20699999999999</v>
      </c>
      <c r="M137" s="248">
        <f>ROUND(IF(C137="L",(L137-G137),(G137-L137)),4)</f>
        <v>-0.154</v>
      </c>
      <c r="N137" s="249">
        <f>IFERROR(ROUND((M137/I137),2),"")</f>
        <v>-0.67</v>
      </c>
      <c r="O137" s="250">
        <f>IF(D137="O",IF(N137&lt;0,N137,0),0)</f>
        <v>0</v>
      </c>
      <c r="P137" s="251">
        <f>IF(N137&gt;= 0,N137,0)</f>
        <v>0</v>
      </c>
      <c r="Q137" s="251">
        <f>IF(N137&lt;0,N137,0)</f>
        <v>-0.67</v>
      </c>
      <c r="R1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44813</v>
      </c>
      <c r="T1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7" s="253">
        <f ca="1">IF(Tabla33610673[[#This Row],[Equity]]&lt;Tabla33610673[[#This Row],[Equity Peak]],(Tabla33610673[[#This Row],[Equity Peak]]-Tabla33610673[[#This Row],[Equity]])/Tabla33610673[[#This Row],[Equity Peak]],"")</f>
        <v>1.3472757292239956E-2</v>
      </c>
      <c r="V137" s="254">
        <f>IF(B137="FX",N137,0)</f>
        <v>-0.67</v>
      </c>
      <c r="W137" s="254">
        <f>IF(D137="O",IF(V137&lt;0,V137,0),0)</f>
        <v>0</v>
      </c>
      <c r="X137" s="254">
        <f>IF(B137="COM",N137,0)</f>
        <v>0</v>
      </c>
      <c r="Y137" s="254">
        <f>IF(D137="O",IF(X137&lt;0,X137,0),0)</f>
        <v>0</v>
      </c>
      <c r="Z137" s="254">
        <f>IF(B137="IND",N137,0)</f>
        <v>0</v>
      </c>
      <c r="AA137" s="250">
        <f>IF(D137="O",IF(Z137&lt;0,Z137,0),0)</f>
        <v>0</v>
      </c>
      <c r="AB137" s="254">
        <f>IF(B137="CRYPTO",N137,0)</f>
        <v>0</v>
      </c>
      <c r="AC137" s="250">
        <f>IF(D137="O",IF(AB137&lt;0,AB137,0),0)</f>
        <v>0</v>
      </c>
      <c r="AD137" s="255">
        <f>IF(K137&lt;&gt;"",K137-E137,0)</f>
        <v>8.2638888889050577E-2</v>
      </c>
      <c r="AE137" s="255">
        <f>IF(N137&gt;0,AD137,0)</f>
        <v>0</v>
      </c>
      <c r="AF137" s="255">
        <f>IF(N137&lt;0,AD137,0)</f>
        <v>8.2638888889050577E-2</v>
      </c>
      <c r="AG137" s="255">
        <f>IF(N137=0,AD137,0)</f>
        <v>0</v>
      </c>
    </row>
    <row r="138" spans="2:33" ht="15" customHeight="1" x14ac:dyDescent="0.3">
      <c r="B138" s="196" t="s">
        <v>7</v>
      </c>
      <c r="C138" s="197" t="s">
        <v>13</v>
      </c>
      <c r="D138" s="246" t="str">
        <f>IF(E138&lt;&gt;"",IF(K138&lt;&gt;"","C","O"),"")</f>
        <v>C</v>
      </c>
      <c r="E138" s="199">
        <v>44840.6875</v>
      </c>
      <c r="F138" s="200" t="s">
        <v>115</v>
      </c>
      <c r="G138" s="235">
        <v>162.46100000000001</v>
      </c>
      <c r="H138" s="235">
        <v>163.30199999999999</v>
      </c>
      <c r="I138" s="247">
        <f>ABS(G138-H138)</f>
        <v>0.84099999999997976</v>
      </c>
      <c r="J138" s="235">
        <v>160.05799999999999</v>
      </c>
      <c r="K138" s="199">
        <v>44841.48541666667</v>
      </c>
      <c r="L138" s="235">
        <v>162.464</v>
      </c>
      <c r="M138" s="248">
        <f>ROUND(IF(C138="L",(L138-G138),(G138-L138)),4)</f>
        <v>-3.0000000000000001E-3</v>
      </c>
      <c r="N138" s="249">
        <f>IFERROR(ROUND((M138/I138),2),"")</f>
        <v>0</v>
      </c>
      <c r="O138" s="250">
        <f>IF(D138="O",IF(N138&lt;0,N138,0),0)</f>
        <v>0</v>
      </c>
      <c r="P138" s="251">
        <f>IF(N138&gt;= 0,N138,0)</f>
        <v>0</v>
      </c>
      <c r="Q138" s="251">
        <f>IF(N138&lt;0,N138,0)</f>
        <v>0</v>
      </c>
      <c r="R1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44880</v>
      </c>
      <c r="T1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8" s="253">
        <f ca="1">IF(Tabla33610673[[#This Row],[Equity]]&lt;Tabla33610673[[#This Row],[Equity Peak]],(Tabla33610673[[#This Row],[Equity Peak]]-Tabla33610673[[#This Row],[Equity]])/Tabla33610673[[#This Row],[Equity Peak]],"")</f>
        <v>1.1997798569069896E-2</v>
      </c>
      <c r="V138" s="254">
        <f>IF(B138="FX",N138,0)</f>
        <v>0</v>
      </c>
      <c r="W138" s="254">
        <f>IF(D138="O",IF(V138&lt;0,V138,0),0)</f>
        <v>0</v>
      </c>
      <c r="X138" s="254">
        <f>IF(B138="COM",N138,0)</f>
        <v>0</v>
      </c>
      <c r="Y138" s="254">
        <f>IF(D138="O",IF(X138&lt;0,X138,0),0)</f>
        <v>0</v>
      </c>
      <c r="Z138" s="254">
        <f>IF(B138="IND",N138,0)</f>
        <v>0</v>
      </c>
      <c r="AA138" s="250">
        <f>IF(D138="O",IF(Z138&lt;0,Z138,0),0)</f>
        <v>0</v>
      </c>
      <c r="AB138" s="254">
        <f>IF(B138="CRYPTO",N138,0)</f>
        <v>0</v>
      </c>
      <c r="AC138" s="250">
        <f>IF(D138="O",IF(AB138&lt;0,AB138,0),0)</f>
        <v>0</v>
      </c>
      <c r="AD138" s="255">
        <f>IF(K138&lt;&gt;"",K138-E138,0)</f>
        <v>0.79791666667006211</v>
      </c>
      <c r="AE138" s="255">
        <f>IF(N138&gt;0,AD138,0)</f>
        <v>0</v>
      </c>
      <c r="AF138" s="255">
        <f>IF(N138&lt;0,AD138,0)</f>
        <v>0</v>
      </c>
      <c r="AG138" s="255">
        <f>IF(N138=0,AD138,0)</f>
        <v>0.79791666667006211</v>
      </c>
    </row>
    <row r="139" spans="2:33" ht="15" customHeight="1" x14ac:dyDescent="0.3">
      <c r="B139" s="196" t="s">
        <v>5</v>
      </c>
      <c r="C139" s="197" t="s">
        <v>15</v>
      </c>
      <c r="D139" s="246" t="str">
        <f>IF(E139&lt;&gt;"",IF(K139&lt;&gt;"","C","O"),"")</f>
        <v>C</v>
      </c>
      <c r="E139" s="199">
        <v>44840.145833333336</v>
      </c>
      <c r="F139" s="200" t="s">
        <v>91</v>
      </c>
      <c r="G139" s="235">
        <v>12683.98</v>
      </c>
      <c r="H139" s="235">
        <v>12635.61</v>
      </c>
      <c r="I139" s="247">
        <f>ABS(G139-H139)</f>
        <v>48.369999999998981</v>
      </c>
      <c r="J139" s="235">
        <v>13586.92</v>
      </c>
      <c r="K139" s="199">
        <v>44840.384027777778</v>
      </c>
      <c r="L139" s="235">
        <v>12635.61</v>
      </c>
      <c r="M139" s="248">
        <f>ROUND(IF(C139="L",(L139-G139),(G139-L139)),4)</f>
        <v>-48.37</v>
      </c>
      <c r="N139" s="249">
        <f>IFERROR(ROUND((M139/I139),2),"")</f>
        <v>-1</v>
      </c>
      <c r="O139" s="250">
        <f>IF(D139="O",IF(N139&lt;0,N139,0),0)</f>
        <v>0</v>
      </c>
      <c r="P139" s="251">
        <f>IF(N139&gt;= 0,N139,0)</f>
        <v>0</v>
      </c>
      <c r="Q139" s="251">
        <f>IF(N139&lt;0,N139,0)</f>
        <v>-1</v>
      </c>
      <c r="R1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44880</v>
      </c>
      <c r="T1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39" s="253">
        <f ca="1">IF(Tabla33610673[[#This Row],[Equity]]&lt;Tabla33610673[[#This Row],[Equity Peak]],(Tabla33610673[[#This Row],[Equity Peak]]-Tabla33610673[[#This Row],[Equity]])/Tabla33610673[[#This Row],[Equity Peak]],"")</f>
        <v>1.1997798569069896E-2</v>
      </c>
      <c r="V139" s="254">
        <f>IF(B139="FX",N139,0)</f>
        <v>0</v>
      </c>
      <c r="W139" s="254">
        <f>IF(D139="O",IF(V139&lt;0,V139,0),0)</f>
        <v>0</v>
      </c>
      <c r="X139" s="254">
        <f>IF(B139="COM",N139,0)</f>
        <v>0</v>
      </c>
      <c r="Y139" s="254">
        <f>IF(D139="O",IF(X139&lt;0,X139,0),0)</f>
        <v>0</v>
      </c>
      <c r="Z139" s="254">
        <f>IF(B139="IND",N139,0)</f>
        <v>-1</v>
      </c>
      <c r="AA139" s="250">
        <f>IF(D139="O",IF(Z139&lt;0,Z139,0),0)</f>
        <v>0</v>
      </c>
      <c r="AB139" s="254">
        <f>IF(B139="CRYPTO",N139,0)</f>
        <v>0</v>
      </c>
      <c r="AC139" s="250">
        <f>IF(D139="O",IF(AB139&lt;0,AB139,0),0)</f>
        <v>0</v>
      </c>
      <c r="AD139" s="255">
        <f>IF(K139&lt;&gt;"",K139-E139,0)</f>
        <v>0.2381944444423425</v>
      </c>
      <c r="AE139" s="255">
        <f>IF(N139&gt;0,AD139,0)</f>
        <v>0</v>
      </c>
      <c r="AF139" s="255">
        <f>IF(N139&lt;0,AD139,0)</f>
        <v>0.2381944444423425</v>
      </c>
      <c r="AG139" s="255">
        <f>IF(N139=0,AD139,0)</f>
        <v>0</v>
      </c>
    </row>
    <row r="140" spans="2:33" ht="15" customHeight="1" x14ac:dyDescent="0.3">
      <c r="B140" s="196" t="s">
        <v>5</v>
      </c>
      <c r="C140" s="197" t="s">
        <v>15</v>
      </c>
      <c r="D140" s="246" t="str">
        <f>IF(E140&lt;&gt;"",IF(K140&lt;&gt;"","C","O"),"")</f>
        <v>C</v>
      </c>
      <c r="E140" s="199">
        <v>44840.135416666664</v>
      </c>
      <c r="F140" s="200" t="s">
        <v>93</v>
      </c>
      <c r="G140" s="235">
        <v>11644.25</v>
      </c>
      <c r="H140" s="235">
        <v>11603.18</v>
      </c>
      <c r="I140" s="247">
        <f>ABS(G140-H140)</f>
        <v>41.069999999999709</v>
      </c>
      <c r="J140" s="235">
        <v>12082.35</v>
      </c>
      <c r="K140" s="199">
        <v>44840.1875</v>
      </c>
      <c r="L140" s="235">
        <v>11603.18</v>
      </c>
      <c r="M140" s="248">
        <f>ROUND(IF(C140="L",(L140-G140),(G140-L140)),4)</f>
        <v>-41.07</v>
      </c>
      <c r="N140" s="249">
        <f>IFERROR(ROUND((M140/I140),2),"")</f>
        <v>-1</v>
      </c>
      <c r="O140" s="250">
        <f>IF(D140="O",IF(N140&lt;0,N140,0),0)</f>
        <v>0</v>
      </c>
      <c r="P140" s="251">
        <f>IF(N140&gt;= 0,N140,0)</f>
        <v>0</v>
      </c>
      <c r="Q140" s="251">
        <f>IF(N140&lt;0,N140,0)</f>
        <v>-1</v>
      </c>
      <c r="R1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44980</v>
      </c>
      <c r="T1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0" s="253">
        <f ca="1">IF(Tabla33610673[[#This Row],[Equity]]&lt;Tabla33610673[[#This Row],[Equity Peak]],(Tabla33610673[[#This Row],[Equity Peak]]-Tabla33610673[[#This Row],[Equity]])/Tabla33610673[[#This Row],[Equity Peak]],"")</f>
        <v>9.7963676389653271E-3</v>
      </c>
      <c r="V140" s="254">
        <f>IF(B140="FX",N140,0)</f>
        <v>0</v>
      </c>
      <c r="W140" s="254">
        <f>IF(D140="O",IF(V140&lt;0,V140,0),0)</f>
        <v>0</v>
      </c>
      <c r="X140" s="254">
        <f>IF(B140="COM",N140,0)</f>
        <v>0</v>
      </c>
      <c r="Y140" s="254">
        <f>IF(D140="O",IF(X140&lt;0,X140,0),0)</f>
        <v>0</v>
      </c>
      <c r="Z140" s="254">
        <f>IF(B140="IND",N140,0)</f>
        <v>-1</v>
      </c>
      <c r="AA140" s="250">
        <f>IF(D140="O",IF(Z140&lt;0,Z140,0),0)</f>
        <v>0</v>
      </c>
      <c r="AB140" s="254">
        <f>IF(B140="CRYPTO",N140,0)</f>
        <v>0</v>
      </c>
      <c r="AC140" s="250">
        <f>IF(D140="O",IF(AB140&lt;0,AB140,0),0)</f>
        <v>0</v>
      </c>
      <c r="AD140" s="255">
        <f>IF(K140&lt;&gt;"",K140-E140,0)</f>
        <v>5.2083333335758653E-2</v>
      </c>
      <c r="AE140" s="255">
        <f>IF(N140&gt;0,AD140,0)</f>
        <v>0</v>
      </c>
      <c r="AF140" s="255">
        <f>IF(N140&lt;0,AD140,0)</f>
        <v>5.2083333335758653E-2</v>
      </c>
      <c r="AG140" s="255">
        <f>IF(N140=0,AD140,0)</f>
        <v>0</v>
      </c>
    </row>
    <row r="141" spans="2:33" ht="15" customHeight="1" x14ac:dyDescent="0.3">
      <c r="B141" s="196" t="s">
        <v>5</v>
      </c>
      <c r="C141" s="197" t="s">
        <v>15</v>
      </c>
      <c r="D141" s="246" t="str">
        <f>IF(E141&lt;&gt;"",IF(K141&lt;&gt;"","C","O"),"")</f>
        <v>C</v>
      </c>
      <c r="E141" s="199">
        <v>44839.927083333336</v>
      </c>
      <c r="F141" s="200" t="s">
        <v>93</v>
      </c>
      <c r="G141" s="235">
        <v>11618.68</v>
      </c>
      <c r="H141" s="235">
        <v>11579.45</v>
      </c>
      <c r="I141" s="247">
        <f>ABS(G141-H141)</f>
        <v>39.229999999999563</v>
      </c>
      <c r="J141" s="235">
        <v>12037.18</v>
      </c>
      <c r="K141" s="199">
        <v>44839.951388888891</v>
      </c>
      <c r="L141" s="235">
        <v>11579.45</v>
      </c>
      <c r="M141" s="248">
        <f>ROUND(IF(C141="L",(L141-G141),(G141-L141)),4)</f>
        <v>-39.229999999999997</v>
      </c>
      <c r="N141" s="249">
        <f>IFERROR(ROUND((M141/I141),2),"")</f>
        <v>-1</v>
      </c>
      <c r="O141" s="250">
        <f>IF(D141="O",IF(N141&lt;0,N141,0),0)</f>
        <v>0</v>
      </c>
      <c r="P141" s="251">
        <f>IF(N141&gt;= 0,N141,0)</f>
        <v>0</v>
      </c>
      <c r="Q141" s="251">
        <f>IF(N141&lt;0,N141,0)</f>
        <v>-1</v>
      </c>
      <c r="R1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45080</v>
      </c>
      <c r="T1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1" s="253">
        <f ca="1">IF(Tabla33610673[[#This Row],[Equity]]&lt;Tabla33610673[[#This Row],[Equity Peak]],(Tabla33610673[[#This Row],[Equity Peak]]-Tabla33610673[[#This Row],[Equity]])/Tabla33610673[[#This Row],[Equity Peak]],"")</f>
        <v>7.5949367088607592E-3</v>
      </c>
      <c r="V141" s="254">
        <f>IF(B141="FX",N141,0)</f>
        <v>0</v>
      </c>
      <c r="W141" s="254">
        <f>IF(D141="O",IF(V141&lt;0,V141,0),0)</f>
        <v>0</v>
      </c>
      <c r="X141" s="254">
        <f>IF(B141="COM",N141,0)</f>
        <v>0</v>
      </c>
      <c r="Y141" s="254">
        <f>IF(D141="O",IF(X141&lt;0,X141,0),0)</f>
        <v>0</v>
      </c>
      <c r="Z141" s="254">
        <f>IF(B141="IND",N141,0)</f>
        <v>-1</v>
      </c>
      <c r="AA141" s="250">
        <f>IF(D141="O",IF(Z141&lt;0,Z141,0),0)</f>
        <v>0</v>
      </c>
      <c r="AB141" s="254">
        <f>IF(B141="CRYPTO",N141,0)</f>
        <v>0</v>
      </c>
      <c r="AC141" s="250">
        <f>IF(D141="O",IF(AB141&lt;0,AB141,0),0)</f>
        <v>0</v>
      </c>
      <c r="AD141" s="255">
        <f>IF(K141&lt;&gt;"",K141-E141,0)</f>
        <v>2.4305555554747116E-2</v>
      </c>
      <c r="AE141" s="255">
        <f>IF(N141&gt;0,AD141,0)</f>
        <v>0</v>
      </c>
      <c r="AF141" s="255">
        <f>IF(N141&lt;0,AD141,0)</f>
        <v>2.4305555554747116E-2</v>
      </c>
      <c r="AG141" s="255">
        <f>IF(N141=0,AD141,0)</f>
        <v>0</v>
      </c>
    </row>
    <row r="142" spans="2:33" ht="15" customHeight="1" x14ac:dyDescent="0.3">
      <c r="B142" s="196" t="s">
        <v>7</v>
      </c>
      <c r="C142" s="197" t="s">
        <v>13</v>
      </c>
      <c r="D142" s="246" t="str">
        <f>IF(E142&lt;&gt;"",IF(K142&lt;&gt;"","C","O"),"")</f>
        <v>C</v>
      </c>
      <c r="E142" s="199">
        <v>44839.65625</v>
      </c>
      <c r="F142" s="200" t="s">
        <v>115</v>
      </c>
      <c r="G142" s="235">
        <v>163.44800000000001</v>
      </c>
      <c r="H142" s="235">
        <v>164.31200000000001</v>
      </c>
      <c r="I142" s="247">
        <f>ABS(G142-H142)</f>
        <v>0.86400000000000432</v>
      </c>
      <c r="J142" s="235">
        <v>160.98099999999999</v>
      </c>
      <c r="K142" s="199">
        <v>44839.841666666667</v>
      </c>
      <c r="L142" s="235">
        <v>163.654</v>
      </c>
      <c r="M142" s="248">
        <f>ROUND(IF(C142="L",(L142-G142),(G142-L142)),4)</f>
        <v>-0.20599999999999999</v>
      </c>
      <c r="N142" s="249">
        <f>IFERROR(ROUND((M142/I142),2),"")</f>
        <v>-0.24</v>
      </c>
      <c r="O142" s="250">
        <f>IF(D142="O",IF(N142&lt;0,N142,0),0)</f>
        <v>0</v>
      </c>
      <c r="P142" s="251">
        <f>IF(N142&gt;= 0,N142,0)</f>
        <v>0</v>
      </c>
      <c r="Q142" s="251">
        <f>IF(N142&lt;0,N142,0)</f>
        <v>-0.24</v>
      </c>
      <c r="R1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45180</v>
      </c>
      <c r="T1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2" s="253">
        <f ca="1">IF(Tabla33610673[[#This Row],[Equity]]&lt;Tabla33610673[[#This Row],[Equity Peak]],(Tabla33610673[[#This Row],[Equity Peak]]-Tabla33610673[[#This Row],[Equity]])/Tabla33610673[[#This Row],[Equity Peak]],"")</f>
        <v>5.3935057787561913E-3</v>
      </c>
      <c r="V142" s="254">
        <f>IF(B142="FX",N142,0)</f>
        <v>-0.24</v>
      </c>
      <c r="W142" s="254">
        <f>IF(D142="O",IF(V142&lt;0,V142,0),0)</f>
        <v>0</v>
      </c>
      <c r="X142" s="254">
        <f>IF(B142="COM",N142,0)</f>
        <v>0</v>
      </c>
      <c r="Y142" s="254">
        <f>IF(D142="O",IF(X142&lt;0,X142,0),0)</f>
        <v>0</v>
      </c>
      <c r="Z142" s="254">
        <f>IF(B142="IND",N142,0)</f>
        <v>0</v>
      </c>
      <c r="AA142" s="250">
        <f>IF(D142="O",IF(Z142&lt;0,Z142,0),0)</f>
        <v>0</v>
      </c>
      <c r="AB142" s="254">
        <f>IF(B142="CRYPTO",N142,0)</f>
        <v>0</v>
      </c>
      <c r="AC142" s="250">
        <f>IF(D142="O",IF(AB142&lt;0,AB142,0),0)</f>
        <v>0</v>
      </c>
      <c r="AD142" s="255">
        <f>IF(K142&lt;&gt;"",K142-E142,0)</f>
        <v>0.18541666666715173</v>
      </c>
      <c r="AE142" s="255">
        <f>IF(N142&gt;0,AD142,0)</f>
        <v>0</v>
      </c>
      <c r="AF142" s="255">
        <f>IF(N142&lt;0,AD142,0)</f>
        <v>0.18541666666715173</v>
      </c>
      <c r="AG142" s="255">
        <f>IF(N142=0,AD142,0)</f>
        <v>0</v>
      </c>
    </row>
    <row r="143" spans="2:33" ht="15" customHeight="1" x14ac:dyDescent="0.3">
      <c r="B143" s="196" t="s">
        <v>7</v>
      </c>
      <c r="C143" s="197" t="s">
        <v>15</v>
      </c>
      <c r="D143" s="246" t="str">
        <f>IF(E143&lt;&gt;"",IF(K143&lt;&gt;"","C","O"),"")</f>
        <v>C</v>
      </c>
      <c r="E143" s="199">
        <v>44837.375</v>
      </c>
      <c r="F143" s="200" t="s">
        <v>115</v>
      </c>
      <c r="G143" s="235">
        <v>162.84200000000001</v>
      </c>
      <c r="H143" s="235">
        <v>161.65899999999999</v>
      </c>
      <c r="I143" s="247">
        <f>ABS(G143-H143)</f>
        <v>1.1830000000000211</v>
      </c>
      <c r="J143" s="235">
        <v>166.22300000000001</v>
      </c>
      <c r="K143" s="199">
        <v>44839.568749999999</v>
      </c>
      <c r="L143" s="235">
        <v>164.238</v>
      </c>
      <c r="M143" s="248">
        <f>ROUND(IF(C143="L",(L143-G143),(G143-L143)),4)</f>
        <v>1.3959999999999999</v>
      </c>
      <c r="N143" s="249">
        <f>IFERROR(ROUND((M143/I143),2),"")</f>
        <v>1.18</v>
      </c>
      <c r="O143" s="250">
        <f>IF(D143="O",IF(N143&lt;0,N143,0),0)</f>
        <v>0</v>
      </c>
      <c r="P143" s="251">
        <f>IF(N143&gt;= 0,N143,0)</f>
        <v>1.18</v>
      </c>
      <c r="Q143" s="251">
        <f>IF(N143&lt;0,N143,0)</f>
        <v>0</v>
      </c>
      <c r="R1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45204</v>
      </c>
      <c r="T1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3" s="253">
        <f ca="1">IF(Tabla33610673[[#This Row],[Equity]]&lt;Tabla33610673[[#This Row],[Equity Peak]],(Tabla33610673[[#This Row],[Equity Peak]]-Tabla33610673[[#This Row],[Equity]])/Tabla33610673[[#This Row],[Equity Peak]],"")</f>
        <v>4.8651623555310951E-3</v>
      </c>
      <c r="V143" s="254">
        <f>IF(B143="FX",N143,0)</f>
        <v>1.18</v>
      </c>
      <c r="W143" s="254">
        <f>IF(D143="O",IF(V143&lt;0,V143,0),0)</f>
        <v>0</v>
      </c>
      <c r="X143" s="254">
        <f>IF(B143="COM",N143,0)</f>
        <v>0</v>
      </c>
      <c r="Y143" s="254">
        <f>IF(D143="O",IF(X143&lt;0,X143,0),0)</f>
        <v>0</v>
      </c>
      <c r="Z143" s="254">
        <f>IF(B143="IND",N143,0)</f>
        <v>0</v>
      </c>
      <c r="AA143" s="250">
        <f>IF(D143="O",IF(Z143&lt;0,Z143,0),0)</f>
        <v>0</v>
      </c>
      <c r="AB143" s="254">
        <f>IF(B143="CRYPTO",N143,0)</f>
        <v>0</v>
      </c>
      <c r="AC143" s="250">
        <f>IF(D143="O",IF(AB143&lt;0,AB143,0),0)</f>
        <v>0</v>
      </c>
      <c r="AD143" s="255">
        <f>IF(K143&lt;&gt;"",K143-E143,0)</f>
        <v>2.1937499999985448</v>
      </c>
      <c r="AE143" s="255">
        <f>IF(N143&gt;0,AD143,0)</f>
        <v>2.1937499999985448</v>
      </c>
      <c r="AF143" s="255">
        <f>IF(N143&lt;0,AD143,0)</f>
        <v>0</v>
      </c>
      <c r="AG143" s="255">
        <f>IF(N143=0,AD143,0)</f>
        <v>0</v>
      </c>
    </row>
    <row r="144" spans="2:33" ht="15" customHeight="1" x14ac:dyDescent="0.3">
      <c r="B144" s="196" t="s">
        <v>19</v>
      </c>
      <c r="C144" s="197" t="s">
        <v>15</v>
      </c>
      <c r="D144" s="246" t="str">
        <f>IF(E144&lt;&gt;"",IF(K144&lt;&gt;"","C","O"),"")</f>
        <v>C</v>
      </c>
      <c r="E144" s="199">
        <v>44837.864583333336</v>
      </c>
      <c r="F144" s="200" t="s">
        <v>88</v>
      </c>
      <c r="G144" s="235">
        <v>1695.89</v>
      </c>
      <c r="H144" s="235">
        <v>1691.59</v>
      </c>
      <c r="I144" s="247">
        <f>ABS(G144-H144)</f>
        <v>4.3000000000001819</v>
      </c>
      <c r="J144" s="235">
        <v>1747.55</v>
      </c>
      <c r="K144" s="199">
        <v>44839.53125</v>
      </c>
      <c r="L144" s="235">
        <v>1709.3</v>
      </c>
      <c r="M144" s="248">
        <f>ROUND(IF(C144="L",(L144-G144),(G144-L144)),4)</f>
        <v>13.41</v>
      </c>
      <c r="N144" s="249">
        <f>IFERROR(ROUND((M144/I144),2),"")</f>
        <v>3.12</v>
      </c>
      <c r="O144" s="250">
        <f>IF(D144="O",IF(N144&lt;0,N144,0),0)</f>
        <v>0</v>
      </c>
      <c r="P144" s="251">
        <f>IF(N144&gt;= 0,N144,0)</f>
        <v>3.12</v>
      </c>
      <c r="Q144" s="251">
        <f>IF(N144&lt;0,N144,0)</f>
        <v>0</v>
      </c>
      <c r="R1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45086</v>
      </c>
      <c r="T1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4" s="253">
        <f ca="1">IF(Tabla33610673[[#This Row],[Equity]]&lt;Tabla33610673[[#This Row],[Equity Peak]],(Tabla33610673[[#This Row],[Equity Peak]]-Tabla33610673[[#This Row],[Equity]])/Tabla33610673[[#This Row],[Equity Peak]],"")</f>
        <v>7.4628508530544856E-3</v>
      </c>
      <c r="V144" s="254">
        <f>IF(B144="FX",N144,0)</f>
        <v>0</v>
      </c>
      <c r="W144" s="254">
        <f>IF(D144="O",IF(V144&lt;0,V144,0),0)</f>
        <v>0</v>
      </c>
      <c r="X144" s="254">
        <f>IF(B144="COM",N144,0)</f>
        <v>3.12</v>
      </c>
      <c r="Y144" s="254">
        <f>IF(D144="O",IF(X144&lt;0,X144,0),0)</f>
        <v>0</v>
      </c>
      <c r="Z144" s="254">
        <f>IF(B144="IND",N144,0)</f>
        <v>0</v>
      </c>
      <c r="AA144" s="250">
        <f>IF(D144="O",IF(Z144&lt;0,Z144,0),0)</f>
        <v>0</v>
      </c>
      <c r="AB144" s="254">
        <f>IF(B144="CRYPTO",N144,0)</f>
        <v>0</v>
      </c>
      <c r="AC144" s="250">
        <f>IF(D144="O",IF(AB144&lt;0,AB144,0),0)</f>
        <v>0</v>
      </c>
      <c r="AD144" s="255">
        <f>IF(K144&lt;&gt;"",K144-E144,0)</f>
        <v>1.6666666666642413</v>
      </c>
      <c r="AE144" s="255">
        <f>IF(N144&gt;0,AD144,0)</f>
        <v>1.6666666666642413</v>
      </c>
      <c r="AF144" s="255">
        <f>IF(N144&lt;0,AD144,0)</f>
        <v>0</v>
      </c>
      <c r="AG144" s="255">
        <f>IF(N144=0,AD144,0)</f>
        <v>0</v>
      </c>
    </row>
    <row r="145" spans="2:33" ht="15" customHeight="1" x14ac:dyDescent="0.3">
      <c r="B145" s="196" t="s">
        <v>5</v>
      </c>
      <c r="C145" s="197" t="s">
        <v>15</v>
      </c>
      <c r="D145" s="246" t="str">
        <f>IF(E145&lt;&gt;"",IF(K145&lt;&gt;"","C","O"),"")</f>
        <v>C</v>
      </c>
      <c r="E145" s="199">
        <v>44838.541666666664</v>
      </c>
      <c r="F145" s="200" t="s">
        <v>91</v>
      </c>
      <c r="G145" s="235">
        <v>12558.43</v>
      </c>
      <c r="H145" s="235">
        <v>12506.48</v>
      </c>
      <c r="I145" s="247">
        <f>ABS(G145-H145)</f>
        <v>51.950000000000728</v>
      </c>
      <c r="J145" s="235">
        <v>13528.21</v>
      </c>
      <c r="K145" s="199">
        <v>44839.470833333333</v>
      </c>
      <c r="L145" s="235">
        <v>12558.02</v>
      </c>
      <c r="M145" s="248">
        <f>ROUND(IF(C145="L",(L145-G145),(G145-L145)),4)</f>
        <v>-0.41</v>
      </c>
      <c r="N145" s="249">
        <f>IFERROR(ROUND((M145/I145),2),"")</f>
        <v>-0.01</v>
      </c>
      <c r="O145" s="250">
        <f>IF(D145="O",IF(N145&lt;0,N145,0),0)</f>
        <v>0</v>
      </c>
      <c r="P145" s="251">
        <f>IF(N145&gt;= 0,N145,0)</f>
        <v>0</v>
      </c>
      <c r="Q145" s="251">
        <f>IF(N145&lt;0,N145,0)</f>
        <v>-0.01</v>
      </c>
      <c r="R1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44774</v>
      </c>
      <c r="T1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5" s="253">
        <f ca="1">IF(Tabla33610673[[#This Row],[Equity]]&lt;Tabla33610673[[#This Row],[Equity Peak]],(Tabla33610673[[#This Row],[Equity Peak]]-Tabla33610673[[#This Row],[Equity]])/Tabla33610673[[#This Row],[Equity Peak]],"")</f>
        <v>1.4331315354980738E-2</v>
      </c>
      <c r="V145" s="254">
        <f>IF(B145="FX",N145,0)</f>
        <v>0</v>
      </c>
      <c r="W145" s="254">
        <f>IF(D145="O",IF(V145&lt;0,V145,0),0)</f>
        <v>0</v>
      </c>
      <c r="X145" s="254">
        <f>IF(B145="COM",N145,0)</f>
        <v>0</v>
      </c>
      <c r="Y145" s="254">
        <f>IF(D145="O",IF(X145&lt;0,X145,0),0)</f>
        <v>0</v>
      </c>
      <c r="Z145" s="254">
        <f>IF(B145="IND",N145,0)</f>
        <v>-0.01</v>
      </c>
      <c r="AA145" s="250">
        <f>IF(D145="O",IF(Z145&lt;0,Z145,0),0)</f>
        <v>0</v>
      </c>
      <c r="AB145" s="254">
        <f>IF(B145="CRYPTO",N145,0)</f>
        <v>0</v>
      </c>
      <c r="AC145" s="250">
        <f>IF(D145="O",IF(AB145&lt;0,AB145,0),0)</f>
        <v>0</v>
      </c>
      <c r="AD145" s="255">
        <f>IF(K145&lt;&gt;"",K145-E145,0)</f>
        <v>0.92916666666860692</v>
      </c>
      <c r="AE145" s="255">
        <f>IF(N145&gt;0,AD145,0)</f>
        <v>0</v>
      </c>
      <c r="AF145" s="255">
        <f>IF(N145&lt;0,AD145,0)</f>
        <v>0.92916666666860692</v>
      </c>
      <c r="AG145" s="255">
        <f>IF(N145=0,AD145,0)</f>
        <v>0</v>
      </c>
    </row>
    <row r="146" spans="2:33" ht="15" customHeight="1" x14ac:dyDescent="0.3">
      <c r="B146" s="196" t="s">
        <v>7</v>
      </c>
      <c r="C146" s="197" t="s">
        <v>15</v>
      </c>
      <c r="D146" s="246" t="str">
        <f>IF(E146&lt;&gt;"",IF(K146&lt;&gt;"","C","O"),"")</f>
        <v>C</v>
      </c>
      <c r="E146" s="199">
        <v>44838.385416666664</v>
      </c>
      <c r="F146" s="200" t="s">
        <v>114</v>
      </c>
      <c r="G146" s="235">
        <v>0.98546999999999996</v>
      </c>
      <c r="H146" s="235">
        <v>0.98341000000000001</v>
      </c>
      <c r="I146" s="247">
        <f>ABS(G146-H146)</f>
        <v>2.0599999999999508E-3</v>
      </c>
      <c r="J146" s="235">
        <v>1.0040199999999999</v>
      </c>
      <c r="K146" s="199">
        <v>44839.427777777775</v>
      </c>
      <c r="L146" s="235">
        <v>0.99592000000000003</v>
      </c>
      <c r="M146" s="248">
        <f>ROUND(IF(C146="L",(L146-G146),(G146-L146)),4)</f>
        <v>1.0500000000000001E-2</v>
      </c>
      <c r="N146" s="249">
        <f>IFERROR(ROUND((M146/I146),2),"")</f>
        <v>5.0999999999999996</v>
      </c>
      <c r="O146" s="250">
        <f>IF(D146="O",IF(N146&lt;0,N146,0),0)</f>
        <v>0</v>
      </c>
      <c r="P146" s="251">
        <f>IF(N146&gt;= 0,N146,0)</f>
        <v>5.0999999999999996</v>
      </c>
      <c r="Q146" s="251">
        <f>IF(N146&lt;0,N146,0)</f>
        <v>0</v>
      </c>
      <c r="R1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44775</v>
      </c>
      <c r="T1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6" s="253">
        <f ca="1">IF(Tabla33610673[[#This Row],[Equity]]&lt;Tabla33610673[[#This Row],[Equity Peak]],(Tabla33610673[[#This Row],[Equity Peak]]-Tabla33610673[[#This Row],[Equity]])/Tabla33610673[[#This Row],[Equity Peak]],"")</f>
        <v>1.4309301045679693E-2</v>
      </c>
      <c r="V146" s="254">
        <f>IF(B146="FX",N146,0)</f>
        <v>5.0999999999999996</v>
      </c>
      <c r="W146" s="254">
        <f>IF(D146="O",IF(V146&lt;0,V146,0),0)</f>
        <v>0</v>
      </c>
      <c r="X146" s="254">
        <f>IF(B146="COM",N146,0)</f>
        <v>0</v>
      </c>
      <c r="Y146" s="254">
        <f>IF(D146="O",IF(X146&lt;0,X146,0),0)</f>
        <v>0</v>
      </c>
      <c r="Z146" s="254">
        <f>IF(B146="IND",N146,0)</f>
        <v>0</v>
      </c>
      <c r="AA146" s="250">
        <f>IF(D146="O",IF(Z146&lt;0,Z146,0),0)</f>
        <v>0</v>
      </c>
      <c r="AB146" s="254">
        <f>IF(B146="CRYPTO",N146,0)</f>
        <v>0</v>
      </c>
      <c r="AC146" s="250">
        <f>IF(D146="O",IF(AB146&lt;0,AB146,0),0)</f>
        <v>0</v>
      </c>
      <c r="AD146" s="255">
        <f>IF(K146&lt;&gt;"",K146-E146,0)</f>
        <v>1.0423611111109494</v>
      </c>
      <c r="AE146" s="255">
        <f>IF(N146&gt;0,AD146,0)</f>
        <v>1.0423611111109494</v>
      </c>
      <c r="AF146" s="255">
        <f>IF(N146&lt;0,AD146,0)</f>
        <v>0</v>
      </c>
      <c r="AG146" s="255">
        <f>IF(N146=0,AD146,0)</f>
        <v>0</v>
      </c>
    </row>
    <row r="147" spans="2:33" ht="15" customHeight="1" x14ac:dyDescent="0.3">
      <c r="B147" s="196" t="s">
        <v>5</v>
      </c>
      <c r="C147" s="197" t="s">
        <v>15</v>
      </c>
      <c r="D147" s="246" t="str">
        <f>IF(E147&lt;&gt;"",IF(K147&lt;&gt;"","C","O"),"")</f>
        <v>C</v>
      </c>
      <c r="E147" s="199">
        <v>44838.541666666664</v>
      </c>
      <c r="F147" s="200" t="s">
        <v>93</v>
      </c>
      <c r="G147" s="235">
        <v>11442.11</v>
      </c>
      <c r="H147" s="235">
        <v>11401.26</v>
      </c>
      <c r="I147" s="247">
        <f>ABS(G147-H147)</f>
        <v>40.850000000000364</v>
      </c>
      <c r="J147" s="235">
        <v>11877.83</v>
      </c>
      <c r="K147" s="199">
        <v>44838.836805555555</v>
      </c>
      <c r="L147" s="235">
        <v>11515.27</v>
      </c>
      <c r="M147" s="248">
        <f>ROUND(IF(C147="L",(L147-G147),(G147-L147)),4)</f>
        <v>73.16</v>
      </c>
      <c r="N147" s="249">
        <f>IFERROR(ROUND((M147/I147),2),"")</f>
        <v>1.79</v>
      </c>
      <c r="O147" s="250">
        <f>IF(D147="O",IF(N147&lt;0,N147,0),0)</f>
        <v>0</v>
      </c>
      <c r="P147" s="251">
        <f>IF(N147&gt;= 0,N147,0)</f>
        <v>1.79</v>
      </c>
      <c r="Q147" s="251">
        <f>IF(N147&lt;0,N147,0)</f>
        <v>0</v>
      </c>
      <c r="R1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44265</v>
      </c>
      <c r="T1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7" s="253">
        <f ca="1">IF(Tabla33610673[[#This Row],[Equity]]&lt;Tabla33610673[[#This Row],[Equity Peak]],(Tabla33610673[[#This Row],[Equity Peak]]-Tabla33610673[[#This Row],[Equity]])/Tabla33610673[[#This Row],[Equity Peak]],"")</f>
        <v>2.5536598789212987E-2</v>
      </c>
      <c r="V147" s="254">
        <f>IF(B147="FX",N147,0)</f>
        <v>0</v>
      </c>
      <c r="W147" s="254">
        <f>IF(D147="O",IF(V147&lt;0,V147,0),0)</f>
        <v>0</v>
      </c>
      <c r="X147" s="254">
        <f>IF(B147="COM",N147,0)</f>
        <v>0</v>
      </c>
      <c r="Y147" s="254">
        <f>IF(D147="O",IF(X147&lt;0,X147,0),0)</f>
        <v>0</v>
      </c>
      <c r="Z147" s="254">
        <f>IF(B147="IND",N147,0)</f>
        <v>1.79</v>
      </c>
      <c r="AA147" s="250">
        <f>IF(D147="O",IF(Z147&lt;0,Z147,0),0)</f>
        <v>0</v>
      </c>
      <c r="AB147" s="254">
        <f>IF(B147="CRYPTO",N147,0)</f>
        <v>0</v>
      </c>
      <c r="AC147" s="250">
        <f>IF(D147="O",IF(AB147&lt;0,AB147,0),0)</f>
        <v>0</v>
      </c>
      <c r="AD147" s="255">
        <f>IF(K147&lt;&gt;"",K147-E147,0)</f>
        <v>0.29513888889050577</v>
      </c>
      <c r="AE147" s="255">
        <f>IF(N147&gt;0,AD147,0)</f>
        <v>0.29513888889050577</v>
      </c>
      <c r="AF147" s="255">
        <f>IF(N147&lt;0,AD147,0)</f>
        <v>0</v>
      </c>
      <c r="AG147" s="255">
        <f>IF(N147=0,AD147,0)</f>
        <v>0</v>
      </c>
    </row>
    <row r="148" spans="2:33" ht="15" customHeight="1" x14ac:dyDescent="0.3">
      <c r="B148" s="196" t="s">
        <v>19</v>
      </c>
      <c r="C148" s="197" t="s">
        <v>15</v>
      </c>
      <c r="D148" s="246" t="str">
        <f>IF(E148&lt;&gt;"",IF(K148&lt;&gt;"","C","O"),"")</f>
        <v>C</v>
      </c>
      <c r="E148" s="199">
        <v>44837.760416666664</v>
      </c>
      <c r="F148" s="200" t="s">
        <v>88</v>
      </c>
      <c r="G148" s="235">
        <v>1691.63</v>
      </c>
      <c r="H148" s="235">
        <v>1687.7</v>
      </c>
      <c r="I148" s="247">
        <f>ABS(G148-H148)</f>
        <v>3.9300000000000637</v>
      </c>
      <c r="J148" s="235">
        <v>1738.77</v>
      </c>
      <c r="K148" s="199">
        <v>44837.774305555555</v>
      </c>
      <c r="L148" s="235">
        <v>1687.7</v>
      </c>
      <c r="M148" s="248">
        <f>ROUND(IF(C148="L",(L148-G148),(G148-L148)),4)</f>
        <v>-3.93</v>
      </c>
      <c r="N148" s="249">
        <f>IFERROR(ROUND((M148/I148),2),"")</f>
        <v>-1</v>
      </c>
      <c r="O148" s="250">
        <f>IF(D148="O",IF(N148&lt;0,N148,0),0)</f>
        <v>0</v>
      </c>
      <c r="P148" s="251">
        <f>IF(N148&gt;= 0,N148,0)</f>
        <v>0</v>
      </c>
      <c r="Q148" s="251">
        <f>IF(N148&lt;0,N148,0)</f>
        <v>-1</v>
      </c>
      <c r="R1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44086</v>
      </c>
      <c r="T1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8" s="253">
        <f ca="1">IF(Tabla33610673[[#This Row],[Equity]]&lt;Tabla33610673[[#This Row],[Equity Peak]],(Tabla33610673[[#This Row],[Equity Peak]]-Tabla33610673[[#This Row],[Equity]])/Tabla33610673[[#This Row],[Equity Peak]],"")</f>
        <v>2.9477160154100165E-2</v>
      </c>
      <c r="V148" s="254">
        <f>IF(B148="FX",N148,0)</f>
        <v>0</v>
      </c>
      <c r="W148" s="254">
        <f>IF(D148="O",IF(V148&lt;0,V148,0),0)</f>
        <v>0</v>
      </c>
      <c r="X148" s="254">
        <f>IF(B148="COM",N148,0)</f>
        <v>-1</v>
      </c>
      <c r="Y148" s="254">
        <f>IF(D148="O",IF(X148&lt;0,X148,0),0)</f>
        <v>0</v>
      </c>
      <c r="Z148" s="254">
        <f>IF(B148="IND",N148,0)</f>
        <v>0</v>
      </c>
      <c r="AA148" s="250">
        <f>IF(D148="O",IF(Z148&lt;0,Z148,0),0)</f>
        <v>0</v>
      </c>
      <c r="AB148" s="254">
        <f>IF(B148="CRYPTO",N148,0)</f>
        <v>0</v>
      </c>
      <c r="AC148" s="250">
        <f>IF(D148="O",IF(AB148&lt;0,AB148,0),0)</f>
        <v>0</v>
      </c>
      <c r="AD148" s="255">
        <f>IF(K148&lt;&gt;"",K148-E148,0)</f>
        <v>1.3888888890505768E-2</v>
      </c>
      <c r="AE148" s="255">
        <f>IF(N148&gt;0,AD148,0)</f>
        <v>0</v>
      </c>
      <c r="AF148" s="255">
        <f>IF(N148&lt;0,AD148,0)</f>
        <v>1.3888888890505768E-2</v>
      </c>
      <c r="AG148" s="255">
        <f>IF(N148=0,AD148,0)</f>
        <v>0</v>
      </c>
    </row>
    <row r="149" spans="2:33" ht="15" customHeight="1" x14ac:dyDescent="0.3">
      <c r="B149" s="196" t="s">
        <v>5</v>
      </c>
      <c r="C149" s="197" t="s">
        <v>13</v>
      </c>
      <c r="D149" s="246" t="str">
        <f>IF(E149&lt;&gt;"",IF(K149&lt;&gt;"","C","O"),"")</f>
        <v>C</v>
      </c>
      <c r="E149" s="199">
        <v>44834.958333333336</v>
      </c>
      <c r="F149" s="200" t="s">
        <v>92</v>
      </c>
      <c r="G149" s="235">
        <v>10961.7</v>
      </c>
      <c r="H149" s="235">
        <v>11019.47</v>
      </c>
      <c r="I149" s="247">
        <f>ABS(G149-H149)</f>
        <v>57.769999999998618</v>
      </c>
      <c r="J149" s="235">
        <v>9883.3700000000008</v>
      </c>
      <c r="K149" s="199">
        <v>44837.626388888886</v>
      </c>
      <c r="L149" s="235">
        <v>11019.47</v>
      </c>
      <c r="M149" s="248">
        <f>ROUND(IF(C149="L",(L149-G149),(G149-L149)),4)</f>
        <v>-57.77</v>
      </c>
      <c r="N149" s="249">
        <f>IFERROR(ROUND((M149/I149),2),"")</f>
        <v>-1</v>
      </c>
      <c r="O149" s="250">
        <f>IF(D149="O",IF(N149&lt;0,N149,0),0)</f>
        <v>0</v>
      </c>
      <c r="P149" s="251">
        <f>IF(N149&gt;= 0,N149,0)</f>
        <v>0</v>
      </c>
      <c r="Q149" s="251">
        <f>IF(N149&lt;0,N149,0)</f>
        <v>-1</v>
      </c>
      <c r="R1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44186</v>
      </c>
      <c r="T1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49" s="253">
        <f ca="1">IF(Tabla33610673[[#This Row],[Equity]]&lt;Tabla33610673[[#This Row],[Equity Peak]],(Tabla33610673[[#This Row],[Equity Peak]]-Tabla33610673[[#This Row],[Equity]])/Tabla33610673[[#This Row],[Equity Peak]],"")</f>
        <v>2.7275729223995598E-2</v>
      </c>
      <c r="V149" s="254">
        <f>IF(B149="FX",N149,0)</f>
        <v>0</v>
      </c>
      <c r="W149" s="254">
        <f>IF(D149="O",IF(V149&lt;0,V149,0),0)</f>
        <v>0</v>
      </c>
      <c r="X149" s="254">
        <f>IF(B149="COM",N149,0)</f>
        <v>0</v>
      </c>
      <c r="Y149" s="254">
        <f>IF(D149="O",IF(X149&lt;0,X149,0),0)</f>
        <v>0</v>
      </c>
      <c r="Z149" s="254">
        <f>IF(B149="IND",N149,0)</f>
        <v>-1</v>
      </c>
      <c r="AA149" s="250">
        <f>IF(D149="O",IF(Z149&lt;0,Z149,0),0)</f>
        <v>0</v>
      </c>
      <c r="AB149" s="254">
        <f>IF(B149="CRYPTO",N149,0)</f>
        <v>0</v>
      </c>
      <c r="AC149" s="250">
        <f>IF(D149="O",IF(AB149&lt;0,AB149,0),0)</f>
        <v>0</v>
      </c>
      <c r="AD149" s="255">
        <f>IF(K149&lt;&gt;"",K149-E149,0)</f>
        <v>2.6680555555503815</v>
      </c>
      <c r="AE149" s="255">
        <f>IF(N149&gt;0,AD149,0)</f>
        <v>0</v>
      </c>
      <c r="AF149" s="255">
        <f>IF(N149&lt;0,AD149,0)</f>
        <v>2.6680555555503815</v>
      </c>
      <c r="AG149" s="255">
        <f>IF(N149=0,AD149,0)</f>
        <v>0</v>
      </c>
    </row>
    <row r="150" spans="2:33" ht="15" customHeight="1" x14ac:dyDescent="0.3">
      <c r="B150" s="196" t="s">
        <v>5</v>
      </c>
      <c r="C150" s="197" t="s">
        <v>13</v>
      </c>
      <c r="D150" s="246" t="str">
        <f>IF(E150&lt;&gt;"",IF(K150&lt;&gt;"","C","O"),"")</f>
        <v>C</v>
      </c>
      <c r="E150" s="199">
        <v>44834.958333333336</v>
      </c>
      <c r="F150" s="200" t="s">
        <v>93</v>
      </c>
      <c r="G150" s="235">
        <v>10961.7</v>
      </c>
      <c r="H150" s="235">
        <v>11015.85</v>
      </c>
      <c r="I150" s="247">
        <f>ABS(G150-H150)</f>
        <v>54.149999999999636</v>
      </c>
      <c r="J150" s="235">
        <v>10384.09</v>
      </c>
      <c r="K150" s="199">
        <v>44837.379861111112</v>
      </c>
      <c r="L150" s="235">
        <v>10978.26</v>
      </c>
      <c r="M150" s="248">
        <f>ROUND(IF(C150="L",(L150-G150),(G150-L150)),4)</f>
        <v>-16.559999999999999</v>
      </c>
      <c r="N150" s="249">
        <f>IFERROR(ROUND((M150/I150),2),"")</f>
        <v>-0.31</v>
      </c>
      <c r="O150" s="250">
        <f>IF(D150="O",IF(N150&lt;0,N150,0),0)</f>
        <v>0</v>
      </c>
      <c r="P150" s="251">
        <f>IF(N150&gt;= 0,N150,0)</f>
        <v>0</v>
      </c>
      <c r="Q150" s="251">
        <f>IF(N150&lt;0,N150,0)</f>
        <v>-0.31</v>
      </c>
      <c r="R1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44286</v>
      </c>
      <c r="T1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0" s="253">
        <f ca="1">IF(Tabla33610673[[#This Row],[Equity]]&lt;Tabla33610673[[#This Row],[Equity Peak]],(Tabla33610673[[#This Row],[Equity Peak]]-Tabla33610673[[#This Row],[Equity]])/Tabla33610673[[#This Row],[Equity Peak]],"")</f>
        <v>2.5074298293891028E-2</v>
      </c>
      <c r="V150" s="254">
        <f>IF(B150="FX",N150,0)</f>
        <v>0</v>
      </c>
      <c r="W150" s="254">
        <f>IF(D150="O",IF(V150&lt;0,V150,0),0)</f>
        <v>0</v>
      </c>
      <c r="X150" s="254">
        <f>IF(B150="COM",N150,0)</f>
        <v>0</v>
      </c>
      <c r="Y150" s="254">
        <f>IF(D150="O",IF(X150&lt;0,X150,0),0)</f>
        <v>0</v>
      </c>
      <c r="Z150" s="254">
        <f>IF(B150="IND",N150,0)</f>
        <v>-0.31</v>
      </c>
      <c r="AA150" s="250">
        <f>IF(D150="O",IF(Z150&lt;0,Z150,0),0)</f>
        <v>0</v>
      </c>
      <c r="AB150" s="254">
        <f>IF(B150="CRYPTO",N150,0)</f>
        <v>0</v>
      </c>
      <c r="AC150" s="250">
        <f>IF(D150="O",IF(AB150&lt;0,AB150,0),0)</f>
        <v>0</v>
      </c>
      <c r="AD150" s="255">
        <f>IF(K150&lt;&gt;"",K150-E150,0)</f>
        <v>2.421527777776646</v>
      </c>
      <c r="AE150" s="255">
        <f>IF(N150&gt;0,AD150,0)</f>
        <v>0</v>
      </c>
      <c r="AF150" s="255">
        <f>IF(N150&lt;0,AD150,0)</f>
        <v>2.421527777776646</v>
      </c>
      <c r="AG150" s="255">
        <f>IF(N150=0,AD150,0)</f>
        <v>0</v>
      </c>
    </row>
    <row r="151" spans="2:33" ht="15" customHeight="1" x14ac:dyDescent="0.3">
      <c r="B151" s="196" t="s">
        <v>5</v>
      </c>
      <c r="C151" s="197" t="s">
        <v>13</v>
      </c>
      <c r="D151" s="246" t="str">
        <f>IF(E151&lt;&gt;"",IF(K151&lt;&gt;"","C","O"),"")</f>
        <v>C</v>
      </c>
      <c r="E151" s="199">
        <v>44837.145833333336</v>
      </c>
      <c r="F151" s="200" t="s">
        <v>91</v>
      </c>
      <c r="G151" s="235">
        <v>11836.51</v>
      </c>
      <c r="H151" s="235">
        <v>11897.36</v>
      </c>
      <c r="I151" s="247">
        <f>ABS(G151-H151)</f>
        <v>60.850000000000364</v>
      </c>
      <c r="J151" s="235">
        <v>10700.69</v>
      </c>
      <c r="K151" s="199">
        <v>44837.196527777778</v>
      </c>
      <c r="L151" s="235">
        <v>11897.36</v>
      </c>
      <c r="M151" s="248">
        <f>ROUND(IF(C151="L",(L151-G151),(G151-L151)),4)</f>
        <v>-60.85</v>
      </c>
      <c r="N151" s="249">
        <f>IFERROR(ROUND((M151/I151),2),"")</f>
        <v>-1</v>
      </c>
      <c r="O151" s="250">
        <f>IF(D151="O",IF(N151&lt;0,N151,0),0)</f>
        <v>0</v>
      </c>
      <c r="P151" s="251">
        <f>IF(N151&gt;= 0,N151,0)</f>
        <v>0</v>
      </c>
      <c r="Q151" s="251">
        <f>IF(N151&lt;0,N151,0)</f>
        <v>-1</v>
      </c>
      <c r="R1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44317</v>
      </c>
      <c r="T1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1" s="253">
        <f ca="1">IF(Tabla33610673[[#This Row],[Equity]]&lt;Tabla33610673[[#This Row],[Equity Peak]],(Tabla33610673[[#This Row],[Equity Peak]]-Tabla33610673[[#This Row],[Equity]])/Tabla33610673[[#This Row],[Equity Peak]],"")</f>
        <v>2.4391854705558613E-2</v>
      </c>
      <c r="V151" s="254">
        <f>IF(B151="FX",N151,0)</f>
        <v>0</v>
      </c>
      <c r="W151" s="254">
        <f>IF(D151="O",IF(V151&lt;0,V151,0),0)</f>
        <v>0</v>
      </c>
      <c r="X151" s="254">
        <f>IF(B151="COM",N151,0)</f>
        <v>0</v>
      </c>
      <c r="Y151" s="254">
        <f>IF(D151="O",IF(X151&lt;0,X151,0),0)</f>
        <v>0</v>
      </c>
      <c r="Z151" s="254">
        <f>IF(B151="IND",N151,0)</f>
        <v>-1</v>
      </c>
      <c r="AA151" s="250">
        <f>IF(D151="O",IF(Z151&lt;0,Z151,0),0)</f>
        <v>0</v>
      </c>
      <c r="AB151" s="254">
        <f>IF(B151="CRYPTO",N151,0)</f>
        <v>0</v>
      </c>
      <c r="AC151" s="250">
        <f>IF(D151="O",IF(AB151&lt;0,AB151,0),0)</f>
        <v>0</v>
      </c>
      <c r="AD151" s="255">
        <f>IF(K151&lt;&gt;"",K151-E151,0)</f>
        <v>5.0694444442342501E-2</v>
      </c>
      <c r="AE151" s="255">
        <f>IF(N151&gt;0,AD151,0)</f>
        <v>0</v>
      </c>
      <c r="AF151" s="255">
        <f>IF(N151&lt;0,AD151,0)</f>
        <v>5.0694444442342501E-2</v>
      </c>
      <c r="AG151" s="255">
        <f>IF(N151=0,AD151,0)</f>
        <v>0</v>
      </c>
    </row>
    <row r="152" spans="2:33" ht="15" customHeight="1" x14ac:dyDescent="0.3">
      <c r="B152" s="196" t="s">
        <v>7</v>
      </c>
      <c r="C152" s="197" t="s">
        <v>15</v>
      </c>
      <c r="D152" s="246" t="str">
        <f>IF(E152&lt;&gt;"",IF(K152&lt;&gt;"","C","O"),"")</f>
        <v>C</v>
      </c>
      <c r="E152" s="199">
        <v>44833.53125</v>
      </c>
      <c r="F152" s="200" t="s">
        <v>115</v>
      </c>
      <c r="G152" s="235">
        <v>157.595</v>
      </c>
      <c r="H152" s="235">
        <v>156.48400000000001</v>
      </c>
      <c r="I152" s="247">
        <f>ABS(G152-H152)</f>
        <v>1.11099999999999</v>
      </c>
      <c r="J152" s="235">
        <v>160.768</v>
      </c>
      <c r="K152" s="199">
        <v>44834.043055555558</v>
      </c>
      <c r="L152" s="235">
        <v>160.768</v>
      </c>
      <c r="M152" s="248">
        <f>ROUND(IF(C152="L",(L152-G152),(G152-L152)),4)</f>
        <v>3.173</v>
      </c>
      <c r="N152" s="249">
        <f>IFERROR(ROUND((M152/I152),2),"")</f>
        <v>2.86</v>
      </c>
      <c r="O152" s="250">
        <f>IF(D152="O",IF(N152&lt;0,N152,0),0)</f>
        <v>0</v>
      </c>
      <c r="P152" s="251">
        <f>IF(N152&gt;= 0,N152,0)</f>
        <v>2.86</v>
      </c>
      <c r="Q152" s="251">
        <f>IF(N152&lt;0,N152,0)</f>
        <v>0</v>
      </c>
      <c r="R1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44417</v>
      </c>
      <c r="T1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2" s="253">
        <f ca="1">IF(Tabla33610673[[#This Row],[Equity]]&lt;Tabla33610673[[#This Row],[Equity Peak]],(Tabla33610673[[#This Row],[Equity Peak]]-Tabla33610673[[#This Row],[Equity]])/Tabla33610673[[#This Row],[Equity Peak]],"")</f>
        <v>2.2190423775454046E-2</v>
      </c>
      <c r="V152" s="254">
        <f>IF(B152="FX",N152,0)</f>
        <v>2.86</v>
      </c>
      <c r="W152" s="254">
        <f>IF(D152="O",IF(V152&lt;0,V152,0),0)</f>
        <v>0</v>
      </c>
      <c r="X152" s="254">
        <f>IF(B152="COM",N152,0)</f>
        <v>0</v>
      </c>
      <c r="Y152" s="254">
        <f>IF(D152="O",IF(X152&lt;0,X152,0),0)</f>
        <v>0</v>
      </c>
      <c r="Z152" s="254">
        <f>IF(B152="IND",N152,0)</f>
        <v>0</v>
      </c>
      <c r="AA152" s="250">
        <f>IF(D152="O",IF(Z152&lt;0,Z152,0),0)</f>
        <v>0</v>
      </c>
      <c r="AB152" s="254">
        <f>IF(B152="CRYPTO",N152,0)</f>
        <v>0</v>
      </c>
      <c r="AC152" s="250">
        <f>IF(D152="O",IF(AB152&lt;0,AB152,0),0)</f>
        <v>0</v>
      </c>
      <c r="AD152" s="255">
        <f>IF(K152&lt;&gt;"",K152-E152,0)</f>
        <v>0.5118055555576575</v>
      </c>
      <c r="AE152" s="255">
        <f>IF(N152&gt;0,AD152,0)</f>
        <v>0.5118055555576575</v>
      </c>
      <c r="AF152" s="255">
        <f>IF(N152&lt;0,AD152,0)</f>
        <v>0</v>
      </c>
      <c r="AG152" s="255">
        <f>IF(N152=0,AD152,0)</f>
        <v>0</v>
      </c>
    </row>
    <row r="153" spans="2:33" ht="15" customHeight="1" x14ac:dyDescent="0.3">
      <c r="B153" s="196" t="s">
        <v>5</v>
      </c>
      <c r="C153" s="197" t="s">
        <v>13</v>
      </c>
      <c r="D153" s="246" t="str">
        <f>IF(E153&lt;&gt;"",IF(K153&lt;&gt;"","C","O"),"")</f>
        <v>C</v>
      </c>
      <c r="E153" s="199">
        <v>44833.875</v>
      </c>
      <c r="F153" s="200" t="s">
        <v>92</v>
      </c>
      <c r="G153" s="235">
        <v>11051.25</v>
      </c>
      <c r="H153" s="235">
        <v>11099.66</v>
      </c>
      <c r="I153" s="247">
        <f>ABS(G153-H153)</f>
        <v>48.409999999999854</v>
      </c>
      <c r="J153" s="235">
        <v>10147.57</v>
      </c>
      <c r="K153" s="199">
        <v>44833.927777777775</v>
      </c>
      <c r="L153" s="235">
        <v>11099.66</v>
      </c>
      <c r="M153" s="248">
        <f>ROUND(IF(C153="L",(L153-G153),(G153-L153)),4)</f>
        <v>-48.41</v>
      </c>
      <c r="N153" s="249">
        <f>IFERROR(ROUND((M153/I153),2),"")</f>
        <v>-1</v>
      </c>
      <c r="O153" s="250">
        <f>IF(D153="O",IF(N153&lt;0,N153,0),0)</f>
        <v>0</v>
      </c>
      <c r="P153" s="251">
        <f>IF(N153&gt;= 0,N153,0)</f>
        <v>0</v>
      </c>
      <c r="Q153" s="251">
        <f>IF(N153&lt;0,N153,0)</f>
        <v>-1</v>
      </c>
      <c r="R1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44131</v>
      </c>
      <c r="T1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3" s="253">
        <f ca="1">IF(Tabla33610673[[#This Row],[Equity]]&lt;Tabla33610673[[#This Row],[Equity Peak]],(Tabla33610673[[#This Row],[Equity Peak]]-Tabla33610673[[#This Row],[Equity]])/Tabla33610673[[#This Row],[Equity Peak]],"")</f>
        <v>2.8486516235553108E-2</v>
      </c>
      <c r="V153" s="254">
        <f>IF(B153="FX",N153,0)</f>
        <v>0</v>
      </c>
      <c r="W153" s="254">
        <f>IF(D153="O",IF(V153&lt;0,V153,0),0)</f>
        <v>0</v>
      </c>
      <c r="X153" s="254">
        <f>IF(B153="COM",N153,0)</f>
        <v>0</v>
      </c>
      <c r="Y153" s="254">
        <f>IF(D153="O",IF(X153&lt;0,X153,0),0)</f>
        <v>0</v>
      </c>
      <c r="Z153" s="254">
        <f>IF(B153="IND",N153,0)</f>
        <v>-1</v>
      </c>
      <c r="AA153" s="250">
        <f>IF(D153="O",IF(Z153&lt;0,Z153,0),0)</f>
        <v>0</v>
      </c>
      <c r="AB153" s="254">
        <f>IF(B153="CRYPTO",N153,0)</f>
        <v>0</v>
      </c>
      <c r="AC153" s="250">
        <f>IF(D153="O",IF(AB153&lt;0,AB153,0),0)</f>
        <v>0</v>
      </c>
      <c r="AD153" s="255">
        <f>IF(K153&lt;&gt;"",K153-E153,0)</f>
        <v>5.2777777775190771E-2</v>
      </c>
      <c r="AE153" s="255">
        <f>IF(N153&gt;0,AD153,0)</f>
        <v>0</v>
      </c>
      <c r="AF153" s="255">
        <f>IF(N153&lt;0,AD153,0)</f>
        <v>5.2777777775190771E-2</v>
      </c>
      <c r="AG153" s="255">
        <f>IF(N153=0,AD153,0)</f>
        <v>0</v>
      </c>
    </row>
    <row r="154" spans="2:33" ht="15" customHeight="1" x14ac:dyDescent="0.3">
      <c r="B154" s="196" t="s">
        <v>5</v>
      </c>
      <c r="C154" s="197" t="s">
        <v>13</v>
      </c>
      <c r="D154" s="246" t="str">
        <f>IF(E154&lt;&gt;"",IF(K154&lt;&gt;"","C","O"),"")</f>
        <v>C</v>
      </c>
      <c r="E154" s="199">
        <v>44833.875</v>
      </c>
      <c r="F154" s="200" t="s">
        <v>93</v>
      </c>
      <c r="G154" s="235">
        <v>11051.25</v>
      </c>
      <c r="H154" s="235">
        <v>11099.34</v>
      </c>
      <c r="I154" s="247">
        <f>ABS(G154-H154)</f>
        <v>48.090000000000146</v>
      </c>
      <c r="J154" s="235">
        <v>10538.34</v>
      </c>
      <c r="K154" s="199">
        <v>44833.927777777775</v>
      </c>
      <c r="L154" s="235">
        <v>11099.34</v>
      </c>
      <c r="M154" s="248">
        <f>ROUND(IF(C154="L",(L154-G154),(G154-L154)),4)</f>
        <v>-48.09</v>
      </c>
      <c r="N154" s="249">
        <f>IFERROR(ROUND((M154/I154),2),"")</f>
        <v>-1</v>
      </c>
      <c r="O154" s="250">
        <f>IF(D154="O",IF(N154&lt;0,N154,0),0)</f>
        <v>0</v>
      </c>
      <c r="P154" s="251">
        <f>IF(N154&gt;= 0,N154,0)</f>
        <v>0</v>
      </c>
      <c r="Q154" s="251">
        <f>IF(N154&lt;0,N154,0)</f>
        <v>-1</v>
      </c>
      <c r="R1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44231</v>
      </c>
      <c r="T1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4" s="253">
        <f ca="1">IF(Tabla33610673[[#This Row],[Equity]]&lt;Tabla33610673[[#This Row],[Equity Peak]],(Tabla33610673[[#This Row],[Equity Peak]]-Tabla33610673[[#This Row],[Equity]])/Tabla33610673[[#This Row],[Equity Peak]],"")</f>
        <v>2.6285085305448541E-2</v>
      </c>
      <c r="V154" s="254">
        <f>IF(B154="FX",N154,0)</f>
        <v>0</v>
      </c>
      <c r="W154" s="254">
        <f>IF(D154="O",IF(V154&lt;0,V154,0),0)</f>
        <v>0</v>
      </c>
      <c r="X154" s="254">
        <f>IF(B154="COM",N154,0)</f>
        <v>0</v>
      </c>
      <c r="Y154" s="254">
        <f>IF(D154="O",IF(X154&lt;0,X154,0),0)</f>
        <v>0</v>
      </c>
      <c r="Z154" s="254">
        <f>IF(B154="IND",N154,0)</f>
        <v>-1</v>
      </c>
      <c r="AA154" s="250">
        <f>IF(D154="O",IF(Z154&lt;0,Z154,0),0)</f>
        <v>0</v>
      </c>
      <c r="AB154" s="254">
        <f>IF(B154="CRYPTO",N154,0)</f>
        <v>0</v>
      </c>
      <c r="AC154" s="250">
        <f>IF(D154="O",IF(AB154&lt;0,AB154,0),0)</f>
        <v>0</v>
      </c>
      <c r="AD154" s="255">
        <f>IF(K154&lt;&gt;"",K154-E154,0)</f>
        <v>5.2777777775190771E-2</v>
      </c>
      <c r="AE154" s="255">
        <f>IF(N154&gt;0,AD154,0)</f>
        <v>0</v>
      </c>
      <c r="AF154" s="255">
        <f>IF(N154&lt;0,AD154,0)</f>
        <v>5.2777777775190771E-2</v>
      </c>
      <c r="AG154" s="255">
        <f>IF(N154=0,AD154,0)</f>
        <v>0</v>
      </c>
    </row>
    <row r="155" spans="2:33" ht="15" customHeight="1" x14ac:dyDescent="0.3">
      <c r="B155" s="196" t="s">
        <v>7</v>
      </c>
      <c r="C155" s="197" t="s">
        <v>15</v>
      </c>
      <c r="D155" s="246" t="str">
        <f>IF(E155&lt;&gt;"",IF(K155&lt;&gt;"","C","O"),"")</f>
        <v>C</v>
      </c>
      <c r="E155" s="199">
        <v>44832.84375</v>
      </c>
      <c r="F155" s="200" t="s">
        <v>115</v>
      </c>
      <c r="G155" s="235">
        <v>156.84200000000001</v>
      </c>
      <c r="H155" s="235">
        <v>155.63399999999999</v>
      </c>
      <c r="I155" s="247">
        <f>ABS(G155-H155)</f>
        <v>1.2080000000000268</v>
      </c>
      <c r="J155" s="235">
        <v>160.29300000000001</v>
      </c>
      <c r="K155" s="199">
        <v>44833.229166666664</v>
      </c>
      <c r="L155" s="235">
        <v>155.63399999999999</v>
      </c>
      <c r="M155" s="248">
        <f>ROUND(IF(C155="L",(L155-G155),(G155-L155)),4)</f>
        <v>-1.208</v>
      </c>
      <c r="N155" s="249">
        <f>IFERROR(ROUND((M155/I155),2),"")</f>
        <v>-1</v>
      </c>
      <c r="O155" s="250">
        <f>IF(D155="O",IF(N155&lt;0,N155,0),0)</f>
        <v>0</v>
      </c>
      <c r="P155" s="251">
        <f>IF(N155&gt;= 0,N155,0)</f>
        <v>0</v>
      </c>
      <c r="Q155" s="251">
        <f>IF(N155&lt;0,N155,0)</f>
        <v>-1</v>
      </c>
      <c r="R1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44331</v>
      </c>
      <c r="T1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5" s="253">
        <f ca="1">IF(Tabla33610673[[#This Row],[Equity]]&lt;Tabla33610673[[#This Row],[Equity Peak]],(Tabla33610673[[#This Row],[Equity Peak]]-Tabla33610673[[#This Row],[Equity]])/Tabla33610673[[#This Row],[Equity Peak]],"")</f>
        <v>2.4083654375343974E-2</v>
      </c>
      <c r="V155" s="254">
        <f>IF(B155="FX",N155,0)</f>
        <v>-1</v>
      </c>
      <c r="W155" s="254">
        <f>IF(D155="O",IF(V155&lt;0,V155,0),0)</f>
        <v>0</v>
      </c>
      <c r="X155" s="254">
        <f>IF(B155="COM",N155,0)</f>
        <v>0</v>
      </c>
      <c r="Y155" s="254">
        <f>IF(D155="O",IF(X155&lt;0,X155,0),0)</f>
        <v>0</v>
      </c>
      <c r="Z155" s="254">
        <f>IF(B155="IND",N155,0)</f>
        <v>0</v>
      </c>
      <c r="AA155" s="250">
        <f>IF(D155="O",IF(Z155&lt;0,Z155,0),0)</f>
        <v>0</v>
      </c>
      <c r="AB155" s="254">
        <f>IF(B155="CRYPTO",N155,0)</f>
        <v>0</v>
      </c>
      <c r="AC155" s="250">
        <f>IF(D155="O",IF(AB155&lt;0,AB155,0),0)</f>
        <v>0</v>
      </c>
      <c r="AD155" s="255">
        <f>IF(K155&lt;&gt;"",K155-E155,0)</f>
        <v>0.38541666666424135</v>
      </c>
      <c r="AE155" s="255">
        <f>IF(N155&gt;0,AD155,0)</f>
        <v>0</v>
      </c>
      <c r="AF155" s="255">
        <f>IF(N155&lt;0,AD155,0)</f>
        <v>0.38541666666424135</v>
      </c>
      <c r="AG155" s="255">
        <f>IF(N155=0,AD155,0)</f>
        <v>0</v>
      </c>
    </row>
    <row r="156" spans="2:33" ht="15" customHeight="1" x14ac:dyDescent="0.3">
      <c r="B156" s="196" t="s">
        <v>7</v>
      </c>
      <c r="C156" s="197" t="s">
        <v>13</v>
      </c>
      <c r="D156" s="246" t="str">
        <f>IF(E156&lt;&gt;"",IF(K156&lt;&gt;"","C","O"),"")</f>
        <v>C</v>
      </c>
      <c r="E156" s="199">
        <v>44832.59375</v>
      </c>
      <c r="F156" s="200" t="s">
        <v>115</v>
      </c>
      <c r="G156" s="235">
        <v>153.04599999999999</v>
      </c>
      <c r="H156" s="235">
        <v>154.089</v>
      </c>
      <c r="I156" s="247">
        <f>ABS(G156-H156)</f>
        <v>1.0430000000000064</v>
      </c>
      <c r="J156" s="235">
        <v>150.065</v>
      </c>
      <c r="K156" s="199">
        <v>44832.640972222223</v>
      </c>
      <c r="L156" s="235">
        <v>153.90600000000001</v>
      </c>
      <c r="M156" s="248">
        <f>ROUND(IF(C156="L",(L156-G156),(G156-L156)),4)</f>
        <v>-0.86</v>
      </c>
      <c r="N156" s="249">
        <f>IFERROR(ROUND((M156/I156),2),"")</f>
        <v>-0.82</v>
      </c>
      <c r="O156" s="250">
        <f>IF(D156="O",IF(N156&lt;0,N156,0),0)</f>
        <v>0</v>
      </c>
      <c r="P156" s="251">
        <f>IF(N156&gt;= 0,N156,0)</f>
        <v>0</v>
      </c>
      <c r="Q156" s="251">
        <f>IF(N156&lt;0,N156,0)</f>
        <v>-0.82</v>
      </c>
      <c r="R1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44431</v>
      </c>
      <c r="T1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6" s="253">
        <f ca="1">IF(Tabla33610673[[#This Row],[Equity]]&lt;Tabla33610673[[#This Row],[Equity Peak]],(Tabla33610673[[#This Row],[Equity Peak]]-Tabla33610673[[#This Row],[Equity]])/Tabla33610673[[#This Row],[Equity Peak]],"")</f>
        <v>2.1882223445239407E-2</v>
      </c>
      <c r="V156" s="254">
        <f>IF(B156="FX",N156,0)</f>
        <v>-0.82</v>
      </c>
      <c r="W156" s="254">
        <f>IF(D156="O",IF(V156&lt;0,V156,0),0)</f>
        <v>0</v>
      </c>
      <c r="X156" s="254">
        <f>IF(B156="COM",N156,0)</f>
        <v>0</v>
      </c>
      <c r="Y156" s="254">
        <f>IF(D156="O",IF(X156&lt;0,X156,0),0)</f>
        <v>0</v>
      </c>
      <c r="Z156" s="254">
        <f>IF(B156="IND",N156,0)</f>
        <v>0</v>
      </c>
      <c r="AA156" s="250">
        <f>IF(D156="O",IF(Z156&lt;0,Z156,0),0)</f>
        <v>0</v>
      </c>
      <c r="AB156" s="254">
        <f>IF(B156="CRYPTO",N156,0)</f>
        <v>0</v>
      </c>
      <c r="AC156" s="250">
        <f>IF(D156="O",IF(AB156&lt;0,AB156,0),0)</f>
        <v>0</v>
      </c>
      <c r="AD156" s="255">
        <f>IF(K156&lt;&gt;"",K156-E156,0)</f>
        <v>4.7222222223354038E-2</v>
      </c>
      <c r="AE156" s="255">
        <f>IF(N156&gt;0,AD156,0)</f>
        <v>0</v>
      </c>
      <c r="AF156" s="255">
        <f>IF(N156&lt;0,AD156,0)</f>
        <v>4.7222222223354038E-2</v>
      </c>
      <c r="AG156" s="255">
        <f>IF(N156=0,AD156,0)</f>
        <v>0</v>
      </c>
    </row>
    <row r="157" spans="2:33" ht="15" customHeight="1" x14ac:dyDescent="0.3">
      <c r="B157" s="196" t="s">
        <v>5</v>
      </c>
      <c r="C157" s="197" t="s">
        <v>13</v>
      </c>
      <c r="D157" s="246" t="str">
        <f>IF(E157&lt;&gt;"",IF(K157&lt;&gt;"","C","O"),"")</f>
        <v>C</v>
      </c>
      <c r="E157" s="199">
        <v>44831.770833333336</v>
      </c>
      <c r="F157" s="200" t="s">
        <v>91</v>
      </c>
      <c r="G157" s="235">
        <v>12142.98</v>
      </c>
      <c r="H157" s="235">
        <v>12199.54</v>
      </c>
      <c r="I157" s="247">
        <f>ABS(G157-H157)</f>
        <v>56.56000000000131</v>
      </c>
      <c r="J157" s="235">
        <v>11087.23</v>
      </c>
      <c r="K157" s="199">
        <v>44832.554861111108</v>
      </c>
      <c r="L157" s="235">
        <v>12069.17</v>
      </c>
      <c r="M157" s="248">
        <f>ROUND(IF(C157="L",(L157-G157),(G157-L157)),4)</f>
        <v>73.81</v>
      </c>
      <c r="N157" s="249">
        <f>IFERROR(ROUND((M157/I157),2),"")</f>
        <v>1.3</v>
      </c>
      <c r="O157" s="250">
        <f>IF(D157="O",IF(N157&lt;0,N157,0),0)</f>
        <v>0</v>
      </c>
      <c r="P157" s="251">
        <f>IF(N157&gt;= 0,N157,0)</f>
        <v>1.3</v>
      </c>
      <c r="Q157" s="251">
        <f>IF(N157&lt;0,N157,0)</f>
        <v>0</v>
      </c>
      <c r="R1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44513</v>
      </c>
      <c r="T1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7" s="253">
        <f ca="1">IF(Tabla33610673[[#This Row],[Equity]]&lt;Tabla33610673[[#This Row],[Equity Peak]],(Tabla33610673[[#This Row],[Equity Peak]]-Tabla33610673[[#This Row],[Equity]])/Tabla33610673[[#This Row],[Equity Peak]],"")</f>
        <v>2.0077050082553661E-2</v>
      </c>
      <c r="V157" s="254">
        <f>IF(B157="FX",N157,0)</f>
        <v>0</v>
      </c>
      <c r="W157" s="254">
        <f>IF(D157="O",IF(V157&lt;0,V157,0),0)</f>
        <v>0</v>
      </c>
      <c r="X157" s="254">
        <f>IF(B157="COM",N157,0)</f>
        <v>0</v>
      </c>
      <c r="Y157" s="254">
        <f>IF(D157="O",IF(X157&lt;0,X157,0),0)</f>
        <v>0</v>
      </c>
      <c r="Z157" s="254">
        <f>IF(B157="IND",N157,0)</f>
        <v>1.3</v>
      </c>
      <c r="AA157" s="250">
        <f>IF(D157="O",IF(Z157&lt;0,Z157,0),0)</f>
        <v>0</v>
      </c>
      <c r="AB157" s="254">
        <f>IF(B157="CRYPTO",N157,0)</f>
        <v>0</v>
      </c>
      <c r="AC157" s="250">
        <f>IF(D157="O",IF(AB157&lt;0,AB157,0),0)</f>
        <v>0</v>
      </c>
      <c r="AD157" s="255">
        <f>IF(K157&lt;&gt;"",K157-E157,0)</f>
        <v>0.78402777777228039</v>
      </c>
      <c r="AE157" s="255">
        <f>IF(N157&gt;0,AD157,0)</f>
        <v>0.78402777777228039</v>
      </c>
      <c r="AF157" s="255">
        <f>IF(N157&lt;0,AD157,0)</f>
        <v>0</v>
      </c>
      <c r="AG157" s="255">
        <f>IF(N157=0,AD157,0)</f>
        <v>0</v>
      </c>
    </row>
    <row r="158" spans="2:33" ht="15" customHeight="1" x14ac:dyDescent="0.3">
      <c r="B158" s="196" t="s">
        <v>7</v>
      </c>
      <c r="C158" s="197" t="s">
        <v>13</v>
      </c>
      <c r="D158" s="246" t="str">
        <f>IF(E158&lt;&gt;"",IF(K158&lt;&gt;"","C","O"),"")</f>
        <v>C</v>
      </c>
      <c r="E158" s="199">
        <v>44832.25</v>
      </c>
      <c r="F158" s="200" t="s">
        <v>115</v>
      </c>
      <c r="G158" s="235">
        <v>153.79900000000001</v>
      </c>
      <c r="H158" s="235">
        <v>154.999</v>
      </c>
      <c r="I158" s="247">
        <f>ABS(G158-H158)</f>
        <v>1.1999999999999886</v>
      </c>
      <c r="J158" s="235">
        <v>150.369</v>
      </c>
      <c r="K158" s="199">
        <v>44832.543055555558</v>
      </c>
      <c r="L158" s="235">
        <v>154.999</v>
      </c>
      <c r="M158" s="248">
        <f>ROUND(IF(C158="L",(L158-G158),(G158-L158)),4)</f>
        <v>-1.2</v>
      </c>
      <c r="N158" s="249">
        <f>IFERROR(ROUND((M158/I158),2),"")</f>
        <v>-1</v>
      </c>
      <c r="O158" s="250">
        <f>IF(D158="O",IF(N158&lt;0,N158,0),0)</f>
        <v>0</v>
      </c>
      <c r="P158" s="251">
        <f>IF(N158&gt;= 0,N158,0)</f>
        <v>0</v>
      </c>
      <c r="Q158" s="251">
        <f>IF(N158&lt;0,N158,0)</f>
        <v>-1</v>
      </c>
      <c r="R1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44383</v>
      </c>
      <c r="T1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8" s="253">
        <f ca="1">IF(Tabla33610673[[#This Row],[Equity]]&lt;Tabla33610673[[#This Row],[Equity Peak]],(Tabla33610673[[#This Row],[Equity Peak]]-Tabla33610673[[#This Row],[Equity]])/Tabla33610673[[#This Row],[Equity Peak]],"")</f>
        <v>2.2938910291689599E-2</v>
      </c>
      <c r="V158" s="254">
        <f>IF(B158="FX",N158,0)</f>
        <v>-1</v>
      </c>
      <c r="W158" s="254">
        <f>IF(D158="O",IF(V158&lt;0,V158,0),0)</f>
        <v>0</v>
      </c>
      <c r="X158" s="254">
        <f>IF(B158="COM",N158,0)</f>
        <v>0</v>
      </c>
      <c r="Y158" s="254">
        <f>IF(D158="O",IF(X158&lt;0,X158,0),0)</f>
        <v>0</v>
      </c>
      <c r="Z158" s="254">
        <f>IF(B158="IND",N158,0)</f>
        <v>0</v>
      </c>
      <c r="AA158" s="250">
        <f>IF(D158="O",IF(Z158&lt;0,Z158,0),0)</f>
        <v>0</v>
      </c>
      <c r="AB158" s="254">
        <f>IF(B158="CRYPTO",N158,0)</f>
        <v>0</v>
      </c>
      <c r="AC158" s="250">
        <f>IF(D158="O",IF(AB158&lt;0,AB158,0),0)</f>
        <v>0</v>
      </c>
      <c r="AD158" s="255">
        <f>IF(K158&lt;&gt;"",K158-E158,0)</f>
        <v>0.2930555555576575</v>
      </c>
      <c r="AE158" s="255">
        <f>IF(N158&gt;0,AD158,0)</f>
        <v>0</v>
      </c>
      <c r="AF158" s="255">
        <f>IF(N158&lt;0,AD158,0)</f>
        <v>0.2930555555576575</v>
      </c>
      <c r="AG158" s="255">
        <f>IF(N158=0,AD158,0)</f>
        <v>0</v>
      </c>
    </row>
    <row r="159" spans="2:33" ht="15" customHeight="1" x14ac:dyDescent="0.3">
      <c r="B159" s="196" t="s">
        <v>5</v>
      </c>
      <c r="C159" s="197" t="s">
        <v>13</v>
      </c>
      <c r="D159" s="246" t="str">
        <f>IF(E159&lt;&gt;"",IF(K159&lt;&gt;"","C","O"),"")</f>
        <v>C</v>
      </c>
      <c r="E159" s="199">
        <v>44832.520833333336</v>
      </c>
      <c r="F159" s="200" t="s">
        <v>92</v>
      </c>
      <c r="G159" s="235">
        <v>11098.19</v>
      </c>
      <c r="H159" s="235">
        <v>11155.73</v>
      </c>
      <c r="I159" s="247">
        <f>ABS(G159-H159)</f>
        <v>57.539999999999054</v>
      </c>
      <c r="J159" s="235">
        <v>10024.1</v>
      </c>
      <c r="K159" s="199">
        <v>44832.543055555558</v>
      </c>
      <c r="L159" s="235">
        <v>11155.73</v>
      </c>
      <c r="M159" s="248">
        <f>ROUND(IF(C159="L",(L159-G159),(G159-L159)),4)</f>
        <v>-57.54</v>
      </c>
      <c r="N159" s="249">
        <f>IFERROR(ROUND((M159/I159),2),"")</f>
        <v>-1</v>
      </c>
      <c r="O159" s="250">
        <f>IF(D159="O",IF(N159&lt;0,N159,0),0)</f>
        <v>0</v>
      </c>
      <c r="P159" s="251">
        <f>IF(N159&gt;= 0,N159,0)</f>
        <v>0</v>
      </c>
      <c r="Q159" s="251">
        <f>IF(N159&lt;0,N159,0)</f>
        <v>-1</v>
      </c>
      <c r="R1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44483</v>
      </c>
      <c r="T1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59" s="253">
        <f ca="1">IF(Tabla33610673[[#This Row],[Equity]]&lt;Tabla33610673[[#This Row],[Equity Peak]],(Tabla33610673[[#This Row],[Equity Peak]]-Tabla33610673[[#This Row],[Equity]])/Tabla33610673[[#This Row],[Equity Peak]],"")</f>
        <v>2.0737479361585029E-2</v>
      </c>
      <c r="V159" s="254">
        <f>IF(B159="FX",N159,0)</f>
        <v>0</v>
      </c>
      <c r="W159" s="254">
        <f>IF(D159="O",IF(V159&lt;0,V159,0),0)</f>
        <v>0</v>
      </c>
      <c r="X159" s="254">
        <f>IF(B159="COM",N159,0)</f>
        <v>0</v>
      </c>
      <c r="Y159" s="254">
        <f>IF(D159="O",IF(X159&lt;0,X159,0),0)</f>
        <v>0</v>
      </c>
      <c r="Z159" s="254">
        <f>IF(B159="IND",N159,0)</f>
        <v>-1</v>
      </c>
      <c r="AA159" s="250">
        <f>IF(D159="O",IF(Z159&lt;0,Z159,0),0)</f>
        <v>0</v>
      </c>
      <c r="AB159" s="254">
        <f>IF(B159="CRYPTO",N159,0)</f>
        <v>0</v>
      </c>
      <c r="AC159" s="250">
        <f>IF(D159="O",IF(AB159&lt;0,AB159,0),0)</f>
        <v>0</v>
      </c>
      <c r="AD159" s="255">
        <f>IF(K159&lt;&gt;"",K159-E159,0)</f>
        <v>2.2222222221898846E-2</v>
      </c>
      <c r="AE159" s="255">
        <f>IF(N159&gt;0,AD159,0)</f>
        <v>0</v>
      </c>
      <c r="AF159" s="255">
        <f>IF(N159&lt;0,AD159,0)</f>
        <v>2.2222222221898846E-2</v>
      </c>
      <c r="AG159" s="255">
        <f>IF(N159=0,AD159,0)</f>
        <v>0</v>
      </c>
    </row>
    <row r="160" spans="2:33" ht="15" customHeight="1" x14ac:dyDescent="0.3">
      <c r="B160" s="196" t="s">
        <v>5</v>
      </c>
      <c r="C160" s="197" t="s">
        <v>13</v>
      </c>
      <c r="D160" s="246" t="str">
        <f>IF(E160&lt;&gt;"",IF(K160&lt;&gt;"","C","O"),"")</f>
        <v>C</v>
      </c>
      <c r="E160" s="199">
        <v>44832.520833333336</v>
      </c>
      <c r="F160" s="200" t="s">
        <v>93</v>
      </c>
      <c r="G160" s="235">
        <v>11098.19</v>
      </c>
      <c r="H160" s="235">
        <v>11153.69</v>
      </c>
      <c r="I160" s="247">
        <f>ABS(G160-H160)</f>
        <v>55.5</v>
      </c>
      <c r="J160" s="235">
        <v>10506.18</v>
      </c>
      <c r="K160" s="199">
        <v>44832.543055555558</v>
      </c>
      <c r="L160" s="235">
        <v>11153.69</v>
      </c>
      <c r="M160" s="248">
        <f>ROUND(IF(C160="L",(L160-G160),(G160-L160)),4)</f>
        <v>-55.5</v>
      </c>
      <c r="N160" s="249">
        <f>IFERROR(ROUND((M160/I160),2),"")</f>
        <v>-1</v>
      </c>
      <c r="O160" s="250">
        <f>IF(D160="O",IF(N160&lt;0,N160,0),0)</f>
        <v>0</v>
      </c>
      <c r="P160" s="251">
        <f>IF(N160&gt;= 0,N160,0)</f>
        <v>0</v>
      </c>
      <c r="Q160" s="251">
        <f>IF(N160&lt;0,N160,0)</f>
        <v>-1</v>
      </c>
      <c r="R1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44583</v>
      </c>
      <c r="T1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0" s="253">
        <f ca="1">IF(Tabla33610673[[#This Row],[Equity]]&lt;Tabla33610673[[#This Row],[Equity Peak]],(Tabla33610673[[#This Row],[Equity Peak]]-Tabla33610673[[#This Row],[Equity]])/Tabla33610673[[#This Row],[Equity Peak]],"")</f>
        <v>1.8536048431480462E-2</v>
      </c>
      <c r="V160" s="254">
        <f>IF(B160="FX",N160,0)</f>
        <v>0</v>
      </c>
      <c r="W160" s="254">
        <f>IF(D160="O",IF(V160&lt;0,V160,0),0)</f>
        <v>0</v>
      </c>
      <c r="X160" s="254">
        <f>IF(B160="COM",N160,0)</f>
        <v>0</v>
      </c>
      <c r="Y160" s="254">
        <f>IF(D160="O",IF(X160&lt;0,X160,0),0)</f>
        <v>0</v>
      </c>
      <c r="Z160" s="254">
        <f>IF(B160="IND",N160,0)</f>
        <v>-1</v>
      </c>
      <c r="AA160" s="250">
        <f>IF(D160="O",IF(Z160&lt;0,Z160,0),0)</f>
        <v>0</v>
      </c>
      <c r="AB160" s="254">
        <f>IF(B160="CRYPTO",N160,0)</f>
        <v>0</v>
      </c>
      <c r="AC160" s="250">
        <f>IF(D160="O",IF(AB160&lt;0,AB160,0),0)</f>
        <v>0</v>
      </c>
      <c r="AD160" s="255">
        <f>IF(K160&lt;&gt;"",K160-E160,0)</f>
        <v>2.2222222221898846E-2</v>
      </c>
      <c r="AE160" s="255">
        <f>IF(N160&gt;0,AD160,0)</f>
        <v>0</v>
      </c>
      <c r="AF160" s="255">
        <f>IF(N160&lt;0,AD160,0)</f>
        <v>2.2222222221898846E-2</v>
      </c>
      <c r="AG160" s="255">
        <f>IF(N160=0,AD160,0)</f>
        <v>0</v>
      </c>
    </row>
    <row r="161" spans="2:33" ht="15" customHeight="1" x14ac:dyDescent="0.3">
      <c r="B161" s="196" t="s">
        <v>19</v>
      </c>
      <c r="C161" s="197" t="s">
        <v>13</v>
      </c>
      <c r="D161" s="246" t="str">
        <f>IF(E161&lt;&gt;"",IF(K161&lt;&gt;"","C","O"),"")</f>
        <v>C</v>
      </c>
      <c r="E161" s="199">
        <v>44832.427083333336</v>
      </c>
      <c r="F161" s="200" t="s">
        <v>88</v>
      </c>
      <c r="G161" s="235">
        <v>1618.13</v>
      </c>
      <c r="H161" s="235">
        <v>1621.49</v>
      </c>
      <c r="I161" s="247">
        <f>ABS(G161-H161)</f>
        <v>3.3599999999999</v>
      </c>
      <c r="J161" s="235">
        <v>1577.84</v>
      </c>
      <c r="K161" s="199">
        <v>44832.45416666667</v>
      </c>
      <c r="L161" s="235">
        <v>1621.49</v>
      </c>
      <c r="M161" s="248">
        <f>ROUND(IF(C161="L",(L161-G161),(G161-L161)),4)</f>
        <v>-3.36</v>
      </c>
      <c r="N161" s="249">
        <f>IFERROR(ROUND((M161/I161),2),"")</f>
        <v>-1</v>
      </c>
      <c r="O161" s="250">
        <f>IF(D161="O",IF(N161&lt;0,N161,0),0)</f>
        <v>0</v>
      </c>
      <c r="P161" s="251">
        <f>IF(N161&gt;= 0,N161,0)</f>
        <v>0</v>
      </c>
      <c r="Q161" s="251">
        <f>IF(N161&lt;0,N161,0)</f>
        <v>-1</v>
      </c>
      <c r="R1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44683</v>
      </c>
      <c r="T1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1" s="253">
        <f ca="1">IF(Tabla33610673[[#This Row],[Equity]]&lt;Tabla33610673[[#This Row],[Equity Peak]],(Tabla33610673[[#This Row],[Equity Peak]]-Tabla33610673[[#This Row],[Equity]])/Tabla33610673[[#This Row],[Equity Peak]],"")</f>
        <v>1.6334617501375895E-2</v>
      </c>
      <c r="V161" s="254">
        <f>IF(B161="FX",N161,0)</f>
        <v>0</v>
      </c>
      <c r="W161" s="254">
        <f>IF(D161="O",IF(V161&lt;0,V161,0),0)</f>
        <v>0</v>
      </c>
      <c r="X161" s="254">
        <f>IF(B161="COM",N161,0)</f>
        <v>-1</v>
      </c>
      <c r="Y161" s="254">
        <f>IF(D161="O",IF(X161&lt;0,X161,0),0)</f>
        <v>0</v>
      </c>
      <c r="Z161" s="254">
        <f>IF(B161="IND",N161,0)</f>
        <v>0</v>
      </c>
      <c r="AA161" s="250">
        <f>IF(D161="O",IF(Z161&lt;0,Z161,0),0)</f>
        <v>0</v>
      </c>
      <c r="AB161" s="254">
        <f>IF(B161="CRYPTO",N161,0)</f>
        <v>0</v>
      </c>
      <c r="AC161" s="250">
        <f>IF(D161="O",IF(AB161&lt;0,AB161,0),0)</f>
        <v>0</v>
      </c>
      <c r="AD161" s="255">
        <f>IF(K161&lt;&gt;"",K161-E161,0)</f>
        <v>2.7083333334303461E-2</v>
      </c>
      <c r="AE161" s="255">
        <f>IF(N161&gt;0,AD161,0)</f>
        <v>0</v>
      </c>
      <c r="AF161" s="255">
        <f>IF(N161&lt;0,AD161,0)</f>
        <v>2.7083333334303461E-2</v>
      </c>
      <c r="AG161" s="255">
        <f>IF(N161=0,AD161,0)</f>
        <v>0</v>
      </c>
    </row>
    <row r="162" spans="2:33" ht="15" customHeight="1" x14ac:dyDescent="0.3">
      <c r="B162" s="196" t="s">
        <v>5</v>
      </c>
      <c r="C162" s="197" t="s">
        <v>13</v>
      </c>
      <c r="D162" s="246" t="str">
        <f>IF(E162&lt;&gt;"",IF(K162&lt;&gt;"","C","O"),"")</f>
        <v>C</v>
      </c>
      <c r="E162" s="199">
        <v>44832.427083333336</v>
      </c>
      <c r="F162" s="200" t="s">
        <v>92</v>
      </c>
      <c r="G162" s="235">
        <v>11105.07</v>
      </c>
      <c r="H162" s="235">
        <v>11160.27</v>
      </c>
      <c r="I162" s="247">
        <f>ABS(G162-H162)</f>
        <v>55.200000000000728</v>
      </c>
      <c r="J162" s="235">
        <v>10074.61</v>
      </c>
      <c r="K162" s="199">
        <v>44832.447222222225</v>
      </c>
      <c r="L162" s="235">
        <v>11160.27</v>
      </c>
      <c r="M162" s="248">
        <f>ROUND(IF(C162="L",(L162-G162),(G162-L162)),4)</f>
        <v>-55.2</v>
      </c>
      <c r="N162" s="249">
        <f>IFERROR(ROUND((M162/I162),2),"")</f>
        <v>-1</v>
      </c>
      <c r="O162" s="250">
        <f>IF(D162="O",IF(N162&lt;0,N162,0),0)</f>
        <v>0</v>
      </c>
      <c r="P162" s="251">
        <f>IF(N162&gt;= 0,N162,0)</f>
        <v>0</v>
      </c>
      <c r="Q162" s="251">
        <f>IF(N162&lt;0,N162,0)</f>
        <v>-1</v>
      </c>
      <c r="R1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44783</v>
      </c>
      <c r="T1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2" s="253">
        <f ca="1">IF(Tabla33610673[[#This Row],[Equity]]&lt;Tabla33610673[[#This Row],[Equity Peak]],(Tabla33610673[[#This Row],[Equity Peak]]-Tabla33610673[[#This Row],[Equity]])/Tabla33610673[[#This Row],[Equity Peak]],"")</f>
        <v>1.4133186571271326E-2</v>
      </c>
      <c r="V162" s="254">
        <f>IF(B162="FX",N162,0)</f>
        <v>0</v>
      </c>
      <c r="W162" s="254">
        <f>IF(D162="O",IF(V162&lt;0,V162,0),0)</f>
        <v>0</v>
      </c>
      <c r="X162" s="254">
        <f>IF(B162="COM",N162,0)</f>
        <v>0</v>
      </c>
      <c r="Y162" s="254">
        <f>IF(D162="O",IF(X162&lt;0,X162,0),0)</f>
        <v>0</v>
      </c>
      <c r="Z162" s="254">
        <f>IF(B162="IND",N162,0)</f>
        <v>-1</v>
      </c>
      <c r="AA162" s="250">
        <f>IF(D162="O",IF(Z162&lt;0,Z162,0),0)</f>
        <v>0</v>
      </c>
      <c r="AB162" s="254">
        <f>IF(B162="CRYPTO",N162,0)</f>
        <v>0</v>
      </c>
      <c r="AC162" s="250">
        <f>IF(D162="O",IF(AB162&lt;0,AB162,0),0)</f>
        <v>0</v>
      </c>
      <c r="AD162" s="255">
        <f>IF(K162&lt;&gt;"",K162-E162,0)</f>
        <v>2.0138888889050577E-2</v>
      </c>
      <c r="AE162" s="255">
        <f>IF(N162&gt;0,AD162,0)</f>
        <v>0</v>
      </c>
      <c r="AF162" s="255">
        <f>IF(N162&lt;0,AD162,0)</f>
        <v>2.0138888889050577E-2</v>
      </c>
      <c r="AG162" s="255">
        <f>IF(N162=0,AD162,0)</f>
        <v>0</v>
      </c>
    </row>
    <row r="163" spans="2:33" ht="15" customHeight="1" x14ac:dyDescent="0.3">
      <c r="B163" s="196" t="s">
        <v>5</v>
      </c>
      <c r="C163" s="197" t="s">
        <v>13</v>
      </c>
      <c r="D163" s="246" t="str">
        <f>IF(E163&lt;&gt;"",IF(K163&lt;&gt;"","C","O"),"")</f>
        <v>C</v>
      </c>
      <c r="E163" s="199">
        <v>44832.427083333336</v>
      </c>
      <c r="F163" s="200" t="s">
        <v>93</v>
      </c>
      <c r="G163" s="235">
        <v>11105.07</v>
      </c>
      <c r="H163" s="235">
        <v>11158.43</v>
      </c>
      <c r="I163" s="247">
        <f>ABS(G163-H163)</f>
        <v>53.360000000000582</v>
      </c>
      <c r="J163" s="235">
        <v>10535.91</v>
      </c>
      <c r="K163" s="199">
        <v>44832.44027777778</v>
      </c>
      <c r="L163" s="235">
        <v>11158.43</v>
      </c>
      <c r="M163" s="248">
        <f>ROUND(IF(C163="L",(L163-G163),(G163-L163)),4)</f>
        <v>-53.36</v>
      </c>
      <c r="N163" s="249">
        <f>IFERROR(ROUND((M163/I163),2),"")</f>
        <v>-1</v>
      </c>
      <c r="O163" s="250">
        <f>IF(D163="O",IF(N163&lt;0,N163,0),0)</f>
        <v>0</v>
      </c>
      <c r="P163" s="251">
        <f>IF(N163&gt;= 0,N163,0)</f>
        <v>0</v>
      </c>
      <c r="Q163" s="251">
        <f>IF(N163&lt;0,N163,0)</f>
        <v>-1</v>
      </c>
      <c r="R1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44883</v>
      </c>
      <c r="T1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3" s="253">
        <f ca="1">IF(Tabla33610673[[#This Row],[Equity]]&lt;Tabla33610673[[#This Row],[Equity Peak]],(Tabla33610673[[#This Row],[Equity Peak]]-Tabla33610673[[#This Row],[Equity]])/Tabla33610673[[#This Row],[Equity Peak]],"")</f>
        <v>1.1931755641166759E-2</v>
      </c>
      <c r="V163" s="254">
        <f>IF(B163="FX",N163,0)</f>
        <v>0</v>
      </c>
      <c r="W163" s="254">
        <f>IF(D163="O",IF(V163&lt;0,V163,0),0)</f>
        <v>0</v>
      </c>
      <c r="X163" s="254">
        <f>IF(B163="COM",N163,0)</f>
        <v>0</v>
      </c>
      <c r="Y163" s="254">
        <f>IF(D163="O",IF(X163&lt;0,X163,0),0)</f>
        <v>0</v>
      </c>
      <c r="Z163" s="254">
        <f>IF(B163="IND",N163,0)</f>
        <v>-1</v>
      </c>
      <c r="AA163" s="250">
        <f>IF(D163="O",IF(Z163&lt;0,Z163,0),0)</f>
        <v>0</v>
      </c>
      <c r="AB163" s="254">
        <f>IF(B163="CRYPTO",N163,0)</f>
        <v>0</v>
      </c>
      <c r="AC163" s="250">
        <f>IF(D163="O",IF(AB163&lt;0,AB163,0),0)</f>
        <v>0</v>
      </c>
      <c r="AD163" s="255">
        <f>IF(K163&lt;&gt;"",K163-E163,0)</f>
        <v>1.3194444443797693E-2</v>
      </c>
      <c r="AE163" s="255">
        <f>IF(N163&gt;0,AD163,0)</f>
        <v>0</v>
      </c>
      <c r="AF163" s="255">
        <f>IF(N163&lt;0,AD163,0)</f>
        <v>1.3194444443797693E-2</v>
      </c>
      <c r="AG163" s="255">
        <f>IF(N163=0,AD163,0)</f>
        <v>0</v>
      </c>
    </row>
    <row r="164" spans="2:33" ht="15" customHeight="1" x14ac:dyDescent="0.3">
      <c r="B164" s="196" t="s">
        <v>7</v>
      </c>
      <c r="C164" s="197" t="s">
        <v>13</v>
      </c>
      <c r="D164" s="246" t="str">
        <f>IF(E164&lt;&gt;"",IF(K164&lt;&gt;"","C","O"),"")</f>
        <v>C</v>
      </c>
      <c r="E164" s="199">
        <v>44832.416666666664</v>
      </c>
      <c r="F164" s="200" t="s">
        <v>114</v>
      </c>
      <c r="G164" s="235">
        <v>0.95392999999999994</v>
      </c>
      <c r="H164" s="235">
        <v>0.95586000000000004</v>
      </c>
      <c r="I164" s="247">
        <f>ABS(G164-H164)</f>
        <v>1.9300000000000983E-3</v>
      </c>
      <c r="J164" s="235">
        <v>0.93652000000000002</v>
      </c>
      <c r="K164" s="199">
        <v>44832.435416666667</v>
      </c>
      <c r="L164" s="235">
        <v>0.95586000000000004</v>
      </c>
      <c r="M164" s="248">
        <f>ROUND(IF(C164="L",(L164-G164),(G164-L164)),4)</f>
        <v>-1.9E-3</v>
      </c>
      <c r="N164" s="249">
        <f>IFERROR(ROUND((M164/I164),2),"")</f>
        <v>-0.98</v>
      </c>
      <c r="O164" s="250">
        <f>IF(D164="O",IF(N164&lt;0,N164,0),0)</f>
        <v>0</v>
      </c>
      <c r="P164" s="251">
        <f>IF(N164&gt;= 0,N164,0)</f>
        <v>0</v>
      </c>
      <c r="Q164" s="251">
        <f>IF(N164&lt;0,N164,0)</f>
        <v>-0.98</v>
      </c>
      <c r="R1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44983</v>
      </c>
      <c r="T1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4" s="253">
        <f ca="1">IF(Tabla33610673[[#This Row],[Equity]]&lt;Tabla33610673[[#This Row],[Equity Peak]],(Tabla33610673[[#This Row],[Equity Peak]]-Tabla33610673[[#This Row],[Equity]])/Tabla33610673[[#This Row],[Equity Peak]],"")</f>
        <v>9.7303247110621903E-3</v>
      </c>
      <c r="V164" s="254">
        <f>IF(B164="FX",N164,0)</f>
        <v>-0.98</v>
      </c>
      <c r="W164" s="254">
        <f>IF(D164="O",IF(V164&lt;0,V164,0),0)</f>
        <v>0</v>
      </c>
      <c r="X164" s="254">
        <f>IF(B164="COM",N164,0)</f>
        <v>0</v>
      </c>
      <c r="Y164" s="254">
        <f>IF(D164="O",IF(X164&lt;0,X164,0),0)</f>
        <v>0</v>
      </c>
      <c r="Z164" s="254">
        <f>IF(B164="IND",N164,0)</f>
        <v>0</v>
      </c>
      <c r="AA164" s="250">
        <f>IF(D164="O",IF(Z164&lt;0,Z164,0),0)</f>
        <v>0</v>
      </c>
      <c r="AB164" s="254">
        <f>IF(B164="CRYPTO",N164,0)</f>
        <v>0</v>
      </c>
      <c r="AC164" s="250">
        <f>IF(D164="O",IF(AB164&lt;0,AB164,0),0)</f>
        <v>0</v>
      </c>
      <c r="AD164" s="255">
        <f>IF(K164&lt;&gt;"",K164-E164,0)</f>
        <v>1.8750000002910383E-2</v>
      </c>
      <c r="AE164" s="255">
        <f>IF(N164&gt;0,AD164,0)</f>
        <v>0</v>
      </c>
      <c r="AF164" s="255">
        <f>IF(N164&lt;0,AD164,0)</f>
        <v>1.8750000002910383E-2</v>
      </c>
      <c r="AG164" s="255">
        <f>IF(N164=0,AD164,0)</f>
        <v>0</v>
      </c>
    </row>
    <row r="165" spans="2:33" ht="15" customHeight="1" x14ac:dyDescent="0.3">
      <c r="B165" s="196" t="s">
        <v>5</v>
      </c>
      <c r="C165" s="197" t="s">
        <v>13</v>
      </c>
      <c r="D165" s="246" t="str">
        <f>IF(E165&lt;&gt;"",IF(K165&lt;&gt;"","C","O"),"")</f>
        <v>C</v>
      </c>
      <c r="E165" s="199">
        <v>44832.21875</v>
      </c>
      <c r="F165" s="200" t="s">
        <v>92</v>
      </c>
      <c r="G165" s="235">
        <v>11135.97</v>
      </c>
      <c r="H165" s="235">
        <v>11190.54</v>
      </c>
      <c r="I165" s="247">
        <f>ABS(G165-H165)</f>
        <v>54.570000000001528</v>
      </c>
      <c r="J165" s="235">
        <v>10117.36</v>
      </c>
      <c r="K165" s="199">
        <v>44832.313194444447</v>
      </c>
      <c r="L165" s="235">
        <v>11190.54</v>
      </c>
      <c r="M165" s="248">
        <f>ROUND(IF(C165="L",(L165-G165),(G165-L165)),4)</f>
        <v>-54.57</v>
      </c>
      <c r="N165" s="249">
        <f>IFERROR(ROUND((M165/I165),2),"")</f>
        <v>-1</v>
      </c>
      <c r="O165" s="250">
        <f>IF(D165="O",IF(N165&lt;0,N165,0),0)</f>
        <v>0</v>
      </c>
      <c r="P165" s="251">
        <f>IF(N165&gt;= 0,N165,0)</f>
        <v>0</v>
      </c>
      <c r="Q165" s="251">
        <f>IF(N165&lt;0,N165,0)</f>
        <v>-1</v>
      </c>
      <c r="R1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45081</v>
      </c>
      <c r="T1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5" s="253">
        <f ca="1">IF(Tabla33610673[[#This Row],[Equity]]&lt;Tabla33610673[[#This Row],[Equity Peak]],(Tabla33610673[[#This Row],[Equity Peak]]-Tabla33610673[[#This Row],[Equity]])/Tabla33610673[[#This Row],[Equity Peak]],"")</f>
        <v>7.5729223995597136E-3</v>
      </c>
      <c r="V165" s="254">
        <f>IF(B165="FX",N165,0)</f>
        <v>0</v>
      </c>
      <c r="W165" s="254">
        <f>IF(D165="O",IF(V165&lt;0,V165,0),0)</f>
        <v>0</v>
      </c>
      <c r="X165" s="254">
        <f>IF(B165="COM",N165,0)</f>
        <v>0</v>
      </c>
      <c r="Y165" s="254">
        <f>IF(D165="O",IF(X165&lt;0,X165,0),0)</f>
        <v>0</v>
      </c>
      <c r="Z165" s="254">
        <f>IF(B165="IND",N165,0)</f>
        <v>-1</v>
      </c>
      <c r="AA165" s="250">
        <f>IF(D165="O",IF(Z165&lt;0,Z165,0),0)</f>
        <v>0</v>
      </c>
      <c r="AB165" s="254">
        <f>IF(B165="CRYPTO",N165,0)</f>
        <v>0</v>
      </c>
      <c r="AC165" s="250">
        <f>IF(D165="O",IF(AB165&lt;0,AB165,0),0)</f>
        <v>0</v>
      </c>
      <c r="AD165" s="255">
        <f>IF(K165&lt;&gt;"",K165-E165,0)</f>
        <v>9.4444444446708076E-2</v>
      </c>
      <c r="AE165" s="255">
        <f>IF(N165&gt;0,AD165,0)</f>
        <v>0</v>
      </c>
      <c r="AF165" s="255">
        <f>IF(N165&lt;0,AD165,0)</f>
        <v>9.4444444446708076E-2</v>
      </c>
      <c r="AG165" s="255">
        <f>IF(N165=0,AD165,0)</f>
        <v>0</v>
      </c>
    </row>
    <row r="166" spans="2:33" ht="15" customHeight="1" x14ac:dyDescent="0.3">
      <c r="B166" s="196" t="s">
        <v>5</v>
      </c>
      <c r="C166" s="197" t="s">
        <v>13</v>
      </c>
      <c r="D166" s="246" t="str">
        <f>IF(E166&lt;&gt;"",IF(K166&lt;&gt;"","C","O"),"")</f>
        <v>C</v>
      </c>
      <c r="E166" s="199">
        <v>44832.21875</v>
      </c>
      <c r="F166" s="200" t="s">
        <v>93</v>
      </c>
      <c r="G166" s="235">
        <v>11135.97</v>
      </c>
      <c r="H166" s="235">
        <v>11186.64</v>
      </c>
      <c r="I166" s="247">
        <f>ABS(G166-H166)</f>
        <v>50.670000000000073</v>
      </c>
      <c r="J166" s="235">
        <v>10595.51</v>
      </c>
      <c r="K166" s="199">
        <v>44832.313194444447</v>
      </c>
      <c r="L166" s="235">
        <v>11186.64</v>
      </c>
      <c r="M166" s="248">
        <f>ROUND(IF(C166="L",(L166-G166),(G166-L166)),4)</f>
        <v>-50.67</v>
      </c>
      <c r="N166" s="249">
        <f>IFERROR(ROUND((M166/I166),2),"")</f>
        <v>-1</v>
      </c>
      <c r="O166" s="250">
        <f>IF(D166="O",IF(N166&lt;0,N166,0),0)</f>
        <v>0</v>
      </c>
      <c r="P166" s="251">
        <f>IF(N166&gt;= 0,N166,0)</f>
        <v>0</v>
      </c>
      <c r="Q166" s="251">
        <f>IF(N166&lt;0,N166,0)</f>
        <v>-1</v>
      </c>
      <c r="R1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45181</v>
      </c>
      <c r="T1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6" s="253">
        <f ca="1">IF(Tabla33610673[[#This Row],[Equity]]&lt;Tabla33610673[[#This Row],[Equity Peak]],(Tabla33610673[[#This Row],[Equity Peak]]-Tabla33610673[[#This Row],[Equity]])/Tabla33610673[[#This Row],[Equity Peak]],"")</f>
        <v>5.3714914694551457E-3</v>
      </c>
      <c r="V166" s="254">
        <f>IF(B166="FX",N166,0)</f>
        <v>0</v>
      </c>
      <c r="W166" s="254">
        <f>IF(D166="O",IF(V166&lt;0,V166,0),0)</f>
        <v>0</v>
      </c>
      <c r="X166" s="254">
        <f>IF(B166="COM",N166,0)</f>
        <v>0</v>
      </c>
      <c r="Y166" s="254">
        <f>IF(D166="O",IF(X166&lt;0,X166,0),0)</f>
        <v>0</v>
      </c>
      <c r="Z166" s="254">
        <f>IF(B166="IND",N166,0)</f>
        <v>-1</v>
      </c>
      <c r="AA166" s="250">
        <f>IF(D166="O",IF(Z166&lt;0,Z166,0),0)</f>
        <v>0</v>
      </c>
      <c r="AB166" s="254">
        <f>IF(B166="CRYPTO",N166,0)</f>
        <v>0</v>
      </c>
      <c r="AC166" s="250">
        <f>IF(D166="O",IF(AB166&lt;0,AB166,0),0)</f>
        <v>0</v>
      </c>
      <c r="AD166" s="255">
        <f>IF(K166&lt;&gt;"",K166-E166,0)</f>
        <v>9.4444444446708076E-2</v>
      </c>
      <c r="AE166" s="255">
        <f>IF(N166&gt;0,AD166,0)</f>
        <v>0</v>
      </c>
      <c r="AF166" s="255">
        <f>IF(N166&lt;0,AD166,0)</f>
        <v>9.4444444446708076E-2</v>
      </c>
      <c r="AG166" s="255">
        <f>IF(N166=0,AD166,0)</f>
        <v>0</v>
      </c>
    </row>
    <row r="167" spans="2:33" ht="15" customHeight="1" x14ac:dyDescent="0.3">
      <c r="B167" s="196" t="s">
        <v>19</v>
      </c>
      <c r="C167" s="197" t="s">
        <v>13</v>
      </c>
      <c r="D167" s="246" t="str">
        <f>IF(E167&lt;&gt;"",IF(K167&lt;&gt;"","C","O"),"")</f>
        <v>C</v>
      </c>
      <c r="E167" s="199">
        <v>44830.84375</v>
      </c>
      <c r="F167" s="200" t="s">
        <v>88</v>
      </c>
      <c r="G167" s="235">
        <v>1626.01</v>
      </c>
      <c r="H167" s="235">
        <v>1631.24</v>
      </c>
      <c r="I167" s="247">
        <f>ABS(G167-H167)</f>
        <v>5.2300000000000182</v>
      </c>
      <c r="J167" s="235">
        <v>1563.23</v>
      </c>
      <c r="K167" s="199">
        <v>44830.917361111111</v>
      </c>
      <c r="L167" s="235">
        <v>1631.24</v>
      </c>
      <c r="M167" s="248">
        <f>ROUND(IF(C167="L",(L167-G167),(G167-L167)),4)</f>
        <v>-5.23</v>
      </c>
      <c r="N167" s="249">
        <f>IFERROR(ROUND((M167/I167),2),"")</f>
        <v>-1</v>
      </c>
      <c r="O167" s="250">
        <f>IF(D167="O",IF(N167&lt;0,N167,0),0)</f>
        <v>0</v>
      </c>
      <c r="P167" s="251">
        <f>IF(N167&gt;= 0,N167,0)</f>
        <v>0</v>
      </c>
      <c r="Q167" s="251">
        <f>IF(N167&lt;0,N167,0)</f>
        <v>-1</v>
      </c>
      <c r="R1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45281</v>
      </c>
      <c r="T1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7" s="253">
        <f ca="1">IF(Tabla33610673[[#This Row],[Equity]]&lt;Tabla33610673[[#This Row],[Equity Peak]],(Tabla33610673[[#This Row],[Equity Peak]]-Tabla33610673[[#This Row],[Equity]])/Tabla33610673[[#This Row],[Equity Peak]],"")</f>
        <v>3.1700605393505778E-3</v>
      </c>
      <c r="V167" s="254">
        <f>IF(B167="FX",N167,0)</f>
        <v>0</v>
      </c>
      <c r="W167" s="254">
        <f>IF(D167="O",IF(V167&lt;0,V167,0),0)</f>
        <v>0</v>
      </c>
      <c r="X167" s="254">
        <f>IF(B167="COM",N167,0)</f>
        <v>-1</v>
      </c>
      <c r="Y167" s="254">
        <f>IF(D167="O",IF(X167&lt;0,X167,0),0)</f>
        <v>0</v>
      </c>
      <c r="Z167" s="254">
        <f>IF(B167="IND",N167,0)</f>
        <v>0</v>
      </c>
      <c r="AA167" s="250">
        <f>IF(D167="O",IF(Z167&lt;0,Z167,0),0)</f>
        <v>0</v>
      </c>
      <c r="AB167" s="254">
        <f>IF(B167="CRYPTO",N167,0)</f>
        <v>0</v>
      </c>
      <c r="AC167" s="250">
        <f>IF(D167="O",IF(AB167&lt;0,AB167,0),0)</f>
        <v>0</v>
      </c>
      <c r="AD167" s="255">
        <f>IF(K167&lt;&gt;"",K167-E167,0)</f>
        <v>7.3611111110949423E-2</v>
      </c>
      <c r="AE167" s="255">
        <f>IF(N167&gt;0,AD167,0)</f>
        <v>0</v>
      </c>
      <c r="AF167" s="255">
        <f>IF(N167&lt;0,AD167,0)</f>
        <v>7.3611111110949423E-2</v>
      </c>
      <c r="AG167" s="255">
        <f>IF(N167=0,AD167,0)</f>
        <v>0</v>
      </c>
    </row>
    <row r="168" spans="2:33" ht="15" customHeight="1" x14ac:dyDescent="0.3">
      <c r="B168" s="196" t="s">
        <v>19</v>
      </c>
      <c r="C168" s="197" t="s">
        <v>13</v>
      </c>
      <c r="D168" s="246" t="str">
        <f>IF(E168&lt;&gt;"",IF(K168&lt;&gt;"","C","O"),"")</f>
        <v>C</v>
      </c>
      <c r="E168" s="199">
        <v>44830.15625</v>
      </c>
      <c r="F168" s="200" t="s">
        <v>88</v>
      </c>
      <c r="G168" s="235">
        <v>1639.15</v>
      </c>
      <c r="H168" s="235">
        <v>1643.9</v>
      </c>
      <c r="I168" s="247">
        <f>ABS(G168-H168)</f>
        <v>4.75</v>
      </c>
      <c r="J168" s="235">
        <v>1582.1</v>
      </c>
      <c r="K168" s="199">
        <v>44830.171527777777</v>
      </c>
      <c r="L168" s="235">
        <v>1641.23</v>
      </c>
      <c r="M168" s="248">
        <f>ROUND(IF(C168="L",(L168-G168),(G168-L168)),4)</f>
        <v>-2.08</v>
      </c>
      <c r="N168" s="249">
        <f>IFERROR(ROUND((M168/I168),2),"")</f>
        <v>-0.44</v>
      </c>
      <c r="O168" s="250">
        <f>IF(D168="O",IF(N168&lt;0,N168,0),0)</f>
        <v>0</v>
      </c>
      <c r="P168" s="251">
        <f>IF(N168&gt;= 0,N168,0)</f>
        <v>0</v>
      </c>
      <c r="Q168" s="251">
        <f>IF(N168&lt;0,N168,0)</f>
        <v>-0.44</v>
      </c>
      <c r="R1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45381</v>
      </c>
      <c r="T1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8" s="253">
        <f ca="1">IF(Tabla33610673[[#This Row],[Equity]]&lt;Tabla33610673[[#This Row],[Equity Peak]],(Tabla33610673[[#This Row],[Equity Peak]]-Tabla33610673[[#This Row],[Equity]])/Tabla33610673[[#This Row],[Equity Peak]],"")</f>
        <v>9.6862960924600991E-4</v>
      </c>
      <c r="V168" s="254">
        <f>IF(B168="FX",N168,0)</f>
        <v>0</v>
      </c>
      <c r="W168" s="254">
        <f>IF(D168="O",IF(V168&lt;0,V168,0),0)</f>
        <v>0</v>
      </c>
      <c r="X168" s="254">
        <f>IF(B168="COM",N168,0)</f>
        <v>-0.44</v>
      </c>
      <c r="Y168" s="254">
        <f>IF(D168="O",IF(X168&lt;0,X168,0),0)</f>
        <v>0</v>
      </c>
      <c r="Z168" s="254">
        <f>IF(B168="IND",N168,0)</f>
        <v>0</v>
      </c>
      <c r="AA168" s="250">
        <f>IF(D168="O",IF(Z168&lt;0,Z168,0),0)</f>
        <v>0</v>
      </c>
      <c r="AB168" s="254">
        <f>IF(B168="CRYPTO",N168,0)</f>
        <v>0</v>
      </c>
      <c r="AC168" s="250">
        <f>IF(D168="O",IF(AB168&lt;0,AB168,0),0)</f>
        <v>0</v>
      </c>
      <c r="AD168" s="255">
        <f>IF(K168&lt;&gt;"",K168-E168,0)</f>
        <v>1.5277777776645962E-2</v>
      </c>
      <c r="AE168" s="255">
        <f>IF(N168&gt;0,AD168,0)</f>
        <v>0</v>
      </c>
      <c r="AF168" s="255">
        <f>IF(N168&lt;0,AD168,0)</f>
        <v>1.5277777776645962E-2</v>
      </c>
      <c r="AG168" s="255">
        <f>IF(N168=0,AD168,0)</f>
        <v>0</v>
      </c>
    </row>
    <row r="169" spans="2:33" ht="15" customHeight="1" x14ac:dyDescent="0.3">
      <c r="B169" s="196" t="s">
        <v>7</v>
      </c>
      <c r="C169" s="197" t="s">
        <v>13</v>
      </c>
      <c r="D169" s="246" t="str">
        <f>IF(E169&lt;&gt;"",IF(K169&lt;&gt;"","C","O"),"")</f>
        <v>C</v>
      </c>
      <c r="E169" s="199">
        <v>44827.427083333336</v>
      </c>
      <c r="F169" s="200" t="s">
        <v>114</v>
      </c>
      <c r="G169" s="235">
        <v>0.97955999999999999</v>
      </c>
      <c r="H169" s="235">
        <v>0.98128000000000004</v>
      </c>
      <c r="I169" s="247">
        <f>ABS(G169-H169)</f>
        <v>1.7200000000000548E-3</v>
      </c>
      <c r="J169" s="235">
        <v>0.96404000000000001</v>
      </c>
      <c r="K169" s="199">
        <v>44830.164583333331</v>
      </c>
      <c r="L169" s="235">
        <v>0.96404000000000001</v>
      </c>
      <c r="M169" s="248">
        <f>ROUND(IF(C169="L",(L169-G169),(G169-L169)),4)</f>
        <v>1.55E-2</v>
      </c>
      <c r="N169" s="249">
        <f>IFERROR(ROUND((M169/I169),2),"")</f>
        <v>9.01</v>
      </c>
      <c r="O169" s="250">
        <f>IF(D169="O",IF(N169&lt;0,N169,0),0)</f>
        <v>0</v>
      </c>
      <c r="P169" s="251">
        <f>IF(N169&gt;= 0,N169,0)</f>
        <v>9.01</v>
      </c>
      <c r="Q169" s="251">
        <f>IF(N169&lt;0,N169,0)</f>
        <v>0</v>
      </c>
      <c r="R1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45425</v>
      </c>
      <c r="T1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45425</v>
      </c>
      <c r="U16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169" s="254">
        <f>IF(B169="FX",N169,0)</f>
        <v>9.01</v>
      </c>
      <c r="W169" s="254">
        <f>IF(D169="O",IF(V169&lt;0,V169,0),0)</f>
        <v>0</v>
      </c>
      <c r="X169" s="254">
        <f>IF(B169="COM",N169,0)</f>
        <v>0</v>
      </c>
      <c r="Y169" s="254">
        <f>IF(D169="O",IF(X169&lt;0,X169,0),0)</f>
        <v>0</v>
      </c>
      <c r="Z169" s="254">
        <f>IF(B169="IND",N169,0)</f>
        <v>0</v>
      </c>
      <c r="AA169" s="250">
        <f>IF(D169="O",IF(Z169&lt;0,Z169,0),0)</f>
        <v>0</v>
      </c>
      <c r="AB169" s="254">
        <f>IF(B169="CRYPTO",N169,0)</f>
        <v>0</v>
      </c>
      <c r="AC169" s="250">
        <f>IF(D169="O",IF(AB169&lt;0,AB169,0),0)</f>
        <v>0</v>
      </c>
      <c r="AD169" s="255">
        <f>IF(K169&lt;&gt;"",K169-E169,0)</f>
        <v>2.7374999999956344</v>
      </c>
      <c r="AE169" s="255">
        <f>IF(N169&gt;0,AD169,0)</f>
        <v>2.7374999999956344</v>
      </c>
      <c r="AF169" s="255">
        <f>IF(N169&lt;0,AD169,0)</f>
        <v>0</v>
      </c>
      <c r="AG169" s="255">
        <f>IF(N169=0,AD169,0)</f>
        <v>0</v>
      </c>
    </row>
    <row r="170" spans="2:33" ht="15" customHeight="1" x14ac:dyDescent="0.3">
      <c r="B170" s="196" t="s">
        <v>5</v>
      </c>
      <c r="C170" s="197" t="s">
        <v>13</v>
      </c>
      <c r="D170" s="246" t="str">
        <f>IF(E170&lt;&gt;"",IF(K170&lt;&gt;"","C","O"),"")</f>
        <v>C</v>
      </c>
      <c r="E170" s="199">
        <v>44827.5</v>
      </c>
      <c r="F170" s="200" t="s">
        <v>92</v>
      </c>
      <c r="G170" s="235">
        <v>11394.57</v>
      </c>
      <c r="H170" s="235">
        <v>11441.83</v>
      </c>
      <c r="I170" s="247">
        <f>ABS(G170-H170)</f>
        <v>47.260000000000218</v>
      </c>
      <c r="J170" s="235">
        <v>10512.47</v>
      </c>
      <c r="K170" s="199">
        <v>44827.947222222225</v>
      </c>
      <c r="L170" s="235">
        <v>11300.57</v>
      </c>
      <c r="M170" s="248">
        <f>ROUND(IF(C170="L",(L170-G170),(G170-L170)),4)</f>
        <v>94</v>
      </c>
      <c r="N170" s="249">
        <f>IFERROR(ROUND((M170/I170),2),"")</f>
        <v>1.99</v>
      </c>
      <c r="O170" s="250">
        <f>IF(D170="O",IF(N170&lt;0,N170,0),0)</f>
        <v>0</v>
      </c>
      <c r="P170" s="251">
        <f>IF(N170&gt;= 0,N170,0)</f>
        <v>1.99</v>
      </c>
      <c r="Q170" s="251">
        <f>IF(N170&lt;0,N170,0)</f>
        <v>0</v>
      </c>
      <c r="R1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44524</v>
      </c>
      <c r="T1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0" s="253">
        <f ca="1">IF(Tabla33610673[[#This Row],[Equity]]&lt;Tabla33610673[[#This Row],[Equity Peak]],(Tabla33610673[[#This Row],[Equity Peak]]-Tabla33610673[[#This Row],[Equity]])/Tabla33610673[[#This Row],[Equity Peak]],"")</f>
        <v>9.0583338897420491E-3</v>
      </c>
      <c r="V170" s="254">
        <f>IF(B170="FX",N170,0)</f>
        <v>0</v>
      </c>
      <c r="W170" s="254">
        <f>IF(D170="O",IF(V170&lt;0,V170,0),0)</f>
        <v>0</v>
      </c>
      <c r="X170" s="254">
        <f>IF(B170="COM",N170,0)</f>
        <v>0</v>
      </c>
      <c r="Y170" s="254">
        <f>IF(D170="O",IF(X170&lt;0,X170,0),0)</f>
        <v>0</v>
      </c>
      <c r="Z170" s="254">
        <f>IF(B170="IND",N170,0)</f>
        <v>1.99</v>
      </c>
      <c r="AA170" s="250">
        <f>IF(D170="O",IF(Z170&lt;0,Z170,0),0)</f>
        <v>0</v>
      </c>
      <c r="AB170" s="254">
        <f>IF(B170="CRYPTO",N170,0)</f>
        <v>0</v>
      </c>
      <c r="AC170" s="250">
        <f>IF(D170="O",IF(AB170&lt;0,AB170,0),0)</f>
        <v>0</v>
      </c>
      <c r="AD170" s="255">
        <f>IF(K170&lt;&gt;"",K170-E170,0)</f>
        <v>0.44722222222480923</v>
      </c>
      <c r="AE170" s="255">
        <f>IF(N170&gt;0,AD170,0)</f>
        <v>0.44722222222480923</v>
      </c>
      <c r="AF170" s="255">
        <f>IF(N170&lt;0,AD170,0)</f>
        <v>0</v>
      </c>
      <c r="AG170" s="255">
        <f>IF(N170=0,AD170,0)</f>
        <v>0</v>
      </c>
    </row>
    <row r="171" spans="2:33" ht="15" customHeight="1" x14ac:dyDescent="0.3">
      <c r="B171" s="196" t="s">
        <v>19</v>
      </c>
      <c r="C171" s="197" t="s">
        <v>13</v>
      </c>
      <c r="D171" s="246" t="str">
        <f>IF(E171&lt;&gt;"",IF(K171&lt;&gt;"","C","O"),"")</f>
        <v>C</v>
      </c>
      <c r="E171" s="199">
        <v>44827.916666666664</v>
      </c>
      <c r="F171" s="200" t="s">
        <v>88</v>
      </c>
      <c r="G171" s="235">
        <v>1640.3</v>
      </c>
      <c r="H171" s="235">
        <v>1644.71</v>
      </c>
      <c r="I171" s="247">
        <f>ABS(G171-H171)</f>
        <v>4.4100000000000819</v>
      </c>
      <c r="J171" s="235">
        <v>1587.43</v>
      </c>
      <c r="K171" s="199">
        <v>44827.945833333331</v>
      </c>
      <c r="L171" s="235">
        <v>1644.71</v>
      </c>
      <c r="M171" s="248">
        <f>ROUND(IF(C171="L",(L171-G171),(G171-L171)),4)</f>
        <v>-4.41</v>
      </c>
      <c r="N171" s="249">
        <f>IFERROR(ROUND((M171/I171),2),"")</f>
        <v>-1</v>
      </c>
      <c r="O171" s="250">
        <f>IF(D171="O",IF(N171&lt;0,N171,0),0)</f>
        <v>0</v>
      </c>
      <c r="P171" s="251">
        <f>IF(N171&gt;= 0,N171,0)</f>
        <v>0</v>
      </c>
      <c r="Q171" s="251">
        <f>IF(N171&lt;0,N171,0)</f>
        <v>-1</v>
      </c>
      <c r="R1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44325</v>
      </c>
      <c r="T1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1" s="253">
        <f ca="1">IF(Tabla33610673[[#This Row],[Equity]]&lt;Tabla33610673[[#This Row],[Equity Peak]],(Tabla33610673[[#This Row],[Equity Peak]]-Tabla33610673[[#This Row],[Equity]])/Tabla33610673[[#This Row],[Equity Peak]],"")</f>
        <v>1.3487347265807572E-2</v>
      </c>
      <c r="V171" s="254">
        <f>IF(B171="FX",N171,0)</f>
        <v>0</v>
      </c>
      <c r="W171" s="254">
        <f>IF(D171="O",IF(V171&lt;0,V171,0),0)</f>
        <v>0</v>
      </c>
      <c r="X171" s="254">
        <f>IF(B171="COM",N171,0)</f>
        <v>-1</v>
      </c>
      <c r="Y171" s="254">
        <f>IF(D171="O",IF(X171&lt;0,X171,0),0)</f>
        <v>0</v>
      </c>
      <c r="Z171" s="254">
        <f>IF(B171="IND",N171,0)</f>
        <v>0</v>
      </c>
      <c r="AA171" s="250">
        <f>IF(D171="O",IF(Z171&lt;0,Z171,0),0)</f>
        <v>0</v>
      </c>
      <c r="AB171" s="254">
        <f>IF(B171="CRYPTO",N171,0)</f>
        <v>0</v>
      </c>
      <c r="AC171" s="250">
        <f>IF(D171="O",IF(AB171&lt;0,AB171,0),0)</f>
        <v>0</v>
      </c>
      <c r="AD171" s="255">
        <f>IF(K171&lt;&gt;"",K171-E171,0)</f>
        <v>2.9166666667151731E-2</v>
      </c>
      <c r="AE171" s="255">
        <f>IF(N171&gt;0,AD171,0)</f>
        <v>0</v>
      </c>
      <c r="AF171" s="255">
        <f>IF(N171&lt;0,AD171,0)</f>
        <v>2.9166666667151731E-2</v>
      </c>
      <c r="AG171" s="255">
        <f>IF(N171=0,AD171,0)</f>
        <v>0</v>
      </c>
    </row>
    <row r="172" spans="2:33" ht="15" customHeight="1" x14ac:dyDescent="0.3">
      <c r="B172" s="196" t="s">
        <v>5</v>
      </c>
      <c r="C172" s="197" t="s">
        <v>13</v>
      </c>
      <c r="D172" s="246" t="str">
        <f>IF(E172&lt;&gt;"",IF(K172&lt;&gt;"","C","O"),"")</f>
        <v>C</v>
      </c>
      <c r="E172" s="199">
        <v>44827.5</v>
      </c>
      <c r="F172" s="200" t="s">
        <v>93</v>
      </c>
      <c r="G172" s="235">
        <v>11394.57</v>
      </c>
      <c r="H172" s="235">
        <v>11442.77</v>
      </c>
      <c r="I172" s="247">
        <f>ABS(G172-H172)</f>
        <v>48.200000000000728</v>
      </c>
      <c r="J172" s="235">
        <v>10880.48</v>
      </c>
      <c r="K172" s="199">
        <v>44827.9375</v>
      </c>
      <c r="L172" s="235">
        <v>11258.87</v>
      </c>
      <c r="M172" s="248">
        <f>ROUND(IF(C172="L",(L172-G172),(G172-L172)),4)</f>
        <v>135.69999999999999</v>
      </c>
      <c r="N172" s="249">
        <f>IFERROR(ROUND((M172/I172),2),"")</f>
        <v>2.82</v>
      </c>
      <c r="O172" s="250">
        <f>IF(D172="O",IF(N172&lt;0,N172,0),0)</f>
        <v>0</v>
      </c>
      <c r="P172" s="251">
        <f>IF(N172&gt;= 0,N172,0)</f>
        <v>2.82</v>
      </c>
      <c r="Q172" s="251">
        <f>IF(N172&lt;0,N172,0)</f>
        <v>0</v>
      </c>
      <c r="R1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44425</v>
      </c>
      <c r="T1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2" s="253">
        <f ca="1">IF(Tabla33610673[[#This Row],[Equity]]&lt;Tabla33610673[[#This Row],[Equity Peak]],(Tabla33610673[[#This Row],[Equity Peak]]-Tabla33610673[[#This Row],[Equity]])/Tabla33610673[[#This Row],[Equity Peak]],"")</f>
        <v>1.1261712403463088E-2</v>
      </c>
      <c r="V172" s="254">
        <f>IF(B172="FX",N172,0)</f>
        <v>0</v>
      </c>
      <c r="W172" s="254">
        <f>IF(D172="O",IF(V172&lt;0,V172,0),0)</f>
        <v>0</v>
      </c>
      <c r="X172" s="254">
        <f>IF(B172="COM",N172,0)</f>
        <v>0</v>
      </c>
      <c r="Y172" s="254">
        <f>IF(D172="O",IF(X172&lt;0,X172,0),0)</f>
        <v>0</v>
      </c>
      <c r="Z172" s="254">
        <f>IF(B172="IND",N172,0)</f>
        <v>2.82</v>
      </c>
      <c r="AA172" s="250">
        <f>IF(D172="O",IF(Z172&lt;0,Z172,0),0)</f>
        <v>0</v>
      </c>
      <c r="AB172" s="254">
        <f>IF(B172="CRYPTO",N172,0)</f>
        <v>0</v>
      </c>
      <c r="AC172" s="250">
        <f>IF(D172="O",IF(AB172&lt;0,AB172,0),0)</f>
        <v>0</v>
      </c>
      <c r="AD172" s="255">
        <f>IF(K172&lt;&gt;"",K172-E172,0)</f>
        <v>0.4375</v>
      </c>
      <c r="AE172" s="255">
        <f>IF(N172&gt;0,AD172,0)</f>
        <v>0.4375</v>
      </c>
      <c r="AF172" s="255">
        <f>IF(N172&lt;0,AD172,0)</f>
        <v>0</v>
      </c>
      <c r="AG172" s="255">
        <f>IF(N172=0,AD172,0)</f>
        <v>0</v>
      </c>
    </row>
    <row r="173" spans="2:33" ht="15" customHeight="1" x14ac:dyDescent="0.3">
      <c r="B173" s="196" t="s">
        <v>7</v>
      </c>
      <c r="C173" s="197" t="s">
        <v>13</v>
      </c>
      <c r="D173" s="246" t="str">
        <f>IF(E173&lt;&gt;"",IF(K173&lt;&gt;"","C","O"),"")</f>
        <v>C</v>
      </c>
      <c r="E173" s="199">
        <v>44827.541666666664</v>
      </c>
      <c r="F173" s="200" t="s">
        <v>115</v>
      </c>
      <c r="G173" s="235">
        <v>158.72399999999999</v>
      </c>
      <c r="H173" s="235">
        <v>159.768</v>
      </c>
      <c r="I173" s="247">
        <f>ABS(G173-H173)</f>
        <v>1.0440000000000111</v>
      </c>
      <c r="J173" s="235">
        <v>155.74</v>
      </c>
      <c r="K173" s="199">
        <v>44827.815972222219</v>
      </c>
      <c r="L173" s="235">
        <v>155.74</v>
      </c>
      <c r="M173" s="248">
        <f>ROUND(IF(C173="L",(L173-G173),(G173-L173)),4)</f>
        <v>2.984</v>
      </c>
      <c r="N173" s="249">
        <f>IFERROR(ROUND((M173/I173),2),"")</f>
        <v>2.86</v>
      </c>
      <c r="O173" s="250">
        <f>IF(D173="O",IF(N173&lt;0,N173,0),0)</f>
        <v>0</v>
      </c>
      <c r="P173" s="251">
        <f>IF(N173&gt;= 0,N173,0)</f>
        <v>2.86</v>
      </c>
      <c r="Q173" s="251">
        <f>IF(N173&lt;0,N173,0)</f>
        <v>0</v>
      </c>
      <c r="R1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44143</v>
      </c>
      <c r="T1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3" s="253">
        <f ca="1">IF(Tabla33610673[[#This Row],[Equity]]&lt;Tabla33610673[[#This Row],[Equity Peak]],(Tabla33610673[[#This Row],[Equity Peak]]-Tabla33610673[[#This Row],[Equity]])/Tabla33610673[[#This Row],[Equity Peak]],"")</f>
        <v>1.7538002715274531E-2</v>
      </c>
      <c r="V173" s="254">
        <f>IF(B173="FX",N173,0)</f>
        <v>2.86</v>
      </c>
      <c r="W173" s="254">
        <f>IF(D173="O",IF(V173&lt;0,V173,0),0)</f>
        <v>0</v>
      </c>
      <c r="X173" s="254">
        <f>IF(B173="COM",N173,0)</f>
        <v>0</v>
      </c>
      <c r="Y173" s="254">
        <f>IF(D173="O",IF(X173&lt;0,X173,0),0)</f>
        <v>0</v>
      </c>
      <c r="Z173" s="254">
        <f>IF(B173="IND",N173,0)</f>
        <v>0</v>
      </c>
      <c r="AA173" s="250">
        <f>IF(D173="O",IF(Z173&lt;0,Z173,0),0)</f>
        <v>0</v>
      </c>
      <c r="AB173" s="254">
        <f>IF(B173="CRYPTO",N173,0)</f>
        <v>0</v>
      </c>
      <c r="AC173" s="250">
        <f>IF(D173="O",IF(AB173&lt;0,AB173,0),0)</f>
        <v>0</v>
      </c>
      <c r="AD173" s="255">
        <f>IF(K173&lt;&gt;"",K173-E173,0)</f>
        <v>0.27430555555474712</v>
      </c>
      <c r="AE173" s="255">
        <f>IF(N173&gt;0,AD173,0)</f>
        <v>0.27430555555474712</v>
      </c>
      <c r="AF173" s="255">
        <f>IF(N173&lt;0,AD173,0)</f>
        <v>0</v>
      </c>
      <c r="AG173" s="255">
        <f>IF(N173=0,AD173,0)</f>
        <v>0</v>
      </c>
    </row>
    <row r="174" spans="2:33" ht="15" customHeight="1" x14ac:dyDescent="0.3">
      <c r="B174" s="196" t="s">
        <v>5</v>
      </c>
      <c r="C174" s="197" t="s">
        <v>13</v>
      </c>
      <c r="D174" s="246" t="str">
        <f>IF(E174&lt;&gt;"",IF(K174&lt;&gt;"","C","O"),"")</f>
        <v>C</v>
      </c>
      <c r="E174" s="199">
        <v>44827.479166666664</v>
      </c>
      <c r="F174" s="200" t="s">
        <v>91</v>
      </c>
      <c r="G174" s="235">
        <v>12440.64</v>
      </c>
      <c r="H174" s="235">
        <v>12486.42</v>
      </c>
      <c r="I174" s="247">
        <f>ABS(G174-H174)</f>
        <v>45.780000000000655</v>
      </c>
      <c r="J174" s="235">
        <v>11586</v>
      </c>
      <c r="K174" s="199">
        <v>44827.682638888888</v>
      </c>
      <c r="L174" s="235">
        <v>12351.65</v>
      </c>
      <c r="M174" s="248">
        <f>ROUND(IF(C174="L",(L174-G174),(G174-L174)),4)</f>
        <v>88.99</v>
      </c>
      <c r="N174" s="249">
        <f>IFERROR(ROUND((M174/I174),2),"")</f>
        <v>1.94</v>
      </c>
      <c r="O174" s="250">
        <f>IF(D174="O",IF(N174&lt;0,N174,0),0)</f>
        <v>0</v>
      </c>
      <c r="P174" s="251">
        <f>IF(N174&gt;= 0,N174,0)</f>
        <v>1.94</v>
      </c>
      <c r="Q174" s="251">
        <f>IF(N174&lt;0,N174,0)</f>
        <v>0</v>
      </c>
      <c r="R1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43857</v>
      </c>
      <c r="T1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4" s="253">
        <f ca="1">IF(Tabla33610673[[#This Row],[Equity]]&lt;Tabla33610673[[#This Row],[Equity Peak]],(Tabla33610673[[#This Row],[Equity Peak]]-Tabla33610673[[#This Row],[Equity]])/Tabla33610673[[#This Row],[Equity Peak]],"")</f>
        <v>2.3903318421579757E-2</v>
      </c>
      <c r="V174" s="254">
        <f>IF(B174="FX",N174,0)</f>
        <v>0</v>
      </c>
      <c r="W174" s="254">
        <f>IF(D174="O",IF(V174&lt;0,V174,0),0)</f>
        <v>0</v>
      </c>
      <c r="X174" s="254">
        <f>IF(B174="COM",N174,0)</f>
        <v>0</v>
      </c>
      <c r="Y174" s="254">
        <f>IF(D174="O",IF(X174&lt;0,X174,0),0)</f>
        <v>0</v>
      </c>
      <c r="Z174" s="254">
        <f>IF(B174="IND",N174,0)</f>
        <v>1.94</v>
      </c>
      <c r="AA174" s="250">
        <f>IF(D174="O",IF(Z174&lt;0,Z174,0),0)</f>
        <v>0</v>
      </c>
      <c r="AB174" s="254">
        <f>IF(B174="CRYPTO",N174,0)</f>
        <v>0</v>
      </c>
      <c r="AC174" s="250">
        <f>IF(D174="O",IF(AB174&lt;0,AB174,0),0)</f>
        <v>0</v>
      </c>
      <c r="AD174" s="255">
        <f>IF(K174&lt;&gt;"",K174-E174,0)</f>
        <v>0.20347222222335404</v>
      </c>
      <c r="AE174" s="255">
        <f>IF(N174&gt;0,AD174,0)</f>
        <v>0.20347222222335404</v>
      </c>
      <c r="AF174" s="255">
        <f>IF(N174&lt;0,AD174,0)</f>
        <v>0</v>
      </c>
      <c r="AG174" s="255">
        <f>IF(N174=0,AD174,0)</f>
        <v>0</v>
      </c>
    </row>
    <row r="175" spans="2:33" ht="15" customHeight="1" x14ac:dyDescent="0.3">
      <c r="B175" s="196" t="s">
        <v>19</v>
      </c>
      <c r="C175" s="197" t="s">
        <v>13</v>
      </c>
      <c r="D175" s="246" t="str">
        <f>IF(E175&lt;&gt;"",IF(K175&lt;&gt;"","C","O"),"")</f>
        <v>C</v>
      </c>
      <c r="E175" s="199">
        <v>44827.583333333336</v>
      </c>
      <c r="F175" s="200" t="s">
        <v>88</v>
      </c>
      <c r="G175" s="235">
        <v>1643.5</v>
      </c>
      <c r="H175" s="235">
        <v>1646.55</v>
      </c>
      <c r="I175" s="247">
        <f>ABS(G175-H175)</f>
        <v>3.0499999999999545</v>
      </c>
      <c r="J175" s="235">
        <v>1606.86</v>
      </c>
      <c r="K175" s="199">
        <v>44827.601388888892</v>
      </c>
      <c r="L175" s="235">
        <v>1646.55</v>
      </c>
      <c r="M175" s="248">
        <f>ROUND(IF(C175="L",(L175-G175),(G175-L175)),4)</f>
        <v>-3.05</v>
      </c>
      <c r="N175" s="249">
        <f>IFERROR(ROUND((M175/I175),2),"")</f>
        <v>-1</v>
      </c>
      <c r="O175" s="250">
        <f>IF(D175="O",IF(N175&lt;0,N175,0),0)</f>
        <v>0</v>
      </c>
      <c r="P175" s="251">
        <f>IF(N175&gt;= 0,N175,0)</f>
        <v>0</v>
      </c>
      <c r="Q175" s="251">
        <f>IF(N175&lt;0,N175,0)</f>
        <v>-1</v>
      </c>
      <c r="R1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43663</v>
      </c>
      <c r="T1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5" s="253">
        <f ca="1">IF(Tabla33610673[[#This Row],[Equity]]&lt;Tabla33610673[[#This Row],[Equity Peak]],(Tabla33610673[[#This Row],[Equity Peak]]-Tabla33610673[[#This Row],[Equity]])/Tabla33610673[[#This Row],[Equity Peak]],"")</f>
        <v>2.8221050054528053E-2</v>
      </c>
      <c r="V175" s="254">
        <f>IF(B175="FX",N175,0)</f>
        <v>0</v>
      </c>
      <c r="W175" s="254">
        <f>IF(D175="O",IF(V175&lt;0,V175,0),0)</f>
        <v>0</v>
      </c>
      <c r="X175" s="254">
        <f>IF(B175="COM",N175,0)</f>
        <v>-1</v>
      </c>
      <c r="Y175" s="254">
        <f>IF(D175="O",IF(X175&lt;0,X175,0),0)</f>
        <v>0</v>
      </c>
      <c r="Z175" s="254">
        <f>IF(B175="IND",N175,0)</f>
        <v>0</v>
      </c>
      <c r="AA175" s="250">
        <f>IF(D175="O",IF(Z175&lt;0,Z175,0),0)</f>
        <v>0</v>
      </c>
      <c r="AB175" s="254">
        <f>IF(B175="CRYPTO",N175,0)</f>
        <v>0</v>
      </c>
      <c r="AC175" s="250">
        <f>IF(D175="O",IF(AB175&lt;0,AB175,0),0)</f>
        <v>0</v>
      </c>
      <c r="AD175" s="255">
        <f>IF(K175&lt;&gt;"",K175-E175,0)</f>
        <v>1.8055555556202307E-2</v>
      </c>
      <c r="AE175" s="255">
        <f>IF(N175&gt;0,AD175,0)</f>
        <v>0</v>
      </c>
      <c r="AF175" s="255">
        <f>IF(N175&lt;0,AD175,0)</f>
        <v>1.8055555556202307E-2</v>
      </c>
      <c r="AG175" s="255">
        <f>IF(N175=0,AD175,0)</f>
        <v>0</v>
      </c>
    </row>
    <row r="176" spans="2:33" ht="15" customHeight="1" x14ac:dyDescent="0.3">
      <c r="B176" s="196" t="s">
        <v>7</v>
      </c>
      <c r="C176" s="197" t="s">
        <v>13</v>
      </c>
      <c r="D176" s="246" t="str">
        <f>IF(E176&lt;&gt;"",IF(K176&lt;&gt;"","C","O"),"")</f>
        <v>C</v>
      </c>
      <c r="E176" s="199">
        <v>44827.4375</v>
      </c>
      <c r="F176" s="200" t="s">
        <v>115</v>
      </c>
      <c r="G176" s="235">
        <v>159.095</v>
      </c>
      <c r="H176" s="235">
        <v>160.07300000000001</v>
      </c>
      <c r="I176" s="247">
        <f>ABS(G176-H176)</f>
        <v>0.97800000000000864</v>
      </c>
      <c r="J176" s="235">
        <v>156.30099999999999</v>
      </c>
      <c r="K176" s="199">
        <v>44827.501388888886</v>
      </c>
      <c r="L176" s="235">
        <v>160.07300000000001</v>
      </c>
      <c r="M176" s="248">
        <f>ROUND(IF(C176="L",(L176-G176),(G176-L176)),4)</f>
        <v>-0.97799999999999998</v>
      </c>
      <c r="N176" s="249">
        <f>IFERROR(ROUND((M176/I176),2),"")</f>
        <v>-1</v>
      </c>
      <c r="O176" s="250">
        <f>IF(D176="O",IF(N176&lt;0,N176,0),0)</f>
        <v>0</v>
      </c>
      <c r="P176" s="251">
        <f>IF(N176&gt;= 0,N176,0)</f>
        <v>0</v>
      </c>
      <c r="Q176" s="251">
        <f>IF(N176&lt;0,N176,0)</f>
        <v>-1</v>
      </c>
      <c r="R1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43763</v>
      </c>
      <c r="T1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6" s="253">
        <f ca="1">IF(Tabla33610673[[#This Row],[Equity]]&lt;Tabla33610673[[#This Row],[Equity Peak]],(Tabla33610673[[#This Row],[Equity Peak]]-Tabla33610673[[#This Row],[Equity]])/Tabla33610673[[#This Row],[Equity Peak]],"")</f>
        <v>2.5995415192183572E-2</v>
      </c>
      <c r="V176" s="254">
        <f>IF(B176="FX",N176,0)</f>
        <v>-1</v>
      </c>
      <c r="W176" s="254">
        <f>IF(D176="O",IF(V176&lt;0,V176,0),0)</f>
        <v>0</v>
      </c>
      <c r="X176" s="254">
        <f>IF(B176="COM",N176,0)</f>
        <v>0</v>
      </c>
      <c r="Y176" s="254">
        <f>IF(D176="O",IF(X176&lt;0,X176,0),0)</f>
        <v>0</v>
      </c>
      <c r="Z176" s="254">
        <f>IF(B176="IND",N176,0)</f>
        <v>0</v>
      </c>
      <c r="AA176" s="250">
        <f>IF(D176="O",IF(Z176&lt;0,Z176,0),0)</f>
        <v>0</v>
      </c>
      <c r="AB176" s="254">
        <f>IF(B176="CRYPTO",N176,0)</f>
        <v>0</v>
      </c>
      <c r="AC176" s="250">
        <f>IF(D176="O",IF(AB176&lt;0,AB176,0),0)</f>
        <v>0</v>
      </c>
      <c r="AD176" s="255">
        <f>IF(K176&lt;&gt;"",K176-E176,0)</f>
        <v>6.3888888886140194E-2</v>
      </c>
      <c r="AE176" s="255">
        <f>IF(N176&gt;0,AD176,0)</f>
        <v>0</v>
      </c>
      <c r="AF176" s="255">
        <f>IF(N176&lt;0,AD176,0)</f>
        <v>6.3888888886140194E-2</v>
      </c>
      <c r="AG176" s="255">
        <f>IF(N176=0,AD176,0)</f>
        <v>0</v>
      </c>
    </row>
    <row r="177" spans="2:33" ht="15" customHeight="1" x14ac:dyDescent="0.3">
      <c r="B177" s="196" t="s">
        <v>5</v>
      </c>
      <c r="C177" s="197" t="s">
        <v>13</v>
      </c>
      <c r="D177" s="246" t="str">
        <f>IF(E177&lt;&gt;"",IF(K177&lt;&gt;"","C","O"),"")</f>
        <v>C</v>
      </c>
      <c r="E177" s="199">
        <v>44826.75</v>
      </c>
      <c r="F177" s="200" t="s">
        <v>92</v>
      </c>
      <c r="G177" s="235">
        <v>11464.41</v>
      </c>
      <c r="H177" s="235">
        <v>11531.81</v>
      </c>
      <c r="I177" s="247">
        <f>ABS(G177-H177)</f>
        <v>67.399999999999636</v>
      </c>
      <c r="J177" s="235">
        <v>10206.18</v>
      </c>
      <c r="K177" s="199">
        <v>44826.918055555558</v>
      </c>
      <c r="L177" s="235">
        <v>11531.81</v>
      </c>
      <c r="M177" s="248">
        <f>ROUND(IF(C177="L",(L177-G177),(G177-L177)),4)</f>
        <v>-67.400000000000006</v>
      </c>
      <c r="N177" s="249">
        <f>IFERROR(ROUND((M177/I177),2),"")</f>
        <v>-1</v>
      </c>
      <c r="O177" s="250">
        <f>IF(D177="O",IF(N177&lt;0,N177,0),0)</f>
        <v>0</v>
      </c>
      <c r="P177" s="251">
        <f>IF(N177&gt;= 0,N177,0)</f>
        <v>0</v>
      </c>
      <c r="Q177" s="251">
        <f>IF(N177&lt;0,N177,0)</f>
        <v>-1</v>
      </c>
      <c r="R1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43863</v>
      </c>
      <c r="T1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7" s="253">
        <f ca="1">IF(Tabla33610673[[#This Row],[Equity]]&lt;Tabla33610673[[#This Row],[Equity Peak]],(Tabla33610673[[#This Row],[Equity Peak]]-Tabla33610673[[#This Row],[Equity]])/Tabla33610673[[#This Row],[Equity Peak]],"")</f>
        <v>2.3769780329839087E-2</v>
      </c>
      <c r="V177" s="254">
        <f>IF(B177="FX",N177,0)</f>
        <v>0</v>
      </c>
      <c r="W177" s="254">
        <f>IF(D177="O",IF(V177&lt;0,V177,0),0)</f>
        <v>0</v>
      </c>
      <c r="X177" s="254">
        <f>IF(B177="COM",N177,0)</f>
        <v>0</v>
      </c>
      <c r="Y177" s="254">
        <f>IF(D177="O",IF(X177&lt;0,X177,0),0)</f>
        <v>0</v>
      </c>
      <c r="Z177" s="254">
        <f>IF(B177="IND",N177,0)</f>
        <v>-1</v>
      </c>
      <c r="AA177" s="250">
        <f>IF(D177="O",IF(Z177&lt;0,Z177,0),0)</f>
        <v>0</v>
      </c>
      <c r="AB177" s="254">
        <f>IF(B177="CRYPTO",N177,0)</f>
        <v>0</v>
      </c>
      <c r="AC177" s="250">
        <f>IF(D177="O",IF(AB177&lt;0,AB177,0),0)</f>
        <v>0</v>
      </c>
      <c r="AD177" s="255">
        <f>IF(K177&lt;&gt;"",K177-E177,0)</f>
        <v>0.1680555555576575</v>
      </c>
      <c r="AE177" s="255">
        <f>IF(N177&gt;0,AD177,0)</f>
        <v>0</v>
      </c>
      <c r="AF177" s="255">
        <f>IF(N177&lt;0,AD177,0)</f>
        <v>0.1680555555576575</v>
      </c>
      <c r="AG177" s="255">
        <f>IF(N177=0,AD177,0)</f>
        <v>0</v>
      </c>
    </row>
    <row r="178" spans="2:33" ht="15" customHeight="1" x14ac:dyDescent="0.3">
      <c r="B178" s="196" t="s">
        <v>5</v>
      </c>
      <c r="C178" s="197" t="s">
        <v>13</v>
      </c>
      <c r="D178" s="246" t="str">
        <f>IF(E178&lt;&gt;"",IF(K178&lt;&gt;"","C","O"),"")</f>
        <v>C</v>
      </c>
      <c r="E178" s="199">
        <v>44826.75</v>
      </c>
      <c r="F178" s="200" t="s">
        <v>93</v>
      </c>
      <c r="G178" s="235">
        <v>11464.41</v>
      </c>
      <c r="H178" s="235">
        <v>11528.11</v>
      </c>
      <c r="I178" s="247">
        <f>ABS(G178-H178)</f>
        <v>63.700000000000728</v>
      </c>
      <c r="J178" s="235">
        <v>10784.93</v>
      </c>
      <c r="K178" s="199">
        <v>44826.830555555556</v>
      </c>
      <c r="L178" s="235">
        <v>11528.11</v>
      </c>
      <c r="M178" s="248">
        <f>ROUND(IF(C178="L",(L178-G178),(G178-L178)),4)</f>
        <v>-63.7</v>
      </c>
      <c r="N178" s="249">
        <f>IFERROR(ROUND((M178/I178),2),"")</f>
        <v>-1</v>
      </c>
      <c r="O178" s="250">
        <f>IF(D178="O",IF(N178&lt;0,N178,0),0)</f>
        <v>0</v>
      </c>
      <c r="P178" s="251">
        <f>IF(N178&gt;= 0,N178,0)</f>
        <v>0</v>
      </c>
      <c r="Q178" s="251">
        <f>IF(N178&lt;0,N178,0)</f>
        <v>-1</v>
      </c>
      <c r="R1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43963</v>
      </c>
      <c r="T1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8" s="253">
        <f ca="1">IF(Tabla33610673[[#This Row],[Equity]]&lt;Tabla33610673[[#This Row],[Equity Peak]],(Tabla33610673[[#This Row],[Equity Peak]]-Tabla33610673[[#This Row],[Equity]])/Tabla33610673[[#This Row],[Equity Peak]],"")</f>
        <v>2.1544145467494603E-2</v>
      </c>
      <c r="V178" s="254">
        <f>IF(B178="FX",N178,0)</f>
        <v>0</v>
      </c>
      <c r="W178" s="254">
        <f>IF(D178="O",IF(V178&lt;0,V178,0),0)</f>
        <v>0</v>
      </c>
      <c r="X178" s="254">
        <f>IF(B178="COM",N178,0)</f>
        <v>0</v>
      </c>
      <c r="Y178" s="254">
        <f>IF(D178="O",IF(X178&lt;0,X178,0),0)</f>
        <v>0</v>
      </c>
      <c r="Z178" s="254">
        <f>IF(B178="IND",N178,0)</f>
        <v>-1</v>
      </c>
      <c r="AA178" s="250">
        <f>IF(D178="O",IF(Z178&lt;0,Z178,0),0)</f>
        <v>0</v>
      </c>
      <c r="AB178" s="254">
        <f>IF(B178="CRYPTO",N178,0)</f>
        <v>0</v>
      </c>
      <c r="AC178" s="250">
        <f>IF(D178="O",IF(AB178&lt;0,AB178,0),0)</f>
        <v>0</v>
      </c>
      <c r="AD178" s="255">
        <f>IF(K178&lt;&gt;"",K178-E178,0)</f>
        <v>8.0555555556202307E-2</v>
      </c>
      <c r="AE178" s="255">
        <f>IF(N178&gt;0,AD178,0)</f>
        <v>0</v>
      </c>
      <c r="AF178" s="255">
        <f>IF(N178&lt;0,AD178,0)</f>
        <v>8.0555555556202307E-2</v>
      </c>
      <c r="AG178" s="255">
        <f>IF(N178=0,AD178,0)</f>
        <v>0</v>
      </c>
    </row>
    <row r="179" spans="2:33" ht="15" customHeight="1" x14ac:dyDescent="0.3">
      <c r="B179" s="196" t="s">
        <v>7</v>
      </c>
      <c r="C179" s="197" t="s">
        <v>13</v>
      </c>
      <c r="D179" s="246" t="str">
        <f>IF(E179&lt;&gt;"",IF(K179&lt;&gt;"","C","O"),"")</f>
        <v>C</v>
      </c>
      <c r="E179" s="199">
        <v>44826.635416666664</v>
      </c>
      <c r="F179" s="200" t="s">
        <v>115</v>
      </c>
      <c r="G179" s="235">
        <v>159.5</v>
      </c>
      <c r="H179" s="235">
        <v>160.42599999999999</v>
      </c>
      <c r="I179" s="247">
        <f>ABS(G179-H179)</f>
        <v>0.92599999999998772</v>
      </c>
      <c r="J179" s="235">
        <v>156.85599999999999</v>
      </c>
      <c r="K179" s="199">
        <v>44826.820833333331</v>
      </c>
      <c r="L179" s="235">
        <v>160.42599999999999</v>
      </c>
      <c r="M179" s="248">
        <f>ROUND(IF(C179="L",(L179-G179),(G179-L179)),4)</f>
        <v>-0.92600000000000005</v>
      </c>
      <c r="N179" s="249">
        <f>IFERROR(ROUND((M179/I179),2),"")</f>
        <v>-1</v>
      </c>
      <c r="O179" s="250">
        <f>IF(D179="O",IF(N179&lt;0,N179,0),0)</f>
        <v>0</v>
      </c>
      <c r="P179" s="251">
        <f>IF(N179&gt;= 0,N179,0)</f>
        <v>0</v>
      </c>
      <c r="Q179" s="251">
        <f>IF(N179&lt;0,N179,0)</f>
        <v>-1</v>
      </c>
      <c r="R1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44063</v>
      </c>
      <c r="T1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79" s="253">
        <f ca="1">IF(Tabla33610673[[#This Row],[Equity]]&lt;Tabla33610673[[#This Row],[Equity Peak]],(Tabla33610673[[#This Row],[Equity Peak]]-Tabla33610673[[#This Row],[Equity]])/Tabla33610673[[#This Row],[Equity Peak]],"")</f>
        <v>1.9318510605150118E-2</v>
      </c>
      <c r="V179" s="254">
        <f>IF(B179="FX",N179,0)</f>
        <v>-1</v>
      </c>
      <c r="W179" s="254">
        <f>IF(D179="O",IF(V179&lt;0,V179,0),0)</f>
        <v>0</v>
      </c>
      <c r="X179" s="254">
        <f>IF(B179="COM",N179,0)</f>
        <v>0</v>
      </c>
      <c r="Y179" s="254">
        <f>IF(D179="O",IF(X179&lt;0,X179,0),0)</f>
        <v>0</v>
      </c>
      <c r="Z179" s="254">
        <f>IF(B179="IND",N179,0)</f>
        <v>0</v>
      </c>
      <c r="AA179" s="250">
        <f>IF(D179="O",IF(Z179&lt;0,Z179,0),0)</f>
        <v>0</v>
      </c>
      <c r="AB179" s="254">
        <f>IF(B179="CRYPTO",N179,0)</f>
        <v>0</v>
      </c>
      <c r="AC179" s="250">
        <f>IF(D179="O",IF(AB179&lt;0,AB179,0),0)</f>
        <v>0</v>
      </c>
      <c r="AD179" s="255">
        <f>IF(K179&lt;&gt;"",K179-E179,0)</f>
        <v>0.18541666666715173</v>
      </c>
      <c r="AE179" s="255">
        <f>IF(N179&gt;0,AD179,0)</f>
        <v>0</v>
      </c>
      <c r="AF179" s="255">
        <f>IF(N179&lt;0,AD179,0)</f>
        <v>0.18541666666715173</v>
      </c>
      <c r="AG179" s="255">
        <f>IF(N179=0,AD179,0)</f>
        <v>0</v>
      </c>
    </row>
    <row r="180" spans="2:33" ht="15" customHeight="1" x14ac:dyDescent="0.3">
      <c r="B180" s="196" t="s">
        <v>7</v>
      </c>
      <c r="C180" s="197" t="s">
        <v>13</v>
      </c>
      <c r="D180" s="246" t="str">
        <f>IF(E180&lt;&gt;"",IF(K180&lt;&gt;"","C","O"),"")</f>
        <v>C</v>
      </c>
      <c r="E180" s="199">
        <v>44826.489583333336</v>
      </c>
      <c r="F180" s="200" t="s">
        <v>115</v>
      </c>
      <c r="G180" s="235">
        <v>159.952</v>
      </c>
      <c r="H180" s="235">
        <v>160.71600000000001</v>
      </c>
      <c r="I180" s="247">
        <f>ABS(G180-H180)</f>
        <v>0.76400000000001</v>
      </c>
      <c r="J180" s="235">
        <v>157.76900000000001</v>
      </c>
      <c r="K180" s="199">
        <v>44826.494444444441</v>
      </c>
      <c r="L180" s="235">
        <v>160.71600000000001</v>
      </c>
      <c r="M180" s="248">
        <f>ROUND(IF(C180="L",(L180-G180),(G180-L180)),4)</f>
        <v>-0.76400000000000001</v>
      </c>
      <c r="N180" s="249">
        <f>IFERROR(ROUND((M180/I180),2),"")</f>
        <v>-1</v>
      </c>
      <c r="O180" s="250">
        <f>IF(D180="O",IF(N180&lt;0,N180,0),0)</f>
        <v>0</v>
      </c>
      <c r="P180" s="251">
        <f>IF(N180&gt;= 0,N180,0)</f>
        <v>0</v>
      </c>
      <c r="Q180" s="251">
        <f>IF(N180&lt;0,N180,0)</f>
        <v>-1</v>
      </c>
      <c r="R1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44163</v>
      </c>
      <c r="T1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0" s="253">
        <f ca="1">IF(Tabla33610673[[#This Row],[Equity]]&lt;Tabla33610673[[#This Row],[Equity Peak]],(Tabla33610673[[#This Row],[Equity Peak]]-Tabla33610673[[#This Row],[Equity]])/Tabla33610673[[#This Row],[Equity Peak]],"")</f>
        <v>1.7092875742805637E-2</v>
      </c>
      <c r="V180" s="254">
        <f>IF(B180="FX",N180,0)</f>
        <v>-1</v>
      </c>
      <c r="W180" s="254">
        <f>IF(D180="O",IF(V180&lt;0,V180,0),0)</f>
        <v>0</v>
      </c>
      <c r="X180" s="254">
        <f>IF(B180="COM",N180,0)</f>
        <v>0</v>
      </c>
      <c r="Y180" s="254">
        <f>IF(D180="O",IF(X180&lt;0,X180,0),0)</f>
        <v>0</v>
      </c>
      <c r="Z180" s="254">
        <f>IF(B180="IND",N180,0)</f>
        <v>0</v>
      </c>
      <c r="AA180" s="250">
        <f>IF(D180="O",IF(Z180&lt;0,Z180,0),0)</f>
        <v>0</v>
      </c>
      <c r="AB180" s="254">
        <f>IF(B180="CRYPTO",N180,0)</f>
        <v>0</v>
      </c>
      <c r="AC180" s="250">
        <f>IF(D180="O",IF(AB180&lt;0,AB180,0),0)</f>
        <v>0</v>
      </c>
      <c r="AD180" s="255">
        <f>IF(K180&lt;&gt;"",K180-E180,0)</f>
        <v>4.8611111051286571E-3</v>
      </c>
      <c r="AE180" s="255">
        <f>IF(N180&gt;0,AD180,0)</f>
        <v>0</v>
      </c>
      <c r="AF180" s="255">
        <f>IF(N180&lt;0,AD180,0)</f>
        <v>4.8611111051286571E-3</v>
      </c>
      <c r="AG180" s="255">
        <f>IF(N180=0,AD180,0)</f>
        <v>0</v>
      </c>
    </row>
    <row r="181" spans="2:33" ht="15" customHeight="1" x14ac:dyDescent="0.3">
      <c r="B181" s="196" t="s">
        <v>7</v>
      </c>
      <c r="C181" s="197" t="s">
        <v>13</v>
      </c>
      <c r="D181" s="246" t="str">
        <f>IF(E181&lt;&gt;"",IF(K181&lt;&gt;"","C","O"),"")</f>
        <v>C</v>
      </c>
      <c r="E181" s="199">
        <v>44826.489583333336</v>
      </c>
      <c r="F181" s="200" t="s">
        <v>116</v>
      </c>
      <c r="G181" s="235">
        <v>140.977</v>
      </c>
      <c r="H181" s="235">
        <v>141.30500000000001</v>
      </c>
      <c r="I181" s="247">
        <f>ABS(G181-H181)</f>
        <v>0.32800000000000296</v>
      </c>
      <c r="J181" s="235">
        <v>137.56100000000001</v>
      </c>
      <c r="K181" s="199">
        <v>44826.490277777775</v>
      </c>
      <c r="L181" s="235">
        <v>141.30199999999999</v>
      </c>
      <c r="M181" s="248">
        <f>ROUND(IF(C181="L",(L181-G181),(G181-L181)),4)</f>
        <v>-0.32500000000000001</v>
      </c>
      <c r="N181" s="249">
        <f>IFERROR(ROUND((M181/I181),2),"")</f>
        <v>-0.99</v>
      </c>
      <c r="O181" s="250">
        <f>IF(D181="O",IF(N181&lt;0,N181,0),0)</f>
        <v>0</v>
      </c>
      <c r="P181" s="251">
        <f>IF(N181&gt;= 0,N181,0)</f>
        <v>0</v>
      </c>
      <c r="Q181" s="251">
        <f>IF(N181&lt;0,N181,0)</f>
        <v>-0.99</v>
      </c>
      <c r="R1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44263</v>
      </c>
      <c r="T1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1" s="253">
        <f ca="1">IF(Tabla33610673[[#This Row],[Equity]]&lt;Tabla33610673[[#This Row],[Equity Peak]],(Tabla33610673[[#This Row],[Equity Peak]]-Tabla33610673[[#This Row],[Equity]])/Tabla33610673[[#This Row],[Equity Peak]],"")</f>
        <v>1.4867240880461152E-2</v>
      </c>
      <c r="V181" s="254">
        <f>IF(B181="FX",N181,0)</f>
        <v>-0.99</v>
      </c>
      <c r="W181" s="254">
        <f>IF(D181="O",IF(V181&lt;0,V181,0),0)</f>
        <v>0</v>
      </c>
      <c r="X181" s="254">
        <f>IF(B181="COM",N181,0)</f>
        <v>0</v>
      </c>
      <c r="Y181" s="254">
        <f>IF(D181="O",IF(X181&lt;0,X181,0),0)</f>
        <v>0</v>
      </c>
      <c r="Z181" s="254">
        <f>IF(B181="IND",N181,0)</f>
        <v>0</v>
      </c>
      <c r="AA181" s="250">
        <f>IF(D181="O",IF(Z181&lt;0,Z181,0),0)</f>
        <v>0</v>
      </c>
      <c r="AB181" s="254">
        <f>IF(B181="CRYPTO",N181,0)</f>
        <v>0</v>
      </c>
      <c r="AC181" s="250">
        <f>IF(D181="O",IF(AB181&lt;0,AB181,0),0)</f>
        <v>0</v>
      </c>
      <c r="AD181" s="255">
        <f>IF(K181&lt;&gt;"",K181-E181,0)</f>
        <v>6.9444443943211809E-4</v>
      </c>
      <c r="AE181" s="255">
        <f>IF(N181&gt;0,AD181,0)</f>
        <v>0</v>
      </c>
      <c r="AF181" s="255">
        <f>IF(N181&lt;0,AD181,0)</f>
        <v>6.9444443943211809E-4</v>
      </c>
      <c r="AG181" s="255">
        <f>IF(N181=0,AD181,0)</f>
        <v>0</v>
      </c>
    </row>
    <row r="182" spans="2:33" ht="15" customHeight="1" x14ac:dyDescent="0.3">
      <c r="B182" s="196" t="s">
        <v>5</v>
      </c>
      <c r="C182" s="197" t="s">
        <v>13</v>
      </c>
      <c r="D182" s="246" t="str">
        <f>IF(E182&lt;&gt;"",IF(K182&lt;&gt;"","C","O"),"")</f>
        <v>C</v>
      </c>
      <c r="E182" s="199">
        <v>44825.947916666664</v>
      </c>
      <c r="F182" s="200" t="s">
        <v>92</v>
      </c>
      <c r="G182" s="235">
        <v>11673.28</v>
      </c>
      <c r="H182" s="235">
        <v>11726.02</v>
      </c>
      <c r="I182" s="247">
        <f>ABS(G182-H182)</f>
        <v>52.739999999999782</v>
      </c>
      <c r="J182" s="235">
        <v>10688.81</v>
      </c>
      <c r="K182" s="199">
        <v>44826.461805555555</v>
      </c>
      <c r="L182" s="235">
        <v>11668.38</v>
      </c>
      <c r="M182" s="248">
        <f>ROUND(IF(C182="L",(L182-G182),(G182-L182)),4)</f>
        <v>4.9000000000000004</v>
      </c>
      <c r="N182" s="249">
        <f>IFERROR(ROUND((M182/I182),2),"")</f>
        <v>0.09</v>
      </c>
      <c r="O182" s="250">
        <f>IF(D182="O",IF(N182&lt;0,N182,0),0)</f>
        <v>0</v>
      </c>
      <c r="P182" s="251">
        <f>IF(N182&gt;= 0,N182,0)</f>
        <v>0.09</v>
      </c>
      <c r="Q182" s="251">
        <f>IF(N182&lt;0,N182,0)</f>
        <v>0</v>
      </c>
      <c r="R1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44362</v>
      </c>
      <c r="T1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2" s="253">
        <f ca="1">IF(Tabla33610673[[#This Row],[Equity]]&lt;Tabla33610673[[#This Row],[Equity Peak]],(Tabla33610673[[#This Row],[Equity Peak]]-Tabla33610673[[#This Row],[Equity]])/Tabla33610673[[#This Row],[Equity Peak]],"")</f>
        <v>1.2663862366740112E-2</v>
      </c>
      <c r="V182" s="254">
        <f>IF(B182="FX",N182,0)</f>
        <v>0</v>
      </c>
      <c r="W182" s="254">
        <f>IF(D182="O",IF(V182&lt;0,V182,0),0)</f>
        <v>0</v>
      </c>
      <c r="X182" s="254">
        <f>IF(B182="COM",N182,0)</f>
        <v>0</v>
      </c>
      <c r="Y182" s="254">
        <f>IF(D182="O",IF(X182&lt;0,X182,0),0)</f>
        <v>0</v>
      </c>
      <c r="Z182" s="254">
        <f>IF(B182="IND",N182,0)</f>
        <v>0.09</v>
      </c>
      <c r="AA182" s="250">
        <f>IF(D182="O",IF(Z182&lt;0,Z182,0),0)</f>
        <v>0</v>
      </c>
      <c r="AB182" s="254">
        <f>IF(B182="CRYPTO",N182,0)</f>
        <v>0</v>
      </c>
      <c r="AC182" s="250">
        <f>IF(D182="O",IF(AB182&lt;0,AB182,0),0)</f>
        <v>0</v>
      </c>
      <c r="AD182" s="255">
        <f>IF(K182&lt;&gt;"",K182-E182,0)</f>
        <v>0.51388888889050577</v>
      </c>
      <c r="AE182" s="255">
        <f>IF(N182&gt;0,AD182,0)</f>
        <v>0.51388888889050577</v>
      </c>
      <c r="AF182" s="255">
        <f>IF(N182&lt;0,AD182,0)</f>
        <v>0</v>
      </c>
      <c r="AG182" s="255">
        <f>IF(N182=0,AD182,0)</f>
        <v>0</v>
      </c>
    </row>
    <row r="183" spans="2:33" ht="15" customHeight="1" x14ac:dyDescent="0.3">
      <c r="B183" s="196" t="s">
        <v>7</v>
      </c>
      <c r="C183" s="197" t="s">
        <v>15</v>
      </c>
      <c r="D183" s="246" t="str">
        <f>IF(E183&lt;&gt;"",IF(K183&lt;&gt;"","C","O"),"")</f>
        <v>C</v>
      </c>
      <c r="E183" s="199">
        <v>44826.447916666664</v>
      </c>
      <c r="F183" s="200" t="s">
        <v>115</v>
      </c>
      <c r="G183" s="235">
        <v>164.142</v>
      </c>
      <c r="H183" s="235">
        <v>163.49100000000001</v>
      </c>
      <c r="I183" s="247">
        <f>ABS(G183-H183)</f>
        <v>0.65099999999998204</v>
      </c>
      <c r="J183" s="235">
        <v>166.00299999999999</v>
      </c>
      <c r="K183" s="199">
        <v>44826.461111111108</v>
      </c>
      <c r="L183" s="235">
        <v>163.58000000000001</v>
      </c>
      <c r="M183" s="248">
        <f>ROUND(IF(C183="L",(L183-G183),(G183-L183)),4)</f>
        <v>-0.56200000000000006</v>
      </c>
      <c r="N183" s="249">
        <f>IFERROR(ROUND((M183/I183),2),"")</f>
        <v>-0.86</v>
      </c>
      <c r="O183" s="250">
        <f>IF(D183="O",IF(N183&lt;0,N183,0),0)</f>
        <v>0</v>
      </c>
      <c r="P183" s="251">
        <f>IF(N183&gt;= 0,N183,0)</f>
        <v>0</v>
      </c>
      <c r="Q183" s="251">
        <f>IF(N183&lt;0,N183,0)</f>
        <v>-0.86</v>
      </c>
      <c r="R1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44353</v>
      </c>
      <c r="T1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3" s="253">
        <f ca="1">IF(Tabla33610673[[#This Row],[Equity]]&lt;Tabla33610673[[#This Row],[Equity Peak]],(Tabla33610673[[#This Row],[Equity Peak]]-Tabla33610673[[#This Row],[Equity]])/Tabla33610673[[#This Row],[Equity Peak]],"")</f>
        <v>1.2864169504351116E-2</v>
      </c>
      <c r="V183" s="254">
        <f>IF(B183="FX",N183,0)</f>
        <v>-0.86</v>
      </c>
      <c r="W183" s="254">
        <f>IF(D183="O",IF(V183&lt;0,V183,0),0)</f>
        <v>0</v>
      </c>
      <c r="X183" s="254">
        <f>IF(B183="COM",N183,0)</f>
        <v>0</v>
      </c>
      <c r="Y183" s="254">
        <f>IF(D183="O",IF(X183&lt;0,X183,0),0)</f>
        <v>0</v>
      </c>
      <c r="Z183" s="254">
        <f>IF(B183="IND",N183,0)</f>
        <v>0</v>
      </c>
      <c r="AA183" s="250">
        <f>IF(D183="O",IF(Z183&lt;0,Z183,0),0)</f>
        <v>0</v>
      </c>
      <c r="AB183" s="254">
        <f>IF(B183="CRYPTO",N183,0)</f>
        <v>0</v>
      </c>
      <c r="AC183" s="250">
        <f>IF(D183="O",IF(AB183&lt;0,AB183,0),0)</f>
        <v>0</v>
      </c>
      <c r="AD183" s="255">
        <f>IF(K183&lt;&gt;"",K183-E183,0)</f>
        <v>1.3194444443797693E-2</v>
      </c>
      <c r="AE183" s="255">
        <f>IF(N183&gt;0,AD183,0)</f>
        <v>0</v>
      </c>
      <c r="AF183" s="255">
        <f>IF(N183&lt;0,AD183,0)</f>
        <v>1.3194444443797693E-2</v>
      </c>
      <c r="AG183" s="255">
        <f>IF(N183=0,AD183,0)</f>
        <v>0</v>
      </c>
    </row>
    <row r="184" spans="2:33" ht="15" customHeight="1" x14ac:dyDescent="0.3">
      <c r="B184" s="196" t="s">
        <v>7</v>
      </c>
      <c r="C184" s="197" t="s">
        <v>15</v>
      </c>
      <c r="D184" s="246" t="str">
        <f>IF(E184&lt;&gt;"",IF(K184&lt;&gt;"","C","O"),"")</f>
        <v>C</v>
      </c>
      <c r="E184" s="199">
        <v>44826.416666666664</v>
      </c>
      <c r="F184" s="200" t="s">
        <v>116</v>
      </c>
      <c r="G184" s="235">
        <v>145.65700000000001</v>
      </c>
      <c r="H184" s="235">
        <v>145.36500000000001</v>
      </c>
      <c r="I184" s="247">
        <f>ABS(G184-H184)</f>
        <v>0.29200000000000159</v>
      </c>
      <c r="J184" s="235">
        <v>148.69499999999999</v>
      </c>
      <c r="K184" s="199">
        <v>44826.460416666669</v>
      </c>
      <c r="L184" s="235">
        <v>145.47900000000001</v>
      </c>
      <c r="M184" s="248">
        <f>ROUND(IF(C184="L",(L184-G184),(G184-L184)),4)</f>
        <v>-0.17799999999999999</v>
      </c>
      <c r="N184" s="249">
        <f>IFERROR(ROUND((M184/I184),2),"")</f>
        <v>-0.61</v>
      </c>
      <c r="O184" s="250">
        <f>IF(D184="O",IF(N184&lt;0,N184,0),0)</f>
        <v>0</v>
      </c>
      <c r="P184" s="251">
        <f>IF(N184&gt;= 0,N184,0)</f>
        <v>0</v>
      </c>
      <c r="Q184" s="251">
        <f>IF(N184&lt;0,N184,0)</f>
        <v>-0.61</v>
      </c>
      <c r="R1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44439</v>
      </c>
      <c r="T1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4" s="253">
        <f ca="1">IF(Tabla33610673[[#This Row],[Equity]]&lt;Tabla33610673[[#This Row],[Equity Peak]],(Tabla33610673[[#This Row],[Equity Peak]]-Tabla33610673[[#This Row],[Equity]])/Tabla33610673[[#This Row],[Equity Peak]],"")</f>
        <v>1.095012352273486E-2</v>
      </c>
      <c r="V184" s="254">
        <f>IF(B184="FX",N184,0)</f>
        <v>-0.61</v>
      </c>
      <c r="W184" s="254">
        <f>IF(D184="O",IF(V184&lt;0,V184,0),0)</f>
        <v>0</v>
      </c>
      <c r="X184" s="254">
        <f>IF(B184="COM",N184,0)</f>
        <v>0</v>
      </c>
      <c r="Y184" s="254">
        <f>IF(D184="O",IF(X184&lt;0,X184,0),0)</f>
        <v>0</v>
      </c>
      <c r="Z184" s="254">
        <f>IF(B184="IND",N184,0)</f>
        <v>0</v>
      </c>
      <c r="AA184" s="250">
        <f>IF(D184="O",IF(Z184&lt;0,Z184,0),0)</f>
        <v>0</v>
      </c>
      <c r="AB184" s="254">
        <f>IF(B184="CRYPTO",N184,0)</f>
        <v>0</v>
      </c>
      <c r="AC184" s="250">
        <f>IF(D184="O",IF(AB184&lt;0,AB184,0),0)</f>
        <v>0</v>
      </c>
      <c r="AD184" s="255">
        <f>IF(K184&lt;&gt;"",K184-E184,0)</f>
        <v>4.3750000004365575E-2</v>
      </c>
      <c r="AE184" s="255">
        <f>IF(N184&gt;0,AD184,0)</f>
        <v>0</v>
      </c>
      <c r="AF184" s="255">
        <f>IF(N184&lt;0,AD184,0)</f>
        <v>4.3750000004365575E-2</v>
      </c>
      <c r="AG184" s="255">
        <f>IF(N184=0,AD184,0)</f>
        <v>0</v>
      </c>
    </row>
    <row r="185" spans="2:33" ht="15" customHeight="1" x14ac:dyDescent="0.3">
      <c r="B185" s="196" t="s">
        <v>5</v>
      </c>
      <c r="C185" s="197" t="s">
        <v>13</v>
      </c>
      <c r="D185" s="246" t="str">
        <f>IF(E185&lt;&gt;"",IF(K185&lt;&gt;"","C","O"),"")</f>
        <v>C</v>
      </c>
      <c r="E185" s="199">
        <v>44825.947916666664</v>
      </c>
      <c r="F185" s="200" t="s">
        <v>93</v>
      </c>
      <c r="G185" s="235">
        <v>11673.28</v>
      </c>
      <c r="H185" s="235">
        <v>11722.36</v>
      </c>
      <c r="I185" s="247">
        <f>ABS(G185-H185)</f>
        <v>49.079999999999927</v>
      </c>
      <c r="J185" s="235">
        <v>11149.81</v>
      </c>
      <c r="K185" s="199">
        <v>44826.448611111111</v>
      </c>
      <c r="L185" s="235">
        <v>11600.8</v>
      </c>
      <c r="M185" s="248">
        <f>ROUND(IF(C185="L",(L185-G185),(G185-L185)),4)</f>
        <v>72.48</v>
      </c>
      <c r="N185" s="249">
        <f>IFERROR(ROUND((M185/I185),2),"")</f>
        <v>1.48</v>
      </c>
      <c r="O185" s="250">
        <f>IF(D185="O",IF(N185&lt;0,N185,0),0)</f>
        <v>0</v>
      </c>
      <c r="P185" s="251">
        <f>IF(N185&gt;= 0,N185,0)</f>
        <v>1.48</v>
      </c>
      <c r="Q185" s="251">
        <f>IF(N185&lt;0,N185,0)</f>
        <v>0</v>
      </c>
      <c r="R1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44500</v>
      </c>
      <c r="T1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5" s="253">
        <f ca="1">IF(Tabla33610673[[#This Row],[Equity]]&lt;Tabla33610673[[#This Row],[Equity Peak]],(Tabla33610673[[#This Row],[Equity Peak]]-Tabla33610673[[#This Row],[Equity]])/Tabla33610673[[#This Row],[Equity Peak]],"")</f>
        <v>9.5924862567047242E-3</v>
      </c>
      <c r="V185" s="254">
        <f>IF(B185="FX",N185,0)</f>
        <v>0</v>
      </c>
      <c r="W185" s="254">
        <f>IF(D185="O",IF(V185&lt;0,V185,0),0)</f>
        <v>0</v>
      </c>
      <c r="X185" s="254">
        <f>IF(B185="COM",N185,0)</f>
        <v>0</v>
      </c>
      <c r="Y185" s="254">
        <f>IF(D185="O",IF(X185&lt;0,X185,0),0)</f>
        <v>0</v>
      </c>
      <c r="Z185" s="254">
        <f>IF(B185="IND",N185,0)</f>
        <v>1.48</v>
      </c>
      <c r="AA185" s="250">
        <f>IF(D185="O",IF(Z185&lt;0,Z185,0),0)</f>
        <v>0</v>
      </c>
      <c r="AB185" s="254">
        <f>IF(B185="CRYPTO",N185,0)</f>
        <v>0</v>
      </c>
      <c r="AC185" s="250">
        <f>IF(D185="O",IF(AB185&lt;0,AB185,0),0)</f>
        <v>0</v>
      </c>
      <c r="AD185" s="255">
        <f>IF(K185&lt;&gt;"",K185-E185,0)</f>
        <v>0.50069444444670808</v>
      </c>
      <c r="AE185" s="255">
        <f>IF(N185&gt;0,AD185,0)</f>
        <v>0.50069444444670808</v>
      </c>
      <c r="AF185" s="255">
        <f>IF(N185&lt;0,AD185,0)</f>
        <v>0</v>
      </c>
      <c r="AG185" s="255">
        <f>IF(N185=0,AD185,0)</f>
        <v>0</v>
      </c>
    </row>
    <row r="186" spans="2:33" ht="15" customHeight="1" x14ac:dyDescent="0.3">
      <c r="B186" s="196" t="s">
        <v>5</v>
      </c>
      <c r="C186" s="197" t="s">
        <v>13</v>
      </c>
      <c r="D186" s="246" t="str">
        <f>IF(E186&lt;&gt;"",IF(K186&lt;&gt;"","C","O"),"")</f>
        <v>C</v>
      </c>
      <c r="E186" s="199">
        <v>44826.145833333336</v>
      </c>
      <c r="F186" s="200" t="s">
        <v>91</v>
      </c>
      <c r="G186" s="235">
        <v>12505.62</v>
      </c>
      <c r="H186" s="235">
        <v>12550.34</v>
      </c>
      <c r="I186" s="247">
        <f>ABS(G186-H186)</f>
        <v>44.719999999999345</v>
      </c>
      <c r="J186" s="235">
        <v>11670.88</v>
      </c>
      <c r="K186" s="199">
        <v>44826.339583333334</v>
      </c>
      <c r="L186" s="235">
        <v>12523.03</v>
      </c>
      <c r="M186" s="248">
        <f>ROUND(IF(C186="L",(L186-G186),(G186-L186)),4)</f>
        <v>-17.41</v>
      </c>
      <c r="N186" s="249">
        <f>IFERROR(ROUND((M186/I186),2),"")</f>
        <v>-0.39</v>
      </c>
      <c r="O186" s="250">
        <f>IF(D186="O",IF(N186&lt;0,N186,0),0)</f>
        <v>0</v>
      </c>
      <c r="P186" s="251">
        <f>IF(N186&gt;= 0,N186,0)</f>
        <v>0</v>
      </c>
      <c r="Q186" s="251">
        <f>IF(N186&lt;0,N186,0)</f>
        <v>-0.39</v>
      </c>
      <c r="R1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44352</v>
      </c>
      <c r="T1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6" s="253">
        <f ca="1">IF(Tabla33610673[[#This Row],[Equity]]&lt;Tabla33610673[[#This Row],[Equity Peak]],(Tabla33610673[[#This Row],[Equity Peak]]-Tabla33610673[[#This Row],[Equity]])/Tabla33610673[[#This Row],[Equity Peak]],"")</f>
        <v>1.2886425852974561E-2</v>
      </c>
      <c r="V186" s="254">
        <f>IF(B186="FX",N186,0)</f>
        <v>0</v>
      </c>
      <c r="W186" s="254">
        <f>IF(D186="O",IF(V186&lt;0,V186,0),0)</f>
        <v>0</v>
      </c>
      <c r="X186" s="254">
        <f>IF(B186="COM",N186,0)</f>
        <v>0</v>
      </c>
      <c r="Y186" s="254">
        <f>IF(D186="O",IF(X186&lt;0,X186,0),0)</f>
        <v>0</v>
      </c>
      <c r="Z186" s="254">
        <f>IF(B186="IND",N186,0)</f>
        <v>-0.39</v>
      </c>
      <c r="AA186" s="250">
        <f>IF(D186="O",IF(Z186&lt;0,Z186,0),0)</f>
        <v>0</v>
      </c>
      <c r="AB186" s="254">
        <f>IF(B186="CRYPTO",N186,0)</f>
        <v>0</v>
      </c>
      <c r="AC186" s="250">
        <f>IF(D186="O",IF(AB186&lt;0,AB186,0),0)</f>
        <v>0</v>
      </c>
      <c r="AD186" s="255">
        <f>IF(K186&lt;&gt;"",K186-E186,0)</f>
        <v>0.19374999999854481</v>
      </c>
      <c r="AE186" s="255">
        <f>IF(N186&gt;0,AD186,0)</f>
        <v>0</v>
      </c>
      <c r="AF186" s="255">
        <f>IF(N186&lt;0,AD186,0)</f>
        <v>0.19374999999854481</v>
      </c>
      <c r="AG186" s="255">
        <f>IF(N186=0,AD186,0)</f>
        <v>0</v>
      </c>
    </row>
    <row r="187" spans="2:33" ht="15" customHeight="1" x14ac:dyDescent="0.3">
      <c r="B187" s="196" t="s">
        <v>7</v>
      </c>
      <c r="C187" s="197" t="s">
        <v>13</v>
      </c>
      <c r="D187" s="246" t="str">
        <f>IF(E187&lt;&gt;"",IF(K187&lt;&gt;"","C","O"),"")</f>
        <v>C</v>
      </c>
      <c r="E187" s="199">
        <v>44826.135416666664</v>
      </c>
      <c r="F187" s="200" t="s">
        <v>114</v>
      </c>
      <c r="G187" s="235">
        <v>0.98196000000000006</v>
      </c>
      <c r="H187" s="235">
        <v>0.98379000000000005</v>
      </c>
      <c r="I187" s="247">
        <f>ABS(G187-H187)</f>
        <v>1.8299999999999983E-3</v>
      </c>
      <c r="J187" s="235">
        <v>0.96553</v>
      </c>
      <c r="K187" s="199">
        <v>44826.247916666667</v>
      </c>
      <c r="L187" s="235">
        <v>0.98346999999999996</v>
      </c>
      <c r="M187" s="248">
        <f>ROUND(IF(C187="L",(L187-G187),(G187-L187)),4)</f>
        <v>-1.5E-3</v>
      </c>
      <c r="N187" s="249">
        <f>IFERROR(ROUND((M187/I187),2),"")</f>
        <v>-0.82</v>
      </c>
      <c r="O187" s="250">
        <f>IF(D187="O",IF(N187&lt;0,N187,0),0)</f>
        <v>0</v>
      </c>
      <c r="P187" s="251">
        <f>IF(N187&gt;= 0,N187,0)</f>
        <v>0</v>
      </c>
      <c r="Q187" s="251">
        <f>IF(N187&lt;0,N187,0)</f>
        <v>-0.82</v>
      </c>
      <c r="R1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44391</v>
      </c>
      <c r="T1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7" s="253">
        <f ca="1">IF(Tabla33610673[[#This Row],[Equity]]&lt;Tabla33610673[[#This Row],[Equity Peak]],(Tabla33610673[[#This Row],[Equity Peak]]-Tabla33610673[[#This Row],[Equity]])/Tabla33610673[[#This Row],[Equity Peak]],"")</f>
        <v>1.2018428256660212E-2</v>
      </c>
      <c r="V187" s="254">
        <f>IF(B187="FX",N187,0)</f>
        <v>-0.82</v>
      </c>
      <c r="W187" s="254">
        <f>IF(D187="O",IF(V187&lt;0,V187,0),0)</f>
        <v>0</v>
      </c>
      <c r="X187" s="254">
        <f>IF(B187="COM",N187,0)</f>
        <v>0</v>
      </c>
      <c r="Y187" s="254">
        <f>IF(D187="O",IF(X187&lt;0,X187,0),0)</f>
        <v>0</v>
      </c>
      <c r="Z187" s="254">
        <f>IF(B187="IND",N187,0)</f>
        <v>0</v>
      </c>
      <c r="AA187" s="250">
        <f>IF(D187="O",IF(Z187&lt;0,Z187,0),0)</f>
        <v>0</v>
      </c>
      <c r="AB187" s="254">
        <f>IF(B187="CRYPTO",N187,0)</f>
        <v>0</v>
      </c>
      <c r="AC187" s="250">
        <f>IF(D187="O",IF(AB187&lt;0,AB187,0),0)</f>
        <v>0</v>
      </c>
      <c r="AD187" s="255">
        <f>IF(K187&lt;&gt;"",K187-E187,0)</f>
        <v>0.11250000000291038</v>
      </c>
      <c r="AE187" s="255">
        <f>IF(N187&gt;0,AD187,0)</f>
        <v>0</v>
      </c>
      <c r="AF187" s="255">
        <f>IF(N187&lt;0,AD187,0)</f>
        <v>0.11250000000291038</v>
      </c>
      <c r="AG187" s="255">
        <f>IF(N187=0,AD187,0)</f>
        <v>0</v>
      </c>
    </row>
    <row r="188" spans="2:33" ht="15" customHeight="1" x14ac:dyDescent="0.3">
      <c r="B188" s="196" t="s">
        <v>7</v>
      </c>
      <c r="C188" s="197" t="s">
        <v>13</v>
      </c>
      <c r="D188" s="246" t="str">
        <f>IF(E188&lt;&gt;"",IF(K188&lt;&gt;"","C","O"),"")</f>
        <v>C</v>
      </c>
      <c r="E188" s="199">
        <v>44825.96875</v>
      </c>
      <c r="F188" s="200" t="s">
        <v>115</v>
      </c>
      <c r="G188" s="235">
        <v>162.28399999999999</v>
      </c>
      <c r="H188" s="235">
        <v>162.857</v>
      </c>
      <c r="I188" s="247">
        <f>ABS(G188-H188)</f>
        <v>0.5730000000000075</v>
      </c>
      <c r="J188" s="235">
        <v>160.64699999999999</v>
      </c>
      <c r="K188" s="199">
        <v>44826.243750000001</v>
      </c>
      <c r="L188" s="235">
        <v>162.66800000000001</v>
      </c>
      <c r="M188" s="248">
        <f>ROUND(IF(C188="L",(L188-G188),(G188-L188)),4)</f>
        <v>-0.38400000000000001</v>
      </c>
      <c r="N188" s="249">
        <f>IFERROR(ROUND((M188/I188),2),"")</f>
        <v>-0.67</v>
      </c>
      <c r="O188" s="250">
        <f>IF(D188="O",IF(N188&lt;0,N188,0),0)</f>
        <v>0</v>
      </c>
      <c r="P188" s="251">
        <f>IF(N188&gt;= 0,N188,0)</f>
        <v>0</v>
      </c>
      <c r="Q188" s="251">
        <f>IF(N188&lt;0,N188,0)</f>
        <v>-0.67</v>
      </c>
      <c r="R1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44473</v>
      </c>
      <c r="T1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8" s="253">
        <f ca="1">IF(Tabla33610673[[#This Row],[Equity]]&lt;Tabla33610673[[#This Row],[Equity Peak]],(Tabla33610673[[#This Row],[Equity Peak]]-Tabla33610673[[#This Row],[Equity]])/Tabla33610673[[#This Row],[Equity Peak]],"")</f>
        <v>1.0193407669537736E-2</v>
      </c>
      <c r="V188" s="254">
        <f>IF(B188="FX",N188,0)</f>
        <v>-0.67</v>
      </c>
      <c r="W188" s="254">
        <f>IF(D188="O",IF(V188&lt;0,V188,0),0)</f>
        <v>0</v>
      </c>
      <c r="X188" s="254">
        <f>IF(B188="COM",N188,0)</f>
        <v>0</v>
      </c>
      <c r="Y188" s="254">
        <f>IF(D188="O",IF(X188&lt;0,X188,0),0)</f>
        <v>0</v>
      </c>
      <c r="Z188" s="254">
        <f>IF(B188="IND",N188,0)</f>
        <v>0</v>
      </c>
      <c r="AA188" s="250">
        <f>IF(D188="O",IF(Z188&lt;0,Z188,0),0)</f>
        <v>0</v>
      </c>
      <c r="AB188" s="254">
        <f>IF(B188="CRYPTO",N188,0)</f>
        <v>0</v>
      </c>
      <c r="AC188" s="250">
        <f>IF(D188="O",IF(AB188&lt;0,AB188,0),0)</f>
        <v>0</v>
      </c>
      <c r="AD188" s="255">
        <f>IF(K188&lt;&gt;"",K188-E188,0)</f>
        <v>0.27500000000145519</v>
      </c>
      <c r="AE188" s="255">
        <f>IF(N188&gt;0,AD188,0)</f>
        <v>0</v>
      </c>
      <c r="AF188" s="255">
        <f>IF(N188&lt;0,AD188,0)</f>
        <v>0.27500000000145519</v>
      </c>
      <c r="AG188" s="255">
        <f>IF(N188=0,AD188,0)</f>
        <v>0</v>
      </c>
    </row>
    <row r="189" spans="2:33" ht="15" customHeight="1" x14ac:dyDescent="0.3">
      <c r="B189" s="196" t="s">
        <v>7</v>
      </c>
      <c r="C189" s="197" t="s">
        <v>13</v>
      </c>
      <c r="D189" s="246" t="str">
        <f>IF(E189&lt;&gt;"",IF(K189&lt;&gt;"","C","O"),"")</f>
        <v>C</v>
      </c>
      <c r="E189" s="199">
        <v>44825.75</v>
      </c>
      <c r="F189" s="200" t="s">
        <v>114</v>
      </c>
      <c r="G189" s="235">
        <v>0.98789000000000005</v>
      </c>
      <c r="H189" s="235">
        <v>0.99002999999999997</v>
      </c>
      <c r="I189" s="247">
        <f>ABS(G189-H189)</f>
        <v>2.1399999999999197E-3</v>
      </c>
      <c r="J189" s="235">
        <v>0.96863999999999995</v>
      </c>
      <c r="K189" s="199">
        <v>44825.898611111108</v>
      </c>
      <c r="L189" s="235">
        <v>0.98836999999999997</v>
      </c>
      <c r="M189" s="248">
        <f>ROUND(IF(C189="L",(L189-G189),(G189-L189)),4)</f>
        <v>-5.0000000000000001E-4</v>
      </c>
      <c r="N189" s="249">
        <f>IFERROR(ROUND((M189/I189),2),"")</f>
        <v>-0.23</v>
      </c>
      <c r="O189" s="250">
        <f>IF(D189="O",IF(N189&lt;0,N189,0),0)</f>
        <v>0</v>
      </c>
      <c r="P189" s="251">
        <f>IF(N189&gt;= 0,N189,0)</f>
        <v>0</v>
      </c>
      <c r="Q189" s="251">
        <f>IF(N189&lt;0,N189,0)</f>
        <v>-0.23</v>
      </c>
      <c r="R1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44540</v>
      </c>
      <c r="T1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89" s="253">
        <f ca="1">IF(Tabla33610673[[#This Row],[Equity]]&lt;Tabla33610673[[#This Row],[Equity Peak]],(Tabla33610673[[#This Row],[Equity Peak]]-Tabla33610673[[#This Row],[Equity]])/Tabla33610673[[#This Row],[Equity Peak]],"")</f>
        <v>8.7022323117669307E-3</v>
      </c>
      <c r="V189" s="254">
        <f>IF(B189="FX",N189,0)</f>
        <v>-0.23</v>
      </c>
      <c r="W189" s="254">
        <f>IF(D189="O",IF(V189&lt;0,V189,0),0)</f>
        <v>0</v>
      </c>
      <c r="X189" s="254">
        <f>IF(B189="COM",N189,0)</f>
        <v>0</v>
      </c>
      <c r="Y189" s="254">
        <f>IF(D189="O",IF(X189&lt;0,X189,0),0)</f>
        <v>0</v>
      </c>
      <c r="Z189" s="254">
        <f>IF(B189="IND",N189,0)</f>
        <v>0</v>
      </c>
      <c r="AA189" s="250">
        <f>IF(D189="O",IF(Z189&lt;0,Z189,0),0)</f>
        <v>0</v>
      </c>
      <c r="AB189" s="254">
        <f>IF(B189="CRYPTO",N189,0)</f>
        <v>0</v>
      </c>
      <c r="AC189" s="250">
        <f>IF(D189="O",IF(AB189&lt;0,AB189,0),0)</f>
        <v>0</v>
      </c>
      <c r="AD189" s="255">
        <f>IF(K189&lt;&gt;"",K189-E189,0)</f>
        <v>0.14861111110803904</v>
      </c>
      <c r="AE189" s="255">
        <f>IF(N189&gt;0,AD189,0)</f>
        <v>0</v>
      </c>
      <c r="AF189" s="255">
        <f>IF(N189&lt;0,AD189,0)</f>
        <v>0.14861111110803904</v>
      </c>
      <c r="AG189" s="255">
        <f>IF(N189=0,AD189,0)</f>
        <v>0</v>
      </c>
    </row>
    <row r="190" spans="2:33" ht="15" customHeight="1" x14ac:dyDescent="0.3">
      <c r="B190" s="196" t="s">
        <v>5</v>
      </c>
      <c r="C190" s="197" t="s">
        <v>13</v>
      </c>
      <c r="D190" s="246" t="str">
        <f>IF(E190&lt;&gt;"",IF(K190&lt;&gt;"","C","O"),"")</f>
        <v>C</v>
      </c>
      <c r="E190" s="199">
        <v>44825.885416666664</v>
      </c>
      <c r="F190" s="200" t="s">
        <v>92</v>
      </c>
      <c r="G190" s="235">
        <v>11717.28</v>
      </c>
      <c r="H190" s="235">
        <v>11752.38</v>
      </c>
      <c r="I190" s="247">
        <f>ABS(G190-H190)</f>
        <v>35.099999999998545</v>
      </c>
      <c r="J190" s="235">
        <v>11062.15</v>
      </c>
      <c r="K190" s="199">
        <v>44825.888888888891</v>
      </c>
      <c r="L190" s="235">
        <v>11752.38</v>
      </c>
      <c r="M190" s="248">
        <f>ROUND(IF(C190="L",(L190-G190),(G190-L190)),4)</f>
        <v>-35.1</v>
      </c>
      <c r="N190" s="249">
        <f>IFERROR(ROUND((M190/I190),2),"")</f>
        <v>-1</v>
      </c>
      <c r="O190" s="250">
        <f>IF(D190="O",IF(N190&lt;0,N190,0),0)</f>
        <v>0</v>
      </c>
      <c r="P190" s="251">
        <f>IF(N190&gt;= 0,N190,0)</f>
        <v>0</v>
      </c>
      <c r="Q190" s="251">
        <f>IF(N190&lt;0,N190,0)</f>
        <v>-1</v>
      </c>
      <c r="R1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44563</v>
      </c>
      <c r="T1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90" s="253">
        <f ca="1">IF(Tabla33610673[[#This Row],[Equity]]&lt;Tabla33610673[[#This Row],[Equity Peak]],(Tabla33610673[[#This Row],[Equity Peak]]-Tabla33610673[[#This Row],[Equity]])/Tabla33610673[[#This Row],[Equity Peak]],"")</f>
        <v>8.1903362934277E-3</v>
      </c>
      <c r="V190" s="254">
        <f>IF(B190="FX",N190,0)</f>
        <v>0</v>
      </c>
      <c r="W190" s="254">
        <f>IF(D190="O",IF(V190&lt;0,V190,0),0)</f>
        <v>0</v>
      </c>
      <c r="X190" s="254">
        <f>IF(B190="COM",N190,0)</f>
        <v>0</v>
      </c>
      <c r="Y190" s="254">
        <f>IF(D190="O",IF(X190&lt;0,X190,0),0)</f>
        <v>0</v>
      </c>
      <c r="Z190" s="254">
        <f>IF(B190="IND",N190,0)</f>
        <v>-1</v>
      </c>
      <c r="AA190" s="250">
        <f>IF(D190="O",IF(Z190&lt;0,Z190,0),0)</f>
        <v>0</v>
      </c>
      <c r="AB190" s="254">
        <f>IF(B190="CRYPTO",N190,0)</f>
        <v>0</v>
      </c>
      <c r="AC190" s="250">
        <f>IF(D190="O",IF(AB190&lt;0,AB190,0),0)</f>
        <v>0</v>
      </c>
      <c r="AD190" s="255">
        <f>IF(K190&lt;&gt;"",K190-E190,0)</f>
        <v>3.4722222262644209E-3</v>
      </c>
      <c r="AE190" s="255">
        <f>IF(N190&gt;0,AD190,0)</f>
        <v>0</v>
      </c>
      <c r="AF190" s="255">
        <f>IF(N190&lt;0,AD190,0)</f>
        <v>3.4722222262644209E-3</v>
      </c>
      <c r="AG190" s="255">
        <f>IF(N190=0,AD190,0)</f>
        <v>0</v>
      </c>
    </row>
    <row r="191" spans="2:33" ht="15" customHeight="1" x14ac:dyDescent="0.3">
      <c r="B191" s="196" t="s">
        <v>5</v>
      </c>
      <c r="C191" s="197" t="s">
        <v>13</v>
      </c>
      <c r="D191" s="246" t="str">
        <f>IF(E191&lt;&gt;"",IF(K191&lt;&gt;"","C","O"),"")</f>
        <v>C</v>
      </c>
      <c r="E191" s="199">
        <v>44825.885416666664</v>
      </c>
      <c r="F191" s="200" t="s">
        <v>93</v>
      </c>
      <c r="G191" s="235">
        <v>11717.28</v>
      </c>
      <c r="H191" s="235">
        <v>11753.93</v>
      </c>
      <c r="I191" s="247">
        <f>ABS(G191-H191)</f>
        <v>36.649999999999636</v>
      </c>
      <c r="J191" s="235">
        <v>11326.31</v>
      </c>
      <c r="K191" s="199">
        <v>44825.888888888891</v>
      </c>
      <c r="L191" s="235">
        <v>11753.93</v>
      </c>
      <c r="M191" s="248">
        <f>ROUND(IF(C191="L",(L191-G191),(G191-L191)),4)</f>
        <v>-36.65</v>
      </c>
      <c r="N191" s="249">
        <f>IFERROR(ROUND((M191/I191),2),"")</f>
        <v>-1</v>
      </c>
      <c r="O191" s="250">
        <f>IF(D191="O",IF(N191&lt;0,N191,0),0)</f>
        <v>0</v>
      </c>
      <c r="P191" s="251">
        <f>IF(N191&gt;= 0,N191,0)</f>
        <v>0</v>
      </c>
      <c r="Q191" s="251">
        <f>IF(N191&lt;0,N191,0)</f>
        <v>-1</v>
      </c>
      <c r="R1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44663</v>
      </c>
      <c r="T1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91" s="253">
        <f ca="1">IF(Tabla33610673[[#This Row],[Equity]]&lt;Tabla33610673[[#This Row],[Equity Peak]],(Tabla33610673[[#This Row],[Equity Peak]]-Tabla33610673[[#This Row],[Equity]])/Tabla33610673[[#This Row],[Equity Peak]],"")</f>
        <v>5.9647014310832162E-3</v>
      </c>
      <c r="V191" s="254">
        <f>IF(B191="FX",N191,0)</f>
        <v>0</v>
      </c>
      <c r="W191" s="254">
        <f>IF(D191="O",IF(V191&lt;0,V191,0),0)</f>
        <v>0</v>
      </c>
      <c r="X191" s="254">
        <f>IF(B191="COM",N191,0)</f>
        <v>0</v>
      </c>
      <c r="Y191" s="254">
        <f>IF(D191="O",IF(X191&lt;0,X191,0),0)</f>
        <v>0</v>
      </c>
      <c r="Z191" s="254">
        <f>IF(B191="IND",N191,0)</f>
        <v>-1</v>
      </c>
      <c r="AA191" s="250">
        <f>IF(D191="O",IF(Z191&lt;0,Z191,0),0)</f>
        <v>0</v>
      </c>
      <c r="AB191" s="254">
        <f>IF(B191="CRYPTO",N191,0)</f>
        <v>0</v>
      </c>
      <c r="AC191" s="250">
        <f>IF(D191="O",IF(AB191&lt;0,AB191,0),0)</f>
        <v>0</v>
      </c>
      <c r="AD191" s="255">
        <f>IF(K191&lt;&gt;"",K191-E191,0)</f>
        <v>3.4722222262644209E-3</v>
      </c>
      <c r="AE191" s="255">
        <f>IF(N191&gt;0,AD191,0)</f>
        <v>0</v>
      </c>
      <c r="AF191" s="255">
        <f>IF(N191&lt;0,AD191,0)</f>
        <v>3.4722222262644209E-3</v>
      </c>
      <c r="AG191" s="255">
        <f>IF(N191=0,AD191,0)</f>
        <v>0</v>
      </c>
    </row>
    <row r="192" spans="2:33" ht="15" customHeight="1" x14ac:dyDescent="0.3">
      <c r="B192" s="196" t="s">
        <v>7</v>
      </c>
      <c r="C192" s="197" t="s">
        <v>13</v>
      </c>
      <c r="D192" s="246" t="str">
        <f>IF(E192&lt;&gt;"",IF(K192&lt;&gt;"","C","O"),"")</f>
        <v>C</v>
      </c>
      <c r="E192" s="199">
        <v>44825.385416666664</v>
      </c>
      <c r="F192" s="200" t="s">
        <v>114</v>
      </c>
      <c r="G192" s="235">
        <v>0.99326999999999999</v>
      </c>
      <c r="H192" s="235">
        <v>0.99465000000000003</v>
      </c>
      <c r="I192" s="247">
        <f>ABS(G192-H192)</f>
        <v>1.3800000000000479E-3</v>
      </c>
      <c r="J192" s="235">
        <v>0.98082999999999998</v>
      </c>
      <c r="K192" s="199">
        <v>44825.533333333333</v>
      </c>
      <c r="L192" s="235">
        <v>0.99336999999999998</v>
      </c>
      <c r="M192" s="248">
        <f>ROUND(IF(C192="L",(L192-G192),(G192-L192)),4)</f>
        <v>-1E-4</v>
      </c>
      <c r="N192" s="249">
        <f>IFERROR(ROUND((M192/I192),2),"")</f>
        <v>-7.0000000000000007E-2</v>
      </c>
      <c r="O192" s="250">
        <f>IF(D192="O",IF(N192&lt;0,N192,0),0)</f>
        <v>0</v>
      </c>
      <c r="P192" s="251">
        <f>IF(N192&gt;= 0,N192,0)</f>
        <v>0</v>
      </c>
      <c r="Q192" s="251">
        <f>IF(N192&lt;0,N192,0)</f>
        <v>-7.0000000000000007E-2</v>
      </c>
      <c r="R1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44763</v>
      </c>
      <c r="T1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92" s="253">
        <f ca="1">IF(Tabla33610673[[#This Row],[Equity]]&lt;Tabla33610673[[#This Row],[Equity Peak]],(Tabla33610673[[#This Row],[Equity Peak]]-Tabla33610673[[#This Row],[Equity]])/Tabla33610673[[#This Row],[Equity Peak]],"")</f>
        <v>3.7390665687387328E-3</v>
      </c>
      <c r="V192" s="254">
        <f>IF(B192="FX",N192,0)</f>
        <v>-7.0000000000000007E-2</v>
      </c>
      <c r="W192" s="254">
        <f>IF(D192="O",IF(V192&lt;0,V192,0),0)</f>
        <v>0</v>
      </c>
      <c r="X192" s="254">
        <f>IF(B192="COM",N192,0)</f>
        <v>0</v>
      </c>
      <c r="Y192" s="254">
        <f>IF(D192="O",IF(X192&lt;0,X192,0),0)</f>
        <v>0</v>
      </c>
      <c r="Z192" s="254">
        <f>IF(B192="IND",N192,0)</f>
        <v>0</v>
      </c>
      <c r="AA192" s="250">
        <f>IF(D192="O",IF(Z192&lt;0,Z192,0),0)</f>
        <v>0</v>
      </c>
      <c r="AB192" s="254">
        <f>IF(B192="CRYPTO",N192,0)</f>
        <v>0</v>
      </c>
      <c r="AC192" s="250">
        <f>IF(D192="O",IF(AB192&lt;0,AB192,0),0)</f>
        <v>0</v>
      </c>
      <c r="AD192" s="255">
        <f>IF(K192&lt;&gt;"",K192-E192,0)</f>
        <v>0.14791666666860692</v>
      </c>
      <c r="AE192" s="255">
        <f>IF(N192&gt;0,AD192,0)</f>
        <v>0</v>
      </c>
      <c r="AF192" s="255">
        <f>IF(N192&lt;0,AD192,0)</f>
        <v>0.14791666666860692</v>
      </c>
      <c r="AG192" s="255">
        <f>IF(N192=0,AD192,0)</f>
        <v>0</v>
      </c>
    </row>
    <row r="193" spans="2:33" ht="15" customHeight="1" x14ac:dyDescent="0.3">
      <c r="B193" s="196" t="s">
        <v>7</v>
      </c>
      <c r="C193" s="197" t="s">
        <v>13</v>
      </c>
      <c r="D193" s="246" t="str">
        <f>IF(E193&lt;&gt;"",IF(K193&lt;&gt;"","C","O"),"")</f>
        <v>C</v>
      </c>
      <c r="E193" s="199">
        <v>44825.40625</v>
      </c>
      <c r="F193" s="200" t="s">
        <v>115</v>
      </c>
      <c r="G193" s="235">
        <v>162.65100000000001</v>
      </c>
      <c r="H193" s="235">
        <v>163.119</v>
      </c>
      <c r="I193" s="247">
        <f>ABS(G193-H193)</f>
        <v>0.46799999999998931</v>
      </c>
      <c r="J193" s="235">
        <v>161.31299999999999</v>
      </c>
      <c r="K193" s="199">
        <v>44825.509722222225</v>
      </c>
      <c r="L193" s="235">
        <v>163.119</v>
      </c>
      <c r="M193" s="248">
        <f>ROUND(IF(C193="L",(L193-G193),(G193-L193)),4)</f>
        <v>-0.46800000000000003</v>
      </c>
      <c r="N193" s="249">
        <f>IFERROR(ROUND((M193/I193),2),"")</f>
        <v>-1</v>
      </c>
      <c r="O193" s="250">
        <f>IF(D193="O",IF(N193&lt;0,N193,0),0)</f>
        <v>0</v>
      </c>
      <c r="P193" s="251">
        <f>IF(N193&gt;= 0,N193,0)</f>
        <v>0</v>
      </c>
      <c r="Q193" s="251">
        <f>IF(N193&lt;0,N193,0)</f>
        <v>-1</v>
      </c>
      <c r="R1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44770</v>
      </c>
      <c r="T1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93" s="253">
        <f ca="1">IF(Tabla33610673[[#This Row],[Equity]]&lt;Tabla33610673[[#This Row],[Equity Peak]],(Tabla33610673[[#This Row],[Equity Peak]]-Tabla33610673[[#This Row],[Equity]])/Tabla33610673[[#This Row],[Equity Peak]],"")</f>
        <v>3.5832721283746189E-3</v>
      </c>
      <c r="V193" s="254">
        <f>IF(B193="FX",N193,0)</f>
        <v>-1</v>
      </c>
      <c r="W193" s="254">
        <f>IF(D193="O",IF(V193&lt;0,V193,0),0)</f>
        <v>0</v>
      </c>
      <c r="X193" s="254">
        <f>IF(B193="COM",N193,0)</f>
        <v>0</v>
      </c>
      <c r="Y193" s="254">
        <f>IF(D193="O",IF(X193&lt;0,X193,0),0)</f>
        <v>0</v>
      </c>
      <c r="Z193" s="254">
        <f>IF(B193="IND",N193,0)</f>
        <v>0</v>
      </c>
      <c r="AA193" s="250">
        <f>IF(D193="O",IF(Z193&lt;0,Z193,0),0)</f>
        <v>0</v>
      </c>
      <c r="AB193" s="254">
        <f>IF(B193="CRYPTO",N193,0)</f>
        <v>0</v>
      </c>
      <c r="AC193" s="250">
        <f>IF(D193="O",IF(AB193&lt;0,AB193,0),0)</f>
        <v>0</v>
      </c>
      <c r="AD193" s="255">
        <f>IF(K193&lt;&gt;"",K193-E193,0)</f>
        <v>0.10347222222480923</v>
      </c>
      <c r="AE193" s="255">
        <f>IF(N193&gt;0,AD193,0)</f>
        <v>0</v>
      </c>
      <c r="AF193" s="255">
        <f>IF(N193&lt;0,AD193,0)</f>
        <v>0.10347222222480923</v>
      </c>
      <c r="AG193" s="255">
        <f>IF(N193=0,AD193,0)</f>
        <v>0</v>
      </c>
    </row>
    <row r="194" spans="2:33" ht="15" customHeight="1" x14ac:dyDescent="0.3">
      <c r="B194" s="196" t="s">
        <v>5</v>
      </c>
      <c r="C194" s="197" t="s">
        <v>13</v>
      </c>
      <c r="D194" s="246" t="str">
        <f>IF(E194&lt;&gt;"",IF(K194&lt;&gt;"","C","O"),"")</f>
        <v>C</v>
      </c>
      <c r="E194" s="199">
        <v>44824.854166666664</v>
      </c>
      <c r="F194" s="200" t="s">
        <v>91</v>
      </c>
      <c r="G194" s="235">
        <v>12584.7</v>
      </c>
      <c r="H194" s="235">
        <v>12627.02</v>
      </c>
      <c r="I194" s="247">
        <f>ABS(G194-H194)</f>
        <v>42.319999999999709</v>
      </c>
      <c r="J194" s="235">
        <v>11794.76</v>
      </c>
      <c r="K194" s="199">
        <v>44824.928472222222</v>
      </c>
      <c r="L194" s="235">
        <v>12610.61</v>
      </c>
      <c r="M194" s="248">
        <f>ROUND(IF(C194="L",(L194-G194),(G194-L194)),4)</f>
        <v>-25.91</v>
      </c>
      <c r="N194" s="249">
        <f>IFERROR(ROUND((M194/I194),2),"")</f>
        <v>-0.61</v>
      </c>
      <c r="O194" s="250">
        <f>IF(D194="O",IF(N194&lt;0,N194,0),0)</f>
        <v>0</v>
      </c>
      <c r="P194" s="251">
        <f>IF(N194&gt;= 0,N194,0)</f>
        <v>0</v>
      </c>
      <c r="Q194" s="251">
        <f>IF(N194&lt;0,N194,0)</f>
        <v>-0.61</v>
      </c>
      <c r="R1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44870</v>
      </c>
      <c r="T1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94" s="253">
        <f ca="1">IF(Tabla33610673[[#This Row],[Equity]]&lt;Tabla33610673[[#This Row],[Equity Peak]],(Tabla33610673[[#This Row],[Equity Peak]]-Tabla33610673[[#This Row],[Equity]])/Tabla33610673[[#This Row],[Equity Peak]],"")</f>
        <v>1.3576372660301351E-3</v>
      </c>
      <c r="V194" s="254">
        <f>IF(B194="FX",N194,0)</f>
        <v>0</v>
      </c>
      <c r="W194" s="254">
        <f>IF(D194="O",IF(V194&lt;0,V194,0),0)</f>
        <v>0</v>
      </c>
      <c r="X194" s="254">
        <f>IF(B194="COM",N194,0)</f>
        <v>0</v>
      </c>
      <c r="Y194" s="254">
        <f>IF(D194="O",IF(X194&lt;0,X194,0),0)</f>
        <v>0</v>
      </c>
      <c r="Z194" s="254">
        <f>IF(B194="IND",N194,0)</f>
        <v>-0.61</v>
      </c>
      <c r="AA194" s="250">
        <f>IF(D194="O",IF(Z194&lt;0,Z194,0),0)</f>
        <v>0</v>
      </c>
      <c r="AB194" s="254">
        <f>IF(B194="CRYPTO",N194,0)</f>
        <v>0</v>
      </c>
      <c r="AC194" s="250">
        <f>IF(D194="O",IF(AB194&lt;0,AB194,0),0)</f>
        <v>0</v>
      </c>
      <c r="AD194" s="255">
        <f>IF(K194&lt;&gt;"",K194-E194,0)</f>
        <v>7.4305555557657499E-2</v>
      </c>
      <c r="AE194" s="255">
        <f>IF(N194&gt;0,AD194,0)</f>
        <v>0</v>
      </c>
      <c r="AF194" s="255">
        <f>IF(N194&lt;0,AD194,0)</f>
        <v>7.4305555557657499E-2</v>
      </c>
      <c r="AG194" s="255">
        <f>IF(N194=0,AD194,0)</f>
        <v>0</v>
      </c>
    </row>
    <row r="195" spans="2:33" ht="15" customHeight="1" x14ac:dyDescent="0.3">
      <c r="B195" s="196" t="s">
        <v>7</v>
      </c>
      <c r="C195" s="197" t="s">
        <v>15</v>
      </c>
      <c r="D195" s="246" t="str">
        <f>IF(E195&lt;&gt;"",IF(K195&lt;&gt;"","C","O"),"")</f>
        <v>C</v>
      </c>
      <c r="E195" s="199">
        <v>44823.927083333336</v>
      </c>
      <c r="F195" s="200" t="s">
        <v>115</v>
      </c>
      <c r="G195" s="235">
        <v>163.726</v>
      </c>
      <c r="H195" s="235">
        <v>163.227</v>
      </c>
      <c r="I195" s="247">
        <f>ABS(G195-H195)</f>
        <v>0.49899999999999523</v>
      </c>
      <c r="J195" s="235">
        <v>165.15100000000001</v>
      </c>
      <c r="K195" s="199">
        <v>44824.688194444447</v>
      </c>
      <c r="L195" s="235">
        <v>163.73500000000001</v>
      </c>
      <c r="M195" s="248">
        <f>ROUND(IF(C195="L",(L195-G195),(G195-L195)),4)</f>
        <v>8.9999999999999993E-3</v>
      </c>
      <c r="N195" s="249">
        <f>IFERROR(ROUND((M195/I195),2),"")</f>
        <v>0.02</v>
      </c>
      <c r="O195" s="250">
        <f>IF(D195="O",IF(N195&lt;0,N195,0),0)</f>
        <v>0</v>
      </c>
      <c r="P195" s="251">
        <f>IF(N195&gt;= 0,N195,0)</f>
        <v>0.02</v>
      </c>
      <c r="Q195" s="251">
        <f>IF(N195&lt;0,N195,0)</f>
        <v>0</v>
      </c>
      <c r="R1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44931</v>
      </c>
      <c r="T1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44931</v>
      </c>
      <c r="U19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195" s="254">
        <f>IF(B195="FX",N195,0)</f>
        <v>0.02</v>
      </c>
      <c r="W195" s="254">
        <f>IF(D195="O",IF(V195&lt;0,V195,0),0)</f>
        <v>0</v>
      </c>
      <c r="X195" s="254">
        <f>IF(B195="COM",N195,0)</f>
        <v>0</v>
      </c>
      <c r="Y195" s="254">
        <f>IF(D195="O",IF(X195&lt;0,X195,0),0)</f>
        <v>0</v>
      </c>
      <c r="Z195" s="254">
        <f>IF(B195="IND",N195,0)</f>
        <v>0</v>
      </c>
      <c r="AA195" s="250">
        <f>IF(D195="O",IF(Z195&lt;0,Z195,0),0)</f>
        <v>0</v>
      </c>
      <c r="AB195" s="254">
        <f>IF(B195="CRYPTO",N195,0)</f>
        <v>0</v>
      </c>
      <c r="AC195" s="250">
        <f>IF(D195="O",IF(AB195&lt;0,AB195,0),0)</f>
        <v>0</v>
      </c>
      <c r="AD195" s="255">
        <f>IF(K195&lt;&gt;"",K195-E195,0)</f>
        <v>0.76111111111094942</v>
      </c>
      <c r="AE195" s="255">
        <f>IF(N195&gt;0,AD195,0)</f>
        <v>0.76111111111094942</v>
      </c>
      <c r="AF195" s="255">
        <f>IF(N195&lt;0,AD195,0)</f>
        <v>0</v>
      </c>
      <c r="AG195" s="255">
        <f>IF(N195=0,AD195,0)</f>
        <v>0</v>
      </c>
    </row>
    <row r="196" spans="2:33" ht="15" customHeight="1" x14ac:dyDescent="0.3">
      <c r="B196" s="196" t="s">
        <v>5</v>
      </c>
      <c r="C196" s="197" t="s">
        <v>13</v>
      </c>
      <c r="D196" s="246" t="str">
        <f>IF(E196&lt;&gt;"",IF(K196&lt;&gt;"","C","O"),"")</f>
        <v>C</v>
      </c>
      <c r="E196" s="199">
        <v>44820.364583333336</v>
      </c>
      <c r="F196" s="200" t="s">
        <v>91</v>
      </c>
      <c r="G196" s="235">
        <v>12845.76</v>
      </c>
      <c r="H196" s="235">
        <v>12885.85</v>
      </c>
      <c r="I196" s="247">
        <f>ABS(G196-H196)</f>
        <v>40.090000000000146</v>
      </c>
      <c r="J196" s="235">
        <v>12097.47</v>
      </c>
      <c r="K196" s="199">
        <v>44823.697222222225</v>
      </c>
      <c r="L196" s="235">
        <v>12744.92</v>
      </c>
      <c r="M196" s="248">
        <f>ROUND(IF(C196="L",(L196-G196),(G196-L196)),4)</f>
        <v>100.84</v>
      </c>
      <c r="N196" s="249">
        <f>IFERROR(ROUND((M196/I196),2),"")</f>
        <v>2.52</v>
      </c>
      <c r="O196" s="250">
        <f>IF(D196="O",IF(N196&lt;0,N196,0),0)</f>
        <v>0</v>
      </c>
      <c r="P196" s="251">
        <f>IF(N196&gt;= 0,N196,0)</f>
        <v>2.52</v>
      </c>
      <c r="Q196" s="251">
        <f>IF(N196&lt;0,N196,0)</f>
        <v>0</v>
      </c>
      <c r="R1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44929</v>
      </c>
      <c r="T1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44929</v>
      </c>
      <c r="U19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196" s="254">
        <f>IF(B196="FX",N196,0)</f>
        <v>0</v>
      </c>
      <c r="W196" s="254">
        <f>IF(D196="O",IF(V196&lt;0,V196,0),0)</f>
        <v>0</v>
      </c>
      <c r="X196" s="254">
        <f>IF(B196="COM",N196,0)</f>
        <v>0</v>
      </c>
      <c r="Y196" s="254">
        <f>IF(D196="O",IF(X196&lt;0,X196,0),0)</f>
        <v>0</v>
      </c>
      <c r="Z196" s="254">
        <f>IF(B196="IND",N196,0)</f>
        <v>2.52</v>
      </c>
      <c r="AA196" s="250">
        <f>IF(D196="O",IF(Z196&lt;0,Z196,0),0)</f>
        <v>0</v>
      </c>
      <c r="AB196" s="254">
        <f>IF(B196="CRYPTO",N196,0)</f>
        <v>0</v>
      </c>
      <c r="AC196" s="250">
        <f>IF(D196="O",IF(AB196&lt;0,AB196,0),0)</f>
        <v>0</v>
      </c>
      <c r="AD196" s="255">
        <f>IF(K196&lt;&gt;"",K196-E196,0)</f>
        <v>3.3326388888890506</v>
      </c>
      <c r="AE196" s="255">
        <f>IF(N196&gt;0,AD196,0)</f>
        <v>3.3326388888890506</v>
      </c>
      <c r="AF196" s="255">
        <f>IF(N196&lt;0,AD196,0)</f>
        <v>0</v>
      </c>
      <c r="AG196" s="255">
        <f>IF(N196=0,AD196,0)</f>
        <v>0</v>
      </c>
    </row>
    <row r="197" spans="2:33" ht="15" customHeight="1" x14ac:dyDescent="0.3">
      <c r="B197" s="196" t="s">
        <v>5</v>
      </c>
      <c r="C197" s="197" t="s">
        <v>13</v>
      </c>
      <c r="D197" s="246" t="str">
        <f>IF(E197&lt;&gt;"",IF(K197&lt;&gt;"","C","O"),"")</f>
        <v>C</v>
      </c>
      <c r="E197" s="199">
        <v>44820.052083333336</v>
      </c>
      <c r="F197" s="200" t="s">
        <v>92</v>
      </c>
      <c r="G197" s="235">
        <v>11833.4</v>
      </c>
      <c r="H197" s="235">
        <v>11879.56</v>
      </c>
      <c r="I197" s="247">
        <f>ABS(G197-H197)</f>
        <v>46.159999999999854</v>
      </c>
      <c r="J197" s="235">
        <v>10971.74</v>
      </c>
      <c r="K197" s="199">
        <v>44820.732638888891</v>
      </c>
      <c r="L197" s="235">
        <v>11822.23</v>
      </c>
      <c r="M197" s="248">
        <f>ROUND(IF(C197="L",(L197-G197),(G197-L197)),4)</f>
        <v>11.17</v>
      </c>
      <c r="N197" s="249">
        <f>IFERROR(ROUND((M197/I197),2),"")</f>
        <v>0.24</v>
      </c>
      <c r="O197" s="250">
        <f>IF(D197="O",IF(N197&lt;0,N197,0),0)</f>
        <v>0</v>
      </c>
      <c r="P197" s="251">
        <f>IF(N197&gt;= 0,N197,0)</f>
        <v>0.24</v>
      </c>
      <c r="Q197" s="251">
        <f>IF(N197&lt;0,N197,0)</f>
        <v>0</v>
      </c>
      <c r="R1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44677</v>
      </c>
      <c r="T1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197" s="253">
        <f ca="1">IF(Tabla33610673[[#This Row],[Equity]]&lt;Tabla33610673[[#This Row],[Equity Peak]],(Tabla33610673[[#This Row],[Equity Peak]]-Tabla33610673[[#This Row],[Equity]])/Tabla33610673[[#This Row],[Equity Peak]],"")</f>
        <v>4.7005881304580293E-3</v>
      </c>
      <c r="V197" s="254">
        <f>IF(B197="FX",N197,0)</f>
        <v>0</v>
      </c>
      <c r="W197" s="254">
        <f>IF(D197="O",IF(V197&lt;0,V197,0),0)</f>
        <v>0</v>
      </c>
      <c r="X197" s="254">
        <f>IF(B197="COM",N197,0)</f>
        <v>0</v>
      </c>
      <c r="Y197" s="254">
        <f>IF(D197="O",IF(X197&lt;0,X197,0),0)</f>
        <v>0</v>
      </c>
      <c r="Z197" s="254">
        <f>IF(B197="IND",N197,0)</f>
        <v>0.24</v>
      </c>
      <c r="AA197" s="250">
        <f>IF(D197="O",IF(Z197&lt;0,Z197,0),0)</f>
        <v>0</v>
      </c>
      <c r="AB197" s="254">
        <f>IF(B197="CRYPTO",N197,0)</f>
        <v>0</v>
      </c>
      <c r="AC197" s="250">
        <f>IF(D197="O",IF(AB197&lt;0,AB197,0),0)</f>
        <v>0</v>
      </c>
      <c r="AD197" s="255">
        <f>IF(K197&lt;&gt;"",K197-E197,0)</f>
        <v>0.68055555555474712</v>
      </c>
      <c r="AE197" s="255">
        <f>IF(N197&gt;0,AD197,0)</f>
        <v>0.68055555555474712</v>
      </c>
      <c r="AF197" s="255">
        <f>IF(N197&lt;0,AD197,0)</f>
        <v>0</v>
      </c>
      <c r="AG197" s="255">
        <f>IF(N197=0,AD197,0)</f>
        <v>0</v>
      </c>
    </row>
    <row r="198" spans="2:33" ht="15" customHeight="1" x14ac:dyDescent="0.3">
      <c r="B198" s="196" t="s">
        <v>5</v>
      </c>
      <c r="C198" s="197" t="s">
        <v>13</v>
      </c>
      <c r="D198" s="246" t="str">
        <f>IF(E198&lt;&gt;"",IF(K198&lt;&gt;"","C","O"),"")</f>
        <v>C</v>
      </c>
      <c r="E198" s="199">
        <v>44820.052083333336</v>
      </c>
      <c r="F198" s="200" t="s">
        <v>93</v>
      </c>
      <c r="G198" s="235">
        <v>11833.4</v>
      </c>
      <c r="H198" s="235">
        <v>11876.68</v>
      </c>
      <c r="I198" s="247">
        <f>ABS(G198-H198)</f>
        <v>43.280000000000655</v>
      </c>
      <c r="J198" s="235">
        <v>11371.73</v>
      </c>
      <c r="K198" s="199">
        <v>44820.717361111114</v>
      </c>
      <c r="L198" s="235">
        <v>11798.75</v>
      </c>
      <c r="M198" s="248">
        <f>ROUND(IF(C198="L",(L198-G198),(G198-L198)),4)</f>
        <v>34.65</v>
      </c>
      <c r="N198" s="249">
        <f>IFERROR(ROUND((M198/I198),2),"")</f>
        <v>0.8</v>
      </c>
      <c r="O198" s="250">
        <f>IF(D198="O",IF(N198&lt;0,N198,0),0)</f>
        <v>0</v>
      </c>
      <c r="P198" s="251">
        <f>IF(N198&gt;= 0,N198,0)</f>
        <v>0.8</v>
      </c>
      <c r="Q198" s="251">
        <f>IF(N198&lt;0,N198,0)</f>
        <v>0</v>
      </c>
      <c r="R1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44653</v>
      </c>
      <c r="T1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198" s="253">
        <f ca="1">IF(Tabla33610673[[#This Row],[Equity]]&lt;Tabla33610673[[#This Row],[Equity Peak]],(Tabla33610673[[#This Row],[Equity Peak]]-Tabla33610673[[#This Row],[Equity]])/Tabla33610673[[#This Row],[Equity Peak]],"")</f>
        <v>5.2352521832115485E-3</v>
      </c>
      <c r="V198" s="254">
        <f>IF(B198="FX",N198,0)</f>
        <v>0</v>
      </c>
      <c r="W198" s="254">
        <f>IF(D198="O",IF(V198&lt;0,V198,0),0)</f>
        <v>0</v>
      </c>
      <c r="X198" s="254">
        <f>IF(B198="COM",N198,0)</f>
        <v>0</v>
      </c>
      <c r="Y198" s="254">
        <f>IF(D198="O",IF(X198&lt;0,X198,0),0)</f>
        <v>0</v>
      </c>
      <c r="Z198" s="254">
        <f>IF(B198="IND",N198,0)</f>
        <v>0.8</v>
      </c>
      <c r="AA198" s="250">
        <f>IF(D198="O",IF(Z198&lt;0,Z198,0),0)</f>
        <v>0</v>
      </c>
      <c r="AB198" s="254">
        <f>IF(B198="CRYPTO",N198,0)</f>
        <v>0</v>
      </c>
      <c r="AC198" s="250">
        <f>IF(D198="O",IF(AB198&lt;0,AB198,0),0)</f>
        <v>0</v>
      </c>
      <c r="AD198" s="255">
        <f>IF(K198&lt;&gt;"",K198-E198,0)</f>
        <v>0.66527777777810115</v>
      </c>
      <c r="AE198" s="255">
        <f>IF(N198&gt;0,AD198,0)</f>
        <v>0.66527777777810115</v>
      </c>
      <c r="AF198" s="255">
        <f>IF(N198&lt;0,AD198,0)</f>
        <v>0</v>
      </c>
      <c r="AG198" s="255">
        <f>IF(N198=0,AD198,0)</f>
        <v>0</v>
      </c>
    </row>
    <row r="199" spans="2:33" ht="15" customHeight="1" x14ac:dyDescent="0.3">
      <c r="B199" s="196" t="s">
        <v>19</v>
      </c>
      <c r="C199" s="197" t="s">
        <v>13</v>
      </c>
      <c r="D199" s="246" t="str">
        <f>IF(E199&lt;&gt;"",IF(K199&lt;&gt;"","C","O"),"")</f>
        <v>C</v>
      </c>
      <c r="E199" s="199">
        <v>44819.75</v>
      </c>
      <c r="F199" s="200" t="s">
        <v>88</v>
      </c>
      <c r="G199" s="235">
        <v>1668.44</v>
      </c>
      <c r="H199" s="235">
        <v>1671.8</v>
      </c>
      <c r="I199" s="247">
        <f>ABS(G199-H199)</f>
        <v>3.3599999999999</v>
      </c>
      <c r="J199" s="235">
        <v>1628.07</v>
      </c>
      <c r="K199" s="199">
        <v>44820.713194444441</v>
      </c>
      <c r="L199" s="235">
        <v>1668.48</v>
      </c>
      <c r="M199" s="248">
        <f>ROUND(IF(C199="L",(L199-G199),(G199-L199)),4)</f>
        <v>-0.04</v>
      </c>
      <c r="N199" s="249">
        <f>IFERROR(ROUND((M199/I199),2),"")</f>
        <v>-0.01</v>
      </c>
      <c r="O199" s="250">
        <f>IF(D199="O",IF(N199&lt;0,N199,0),0)</f>
        <v>0</v>
      </c>
      <c r="P199" s="251">
        <f>IF(N199&gt;= 0,N199,0)</f>
        <v>0</v>
      </c>
      <c r="Q199" s="251">
        <f>IF(N199&lt;0,N199,0)</f>
        <v>-0.01</v>
      </c>
      <c r="R1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44573</v>
      </c>
      <c r="T1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199" s="253">
        <f ca="1">IF(Tabla33610673[[#This Row],[Equity]]&lt;Tabla33610673[[#This Row],[Equity Peak]],(Tabla33610673[[#This Row],[Equity Peak]]-Tabla33610673[[#This Row],[Equity]])/Tabla33610673[[#This Row],[Equity Peak]],"")</f>
        <v>7.017465692389948E-3</v>
      </c>
      <c r="V199" s="254">
        <f>IF(B199="FX",N199,0)</f>
        <v>0</v>
      </c>
      <c r="W199" s="254">
        <f>IF(D199="O",IF(V199&lt;0,V199,0),0)</f>
        <v>0</v>
      </c>
      <c r="X199" s="254">
        <f>IF(B199="COM",N199,0)</f>
        <v>-0.01</v>
      </c>
      <c r="Y199" s="254">
        <f>IF(D199="O",IF(X199&lt;0,X199,0),0)</f>
        <v>0</v>
      </c>
      <c r="Z199" s="254">
        <f>IF(B199="IND",N199,0)</f>
        <v>0</v>
      </c>
      <c r="AA199" s="250">
        <f>IF(D199="O",IF(Z199&lt;0,Z199,0),0)</f>
        <v>0</v>
      </c>
      <c r="AB199" s="254">
        <f>IF(B199="CRYPTO",N199,0)</f>
        <v>0</v>
      </c>
      <c r="AC199" s="250">
        <f>IF(D199="O",IF(AB199&lt;0,AB199,0),0)</f>
        <v>0</v>
      </c>
      <c r="AD199" s="255">
        <f>IF(K199&lt;&gt;"",K199-E199,0)</f>
        <v>0.96319444444088731</v>
      </c>
      <c r="AE199" s="255">
        <f>IF(N199&gt;0,AD199,0)</f>
        <v>0</v>
      </c>
      <c r="AF199" s="255">
        <f>IF(N199&lt;0,AD199,0)</f>
        <v>0.96319444444088731</v>
      </c>
      <c r="AG199" s="255">
        <f>IF(N199=0,AD199,0)</f>
        <v>0</v>
      </c>
    </row>
    <row r="200" spans="2:33" ht="15" customHeight="1" x14ac:dyDescent="0.3">
      <c r="B200" s="196" t="s">
        <v>7</v>
      </c>
      <c r="C200" s="197" t="s">
        <v>13</v>
      </c>
      <c r="D200" s="246" t="str">
        <f>IF(E200&lt;&gt;"",IF(K200&lt;&gt;"","C","O"),"")</f>
        <v>C</v>
      </c>
      <c r="E200" s="199">
        <v>44819.6875</v>
      </c>
      <c r="F200" s="200" t="s">
        <v>115</v>
      </c>
      <c r="G200" s="235">
        <v>164.69900000000001</v>
      </c>
      <c r="H200" s="235">
        <v>165.31200000000001</v>
      </c>
      <c r="I200" s="247">
        <f>ABS(G200-H200)</f>
        <v>0.61299999999999955</v>
      </c>
      <c r="J200" s="235">
        <v>162.947</v>
      </c>
      <c r="K200" s="199">
        <v>44820.45</v>
      </c>
      <c r="L200" s="235">
        <v>162.947</v>
      </c>
      <c r="M200" s="248">
        <f>ROUND(IF(C200="L",(L200-G200),(G200-L200)),4)</f>
        <v>1.752</v>
      </c>
      <c r="N200" s="249">
        <f>IFERROR(ROUND((M200/I200),2),"")</f>
        <v>2.86</v>
      </c>
      <c r="O200" s="250">
        <f>IF(D200="O",IF(N200&lt;0,N200,0),0)</f>
        <v>0</v>
      </c>
      <c r="P200" s="251">
        <f>IF(N200&gt;= 0,N200,0)</f>
        <v>2.86</v>
      </c>
      <c r="Q200" s="251">
        <f>IF(N200&lt;0,N200,0)</f>
        <v>0</v>
      </c>
      <c r="R2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44574</v>
      </c>
      <c r="T2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0" s="253">
        <f ca="1">IF(Tabla33610673[[#This Row],[Equity]]&lt;Tabla33610673[[#This Row],[Equity Peak]],(Tabla33610673[[#This Row],[Equity Peak]]-Tabla33610673[[#This Row],[Equity]])/Tabla33610673[[#This Row],[Equity Peak]],"")</f>
        <v>6.9951880235252185E-3</v>
      </c>
      <c r="V200" s="254">
        <f>IF(B200="FX",N200,0)</f>
        <v>2.86</v>
      </c>
      <c r="W200" s="254">
        <f>IF(D200="O",IF(V200&lt;0,V200,0),0)</f>
        <v>0</v>
      </c>
      <c r="X200" s="254">
        <f>IF(B200="COM",N200,0)</f>
        <v>0</v>
      </c>
      <c r="Y200" s="254">
        <f>IF(D200="O",IF(X200&lt;0,X200,0),0)</f>
        <v>0</v>
      </c>
      <c r="Z200" s="254">
        <f>IF(B200="IND",N200,0)</f>
        <v>0</v>
      </c>
      <c r="AA200" s="250">
        <f>IF(D200="O",IF(Z200&lt;0,Z200,0),0)</f>
        <v>0</v>
      </c>
      <c r="AB200" s="254">
        <f>IF(B200="CRYPTO",N200,0)</f>
        <v>0</v>
      </c>
      <c r="AC200" s="250">
        <f>IF(D200="O",IF(AB200&lt;0,AB200,0),0)</f>
        <v>0</v>
      </c>
      <c r="AD200" s="255">
        <f>IF(K200&lt;&gt;"",K200-E200,0)</f>
        <v>0.76249999999708962</v>
      </c>
      <c r="AE200" s="255">
        <f>IF(N200&gt;0,AD200,0)</f>
        <v>0.76249999999708962</v>
      </c>
      <c r="AF200" s="255">
        <f>IF(N200&lt;0,AD200,0)</f>
        <v>0</v>
      </c>
      <c r="AG200" s="255">
        <f>IF(N200=0,AD200,0)</f>
        <v>0</v>
      </c>
    </row>
    <row r="201" spans="2:33" ht="15" customHeight="1" x14ac:dyDescent="0.3">
      <c r="B201" s="196" t="s">
        <v>5</v>
      </c>
      <c r="C201" s="197" t="s">
        <v>13</v>
      </c>
      <c r="D201" s="246" t="str">
        <f>IF(E201&lt;&gt;"",IF(K201&lt;&gt;"","C","O"),"")</f>
        <v>C</v>
      </c>
      <c r="E201" s="199">
        <v>44819.927083333336</v>
      </c>
      <c r="F201" s="200" t="s">
        <v>92</v>
      </c>
      <c r="G201" s="235">
        <v>11889.52</v>
      </c>
      <c r="H201" s="235">
        <v>11931.52</v>
      </c>
      <c r="I201" s="247">
        <f>ABS(G201-H201)</f>
        <v>42</v>
      </c>
      <c r="J201" s="235">
        <v>11105.51</v>
      </c>
      <c r="K201" s="199">
        <v>44819.951388888891</v>
      </c>
      <c r="L201" s="235">
        <v>11931.52</v>
      </c>
      <c r="M201" s="248">
        <f>ROUND(IF(C201="L",(L201-G201),(G201-L201)),4)</f>
        <v>-42</v>
      </c>
      <c r="N201" s="249">
        <f>IFERROR(ROUND((M201/I201),2),"")</f>
        <v>-1</v>
      </c>
      <c r="O201" s="250">
        <f>IF(D201="O",IF(N201&lt;0,N201,0),0)</f>
        <v>0</v>
      </c>
      <c r="P201" s="251">
        <f>IF(N201&gt;= 0,N201,0)</f>
        <v>0</v>
      </c>
      <c r="Q201" s="251">
        <f>IF(N201&lt;0,N201,0)</f>
        <v>-1</v>
      </c>
      <c r="R2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44288</v>
      </c>
      <c r="T2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1" s="253">
        <f ca="1">IF(Tabla33610673[[#This Row],[Equity]]&lt;Tabla33610673[[#This Row],[Equity Peak]],(Tabla33610673[[#This Row],[Equity Peak]]-Tabla33610673[[#This Row],[Equity]])/Tabla33610673[[#This Row],[Equity Peak]],"")</f>
        <v>1.3366601318837996E-2</v>
      </c>
      <c r="V201" s="254">
        <f>IF(B201="FX",N201,0)</f>
        <v>0</v>
      </c>
      <c r="W201" s="254">
        <f>IF(D201="O",IF(V201&lt;0,V201,0),0)</f>
        <v>0</v>
      </c>
      <c r="X201" s="254">
        <f>IF(B201="COM",N201,0)</f>
        <v>0</v>
      </c>
      <c r="Y201" s="254">
        <f>IF(D201="O",IF(X201&lt;0,X201,0),0)</f>
        <v>0</v>
      </c>
      <c r="Z201" s="254">
        <f>IF(B201="IND",N201,0)</f>
        <v>-1</v>
      </c>
      <c r="AA201" s="250">
        <f>IF(D201="O",IF(Z201&lt;0,Z201,0),0)</f>
        <v>0</v>
      </c>
      <c r="AB201" s="254">
        <f>IF(B201="CRYPTO",N201,0)</f>
        <v>0</v>
      </c>
      <c r="AC201" s="250">
        <f>IF(D201="O",IF(AB201&lt;0,AB201,0),0)</f>
        <v>0</v>
      </c>
      <c r="AD201" s="255">
        <f>IF(K201&lt;&gt;"",K201-E201,0)</f>
        <v>2.4305555554747116E-2</v>
      </c>
      <c r="AE201" s="255">
        <f>IF(N201&gt;0,AD201,0)</f>
        <v>0</v>
      </c>
      <c r="AF201" s="255">
        <f>IF(N201&lt;0,AD201,0)</f>
        <v>2.4305555554747116E-2</v>
      </c>
      <c r="AG201" s="255">
        <f>IF(N201=0,AD201,0)</f>
        <v>0</v>
      </c>
    </row>
    <row r="202" spans="2:33" ht="15" customHeight="1" x14ac:dyDescent="0.3">
      <c r="B202" s="196" t="s">
        <v>5</v>
      </c>
      <c r="C202" s="197" t="s">
        <v>13</v>
      </c>
      <c r="D202" s="246" t="str">
        <f>IF(E202&lt;&gt;"",IF(K202&lt;&gt;"","C","O"),"")</f>
        <v>C</v>
      </c>
      <c r="E202" s="199">
        <v>44819.927083333336</v>
      </c>
      <c r="F202" s="200" t="s">
        <v>93</v>
      </c>
      <c r="G202" s="235">
        <v>11889.52</v>
      </c>
      <c r="H202" s="235">
        <v>11930.54</v>
      </c>
      <c r="I202" s="247">
        <f>ABS(G202-H202)</f>
        <v>41.020000000000437</v>
      </c>
      <c r="J202" s="235">
        <v>11451.95</v>
      </c>
      <c r="K202" s="199">
        <v>44819.951388888891</v>
      </c>
      <c r="L202" s="235">
        <v>11930.54</v>
      </c>
      <c r="M202" s="248">
        <f>ROUND(IF(C202="L",(L202-G202),(G202-L202)),4)</f>
        <v>-41.02</v>
      </c>
      <c r="N202" s="249">
        <f>IFERROR(ROUND((M202/I202),2),"")</f>
        <v>-1</v>
      </c>
      <c r="O202" s="250">
        <f>IF(D202="O",IF(N202&lt;0,N202,0),0)</f>
        <v>0</v>
      </c>
      <c r="P202" s="251">
        <f>IF(N202&gt;= 0,N202,0)</f>
        <v>0</v>
      </c>
      <c r="Q202" s="251">
        <f>IF(N202&lt;0,N202,0)</f>
        <v>-1</v>
      </c>
      <c r="R2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44388</v>
      </c>
      <c r="T2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2" s="253">
        <f ca="1">IF(Tabla33610673[[#This Row],[Equity]]&lt;Tabla33610673[[#This Row],[Equity Peak]],(Tabla33610673[[#This Row],[Equity Peak]]-Tabla33610673[[#This Row],[Equity]])/Tabla33610673[[#This Row],[Equity Peak]],"")</f>
        <v>1.1138834432364996E-2</v>
      </c>
      <c r="V202" s="254">
        <f>IF(B202="FX",N202,0)</f>
        <v>0</v>
      </c>
      <c r="W202" s="254">
        <f>IF(D202="O",IF(V202&lt;0,V202,0),0)</f>
        <v>0</v>
      </c>
      <c r="X202" s="254">
        <f>IF(B202="COM",N202,0)</f>
        <v>0</v>
      </c>
      <c r="Y202" s="254">
        <f>IF(D202="O",IF(X202&lt;0,X202,0),0)</f>
        <v>0</v>
      </c>
      <c r="Z202" s="254">
        <f>IF(B202="IND",N202,0)</f>
        <v>-1</v>
      </c>
      <c r="AA202" s="250">
        <f>IF(D202="O",IF(Z202&lt;0,Z202,0),0)</f>
        <v>0</v>
      </c>
      <c r="AB202" s="254">
        <f>IF(B202="CRYPTO",N202,0)</f>
        <v>0</v>
      </c>
      <c r="AC202" s="250">
        <f>IF(D202="O",IF(AB202&lt;0,AB202,0),0)</f>
        <v>0</v>
      </c>
      <c r="AD202" s="255">
        <f>IF(K202&lt;&gt;"",K202-E202,0)</f>
        <v>2.4305555554747116E-2</v>
      </c>
      <c r="AE202" s="255">
        <f>IF(N202&gt;0,AD202,0)</f>
        <v>0</v>
      </c>
      <c r="AF202" s="255">
        <f>IF(N202&lt;0,AD202,0)</f>
        <v>2.4305555554747116E-2</v>
      </c>
      <c r="AG202" s="255">
        <f>IF(N202=0,AD202,0)</f>
        <v>0</v>
      </c>
    </row>
    <row r="203" spans="2:33" ht="15" customHeight="1" x14ac:dyDescent="0.3">
      <c r="B203" s="196" t="s">
        <v>5</v>
      </c>
      <c r="C203" s="197" t="s">
        <v>13</v>
      </c>
      <c r="D203" s="246" t="str">
        <f>IF(E203&lt;&gt;"",IF(K203&lt;&gt;"","C","O"),"")</f>
        <v>C</v>
      </c>
      <c r="E203" s="199">
        <v>44819.75</v>
      </c>
      <c r="F203" s="200" t="s">
        <v>92</v>
      </c>
      <c r="G203" s="235">
        <v>11927.02</v>
      </c>
      <c r="H203" s="235">
        <v>11964.61</v>
      </c>
      <c r="I203" s="247">
        <f>ABS(G203-H203)</f>
        <v>37.590000000000146</v>
      </c>
      <c r="J203" s="235">
        <v>11225.38</v>
      </c>
      <c r="K203" s="199">
        <v>44819.76666666667</v>
      </c>
      <c r="L203" s="235">
        <v>11964.61</v>
      </c>
      <c r="M203" s="248">
        <f>ROUND(IF(C203="L",(L203-G203),(G203-L203)),4)</f>
        <v>-37.590000000000003</v>
      </c>
      <c r="N203" s="249">
        <f>IFERROR(ROUND((M203/I203),2),"")</f>
        <v>-1</v>
      </c>
      <c r="O203" s="250">
        <f>IF(D203="O",IF(N203&lt;0,N203,0),0)</f>
        <v>0</v>
      </c>
      <c r="P203" s="251">
        <f>IF(N203&gt;= 0,N203,0)</f>
        <v>0</v>
      </c>
      <c r="Q203" s="251">
        <f>IF(N203&lt;0,N203,0)</f>
        <v>-1</v>
      </c>
      <c r="R2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44488</v>
      </c>
      <c r="T2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3" s="253">
        <f ca="1">IF(Tabla33610673[[#This Row],[Equity]]&lt;Tabla33610673[[#This Row],[Equity Peak]],(Tabla33610673[[#This Row],[Equity Peak]]-Tabla33610673[[#This Row],[Equity]])/Tabla33610673[[#This Row],[Equity Peak]],"")</f>
        <v>8.9110675458919982E-3</v>
      </c>
      <c r="V203" s="254">
        <f>IF(B203="FX",N203,0)</f>
        <v>0</v>
      </c>
      <c r="W203" s="254">
        <f>IF(D203="O",IF(V203&lt;0,V203,0),0)</f>
        <v>0</v>
      </c>
      <c r="X203" s="254">
        <f>IF(B203="COM",N203,0)</f>
        <v>0</v>
      </c>
      <c r="Y203" s="254">
        <f>IF(D203="O",IF(X203&lt;0,X203,0),0)</f>
        <v>0</v>
      </c>
      <c r="Z203" s="254">
        <f>IF(B203="IND",N203,0)</f>
        <v>-1</v>
      </c>
      <c r="AA203" s="250">
        <f>IF(D203="O",IF(Z203&lt;0,Z203,0),0)</f>
        <v>0</v>
      </c>
      <c r="AB203" s="254">
        <f>IF(B203="CRYPTO",N203,0)</f>
        <v>0</v>
      </c>
      <c r="AC203" s="250">
        <f>IF(D203="O",IF(AB203&lt;0,AB203,0),0)</f>
        <v>0</v>
      </c>
      <c r="AD203" s="255">
        <f>IF(K203&lt;&gt;"",K203-E203,0)</f>
        <v>1.6666666670062114E-2</v>
      </c>
      <c r="AE203" s="255">
        <f>IF(N203&gt;0,AD203,0)</f>
        <v>0</v>
      </c>
      <c r="AF203" s="255">
        <f>IF(N203&lt;0,AD203,0)</f>
        <v>1.6666666670062114E-2</v>
      </c>
      <c r="AG203" s="255">
        <f>IF(N203=0,AD203,0)</f>
        <v>0</v>
      </c>
    </row>
    <row r="204" spans="2:33" ht="15" customHeight="1" x14ac:dyDescent="0.3">
      <c r="B204" s="196" t="s">
        <v>5</v>
      </c>
      <c r="C204" s="197" t="s">
        <v>13</v>
      </c>
      <c r="D204" s="246" t="str">
        <f>IF(E204&lt;&gt;"",IF(K204&lt;&gt;"","C","O"),"")</f>
        <v>C</v>
      </c>
      <c r="E204" s="199">
        <v>44819.75</v>
      </c>
      <c r="F204" s="200" t="s">
        <v>93</v>
      </c>
      <c r="G204" s="235">
        <v>11927.02</v>
      </c>
      <c r="H204" s="235">
        <v>11966.8</v>
      </c>
      <c r="I204" s="247">
        <f>ABS(G204-H204)</f>
        <v>39.779999999998836</v>
      </c>
      <c r="J204" s="235">
        <v>11502.66</v>
      </c>
      <c r="K204" s="199">
        <v>44819.76666666667</v>
      </c>
      <c r="L204" s="235">
        <v>11966.8</v>
      </c>
      <c r="M204" s="248">
        <f>ROUND(IF(C204="L",(L204-G204),(G204-L204)),4)</f>
        <v>-39.78</v>
      </c>
      <c r="N204" s="249">
        <f>IFERROR(ROUND((M204/I204),2),"")</f>
        <v>-1</v>
      </c>
      <c r="O204" s="250">
        <f>IF(D204="O",IF(N204&lt;0,N204,0),0)</f>
        <v>0</v>
      </c>
      <c r="P204" s="251">
        <f>IF(N204&gt;= 0,N204,0)</f>
        <v>0</v>
      </c>
      <c r="Q204" s="251">
        <f>IF(N204&lt;0,N204,0)</f>
        <v>-1</v>
      </c>
      <c r="R2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44588</v>
      </c>
      <c r="T2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4" s="253">
        <f ca="1">IF(Tabla33610673[[#This Row],[Equity]]&lt;Tabla33610673[[#This Row],[Equity Peak]],(Tabla33610673[[#This Row],[Equity Peak]]-Tabla33610673[[#This Row],[Equity]])/Tabla33610673[[#This Row],[Equity Peak]],"")</f>
        <v>6.6833006594189982E-3</v>
      </c>
      <c r="V204" s="254">
        <f>IF(B204="FX",N204,0)</f>
        <v>0</v>
      </c>
      <c r="W204" s="254">
        <f>IF(D204="O",IF(V204&lt;0,V204,0),0)</f>
        <v>0</v>
      </c>
      <c r="X204" s="254">
        <f>IF(B204="COM",N204,0)</f>
        <v>0</v>
      </c>
      <c r="Y204" s="254">
        <f>IF(D204="O",IF(X204&lt;0,X204,0),0)</f>
        <v>0</v>
      </c>
      <c r="Z204" s="254">
        <f>IF(B204="IND",N204,0)</f>
        <v>-1</v>
      </c>
      <c r="AA204" s="250">
        <f>IF(D204="O",IF(Z204&lt;0,Z204,0),0)</f>
        <v>0</v>
      </c>
      <c r="AB204" s="254">
        <f>IF(B204="CRYPTO",N204,0)</f>
        <v>0</v>
      </c>
      <c r="AC204" s="250">
        <f>IF(D204="O",IF(AB204&lt;0,AB204,0),0)</f>
        <v>0</v>
      </c>
      <c r="AD204" s="255">
        <f>IF(K204&lt;&gt;"",K204-E204,0)</f>
        <v>1.6666666670062114E-2</v>
      </c>
      <c r="AE204" s="255">
        <f>IF(N204&gt;0,AD204,0)</f>
        <v>0</v>
      </c>
      <c r="AF204" s="255">
        <f>IF(N204&lt;0,AD204,0)</f>
        <v>1.6666666670062114E-2</v>
      </c>
      <c r="AG204" s="255">
        <f>IF(N204=0,AD204,0)</f>
        <v>0</v>
      </c>
    </row>
    <row r="205" spans="2:33" ht="15" customHeight="1" x14ac:dyDescent="0.3">
      <c r="B205" s="196" t="s">
        <v>19</v>
      </c>
      <c r="C205" s="197" t="s">
        <v>13</v>
      </c>
      <c r="D205" s="246" t="str">
        <f>IF(E205&lt;&gt;"",IF(K205&lt;&gt;"","C","O"),"")</f>
        <v>C</v>
      </c>
      <c r="E205" s="199">
        <v>44819.59375</v>
      </c>
      <c r="F205" s="200" t="s">
        <v>88</v>
      </c>
      <c r="G205" s="235">
        <v>1685.21</v>
      </c>
      <c r="H205" s="235">
        <v>1687.53</v>
      </c>
      <c r="I205" s="247">
        <f>ABS(G205-H205)</f>
        <v>2.3199999999999363</v>
      </c>
      <c r="J205" s="235">
        <v>1657.33</v>
      </c>
      <c r="K205" s="199">
        <v>44819.647222222222</v>
      </c>
      <c r="L205" s="235">
        <v>1687.53</v>
      </c>
      <c r="M205" s="248">
        <f>ROUND(IF(C205="L",(L205-G205),(G205-L205)),4)</f>
        <v>-2.3199999999999998</v>
      </c>
      <c r="N205" s="249">
        <f>IFERROR(ROUND((M205/I205),2),"")</f>
        <v>-1</v>
      </c>
      <c r="O205" s="250">
        <f>IF(D205="O",IF(N205&lt;0,N205,0),0)</f>
        <v>0</v>
      </c>
      <c r="P205" s="251">
        <f>IF(N205&gt;= 0,N205,0)</f>
        <v>0</v>
      </c>
      <c r="Q205" s="251">
        <f>IF(N205&lt;0,N205,0)</f>
        <v>-1</v>
      </c>
      <c r="R2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44688</v>
      </c>
      <c r="T2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5" s="253">
        <f ca="1">IF(Tabla33610673[[#This Row],[Equity]]&lt;Tabla33610673[[#This Row],[Equity Peak]],(Tabla33610673[[#This Row],[Equity Peak]]-Tabla33610673[[#This Row],[Equity]])/Tabla33610673[[#This Row],[Equity Peak]],"")</f>
        <v>4.4555337729459991E-3</v>
      </c>
      <c r="V205" s="254">
        <f>IF(B205="FX",N205,0)</f>
        <v>0</v>
      </c>
      <c r="W205" s="254">
        <f>IF(D205="O",IF(V205&lt;0,V205,0),0)</f>
        <v>0</v>
      </c>
      <c r="X205" s="254">
        <f>IF(B205="COM",N205,0)</f>
        <v>-1</v>
      </c>
      <c r="Y205" s="254">
        <f>IF(D205="O",IF(X205&lt;0,X205,0),0)</f>
        <v>0</v>
      </c>
      <c r="Z205" s="254">
        <f>IF(B205="IND",N205,0)</f>
        <v>0</v>
      </c>
      <c r="AA205" s="250">
        <f>IF(D205="O",IF(Z205&lt;0,Z205,0),0)</f>
        <v>0</v>
      </c>
      <c r="AB205" s="254">
        <f>IF(B205="CRYPTO",N205,0)</f>
        <v>0</v>
      </c>
      <c r="AC205" s="250">
        <f>IF(D205="O",IF(AB205&lt;0,AB205,0),0)</f>
        <v>0</v>
      </c>
      <c r="AD205" s="255">
        <f>IF(K205&lt;&gt;"",K205-E205,0)</f>
        <v>5.3472222221898846E-2</v>
      </c>
      <c r="AE205" s="255">
        <f>IF(N205&gt;0,AD205,0)</f>
        <v>0</v>
      </c>
      <c r="AF205" s="255">
        <f>IF(N205&lt;0,AD205,0)</f>
        <v>5.3472222221898846E-2</v>
      </c>
      <c r="AG205" s="255">
        <f>IF(N205=0,AD205,0)</f>
        <v>0</v>
      </c>
    </row>
    <row r="206" spans="2:33" ht="15" customHeight="1" x14ac:dyDescent="0.3">
      <c r="B206" s="196" t="s">
        <v>19</v>
      </c>
      <c r="C206" s="197" t="s">
        <v>13</v>
      </c>
      <c r="D206" s="246" t="str">
        <f>IF(E206&lt;&gt;"",IF(K206&lt;&gt;"","C","O"),"")</f>
        <v>C</v>
      </c>
      <c r="E206" s="199">
        <v>44819.333333333336</v>
      </c>
      <c r="F206" s="200" t="s">
        <v>88</v>
      </c>
      <c r="G206" s="235">
        <v>1687.49</v>
      </c>
      <c r="H206" s="235">
        <v>1690.01</v>
      </c>
      <c r="I206" s="247">
        <f>ABS(G206-H206)</f>
        <v>2.5199999999999818</v>
      </c>
      <c r="J206" s="235">
        <v>1657.2</v>
      </c>
      <c r="K206" s="199">
        <v>44819.529861111114</v>
      </c>
      <c r="L206" s="235">
        <v>1690.01</v>
      </c>
      <c r="M206" s="248">
        <f>ROUND(IF(C206="L",(L206-G206),(G206-L206)),4)</f>
        <v>-2.52</v>
      </c>
      <c r="N206" s="249">
        <f>IFERROR(ROUND((M206/I206),2),"")</f>
        <v>-1</v>
      </c>
      <c r="O206" s="250">
        <f>IF(D206="O",IF(N206&lt;0,N206,0),0)</f>
        <v>0</v>
      </c>
      <c r="P206" s="251">
        <f>IF(N206&gt;= 0,N206,0)</f>
        <v>0</v>
      </c>
      <c r="Q206" s="251">
        <f>IF(N206&lt;0,N206,0)</f>
        <v>-1</v>
      </c>
      <c r="R2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44788</v>
      </c>
      <c r="T2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6" s="253">
        <f ca="1">IF(Tabla33610673[[#This Row],[Equity]]&lt;Tabla33610673[[#This Row],[Equity Peak]],(Tabla33610673[[#This Row],[Equity Peak]]-Tabla33610673[[#This Row],[Equity]])/Tabla33610673[[#This Row],[Equity Peak]],"")</f>
        <v>2.2277668864729996E-3</v>
      </c>
      <c r="V206" s="254">
        <f>IF(B206="FX",N206,0)</f>
        <v>0</v>
      </c>
      <c r="W206" s="254">
        <f>IF(D206="O",IF(V206&lt;0,V206,0),0)</f>
        <v>0</v>
      </c>
      <c r="X206" s="254">
        <f>IF(B206="COM",N206,0)</f>
        <v>-1</v>
      </c>
      <c r="Y206" s="254">
        <f>IF(D206="O",IF(X206&lt;0,X206,0),0)</f>
        <v>0</v>
      </c>
      <c r="Z206" s="254">
        <f>IF(B206="IND",N206,0)</f>
        <v>0</v>
      </c>
      <c r="AA206" s="250">
        <f>IF(D206="O",IF(Z206&lt;0,Z206,0),0)</f>
        <v>0</v>
      </c>
      <c r="AB206" s="254">
        <f>IF(B206="CRYPTO",N206,0)</f>
        <v>0</v>
      </c>
      <c r="AC206" s="250">
        <f>IF(D206="O",IF(AB206&lt;0,AB206,0),0)</f>
        <v>0</v>
      </c>
      <c r="AD206" s="255">
        <f>IF(K206&lt;&gt;"",K206-E206,0)</f>
        <v>0.19652777777810115</v>
      </c>
      <c r="AE206" s="255">
        <f>IF(N206&gt;0,AD206,0)</f>
        <v>0</v>
      </c>
      <c r="AF206" s="255">
        <f>IF(N206&lt;0,AD206,0)</f>
        <v>0.19652777777810115</v>
      </c>
      <c r="AG206" s="255">
        <f>IF(N206=0,AD206,0)</f>
        <v>0</v>
      </c>
    </row>
    <row r="207" spans="2:33" ht="15" customHeight="1" x14ac:dyDescent="0.3">
      <c r="B207" s="196" t="s">
        <v>5</v>
      </c>
      <c r="C207" s="197" t="s">
        <v>13</v>
      </c>
      <c r="D207" s="246" t="str">
        <f>IF(E207&lt;&gt;"",IF(K207&lt;&gt;"","C","O"),"")</f>
        <v>C</v>
      </c>
      <c r="E207" s="199">
        <v>44817.697916666664</v>
      </c>
      <c r="F207" s="200" t="s">
        <v>92</v>
      </c>
      <c r="G207" s="235">
        <v>12336.97</v>
      </c>
      <c r="H207" s="235">
        <v>12373.07</v>
      </c>
      <c r="I207" s="247">
        <f>ABS(G207-H207)</f>
        <v>36.100000000000364</v>
      </c>
      <c r="J207" s="235">
        <v>11663.05</v>
      </c>
      <c r="K207" s="199">
        <v>44818.698611111111</v>
      </c>
      <c r="L207" s="235">
        <v>12131.06</v>
      </c>
      <c r="M207" s="248">
        <f>ROUND(IF(C207="L",(L207-G207),(G207-L207)),4)</f>
        <v>205.91</v>
      </c>
      <c r="N207" s="249">
        <f>IFERROR(ROUND((M207/I207),2),"")</f>
        <v>5.7</v>
      </c>
      <c r="O207" s="250">
        <f>IF(D207="O",IF(N207&lt;0,N207,0),0)</f>
        <v>0</v>
      </c>
      <c r="P207" s="251">
        <f>IF(N207&gt;= 0,N207,0)</f>
        <v>5.7</v>
      </c>
      <c r="Q207" s="251">
        <f>IF(N207&lt;0,N207,0)</f>
        <v>0</v>
      </c>
      <c r="R2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44888</v>
      </c>
      <c r="T2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44888</v>
      </c>
      <c r="U20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07" s="254">
        <f>IF(B207="FX",N207,0)</f>
        <v>0</v>
      </c>
      <c r="W207" s="254">
        <f>IF(D207="O",IF(V207&lt;0,V207,0),0)</f>
        <v>0</v>
      </c>
      <c r="X207" s="254">
        <f>IF(B207="COM",N207,0)</f>
        <v>0</v>
      </c>
      <c r="Y207" s="254">
        <f>IF(D207="O",IF(X207&lt;0,X207,0),0)</f>
        <v>0</v>
      </c>
      <c r="Z207" s="254">
        <f>IF(B207="IND",N207,0)</f>
        <v>5.7</v>
      </c>
      <c r="AA207" s="250">
        <f>IF(D207="O",IF(Z207&lt;0,Z207,0),0)</f>
        <v>0</v>
      </c>
      <c r="AB207" s="254">
        <f>IF(B207="CRYPTO",N207,0)</f>
        <v>0</v>
      </c>
      <c r="AC207" s="250">
        <f>IF(D207="O",IF(AB207&lt;0,AB207,0),0)</f>
        <v>0</v>
      </c>
      <c r="AD207" s="255">
        <f>IF(K207&lt;&gt;"",K207-E207,0)</f>
        <v>1.0006944444467081</v>
      </c>
      <c r="AE207" s="255">
        <f>IF(N207&gt;0,AD207,0)</f>
        <v>1.0006944444467081</v>
      </c>
      <c r="AF207" s="255">
        <f>IF(N207&lt;0,AD207,0)</f>
        <v>0</v>
      </c>
      <c r="AG207" s="255">
        <f>IF(N207=0,AD207,0)</f>
        <v>0</v>
      </c>
    </row>
    <row r="208" spans="2:33" ht="15" customHeight="1" x14ac:dyDescent="0.3">
      <c r="B208" s="196" t="s">
        <v>7</v>
      </c>
      <c r="C208" s="197" t="s">
        <v>13</v>
      </c>
      <c r="D208" s="246" t="str">
        <f>IF(E208&lt;&gt;"",IF(K208&lt;&gt;"","C","O"),"")</f>
        <v>C</v>
      </c>
      <c r="E208" s="199">
        <v>44818.15625</v>
      </c>
      <c r="F208" s="200" t="s">
        <v>115</v>
      </c>
      <c r="G208" s="235">
        <v>165.934</v>
      </c>
      <c r="H208" s="235">
        <v>166.50399999999999</v>
      </c>
      <c r="I208" s="247">
        <f>ABS(G208-H208)</f>
        <v>0.56999999999999318</v>
      </c>
      <c r="J208" s="235">
        <v>164.30600000000001</v>
      </c>
      <c r="K208" s="199">
        <v>44818.515972222223</v>
      </c>
      <c r="L208" s="235">
        <v>165.84200000000001</v>
      </c>
      <c r="M208" s="248">
        <f>ROUND(IF(C208="L",(L208-G208),(G208-L208)),4)</f>
        <v>9.1999999999999998E-2</v>
      </c>
      <c r="N208" s="249">
        <f>IFERROR(ROUND((M208/I208),2),"")</f>
        <v>0.16</v>
      </c>
      <c r="O208" s="250">
        <f>IF(D208="O",IF(N208&lt;0,N208,0),0)</f>
        <v>0</v>
      </c>
      <c r="P208" s="251">
        <f>IF(N208&gt;= 0,N208,0)</f>
        <v>0.16</v>
      </c>
      <c r="Q208" s="251">
        <f>IF(N208&lt;0,N208,0)</f>
        <v>0</v>
      </c>
      <c r="R2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44318</v>
      </c>
      <c r="T2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44318</v>
      </c>
      <c r="U20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08" s="254">
        <f>IF(B208="FX",N208,0)</f>
        <v>0.16</v>
      </c>
      <c r="W208" s="254">
        <f>IF(D208="O",IF(V208&lt;0,V208,0),0)</f>
        <v>0</v>
      </c>
      <c r="X208" s="254">
        <f>IF(B208="COM",N208,0)</f>
        <v>0</v>
      </c>
      <c r="Y208" s="254">
        <f>IF(D208="O",IF(X208&lt;0,X208,0),0)</f>
        <v>0</v>
      </c>
      <c r="Z208" s="254">
        <f>IF(B208="IND",N208,0)</f>
        <v>0</v>
      </c>
      <c r="AA208" s="250">
        <f>IF(D208="O",IF(Z208&lt;0,Z208,0),0)</f>
        <v>0</v>
      </c>
      <c r="AB208" s="254">
        <f>IF(B208="CRYPTO",N208,0)</f>
        <v>0</v>
      </c>
      <c r="AC208" s="250">
        <f>IF(D208="O",IF(AB208&lt;0,AB208,0),0)</f>
        <v>0</v>
      </c>
      <c r="AD208" s="255">
        <f>IF(K208&lt;&gt;"",K208-E208,0)</f>
        <v>0.35972222222335404</v>
      </c>
      <c r="AE208" s="255">
        <f>IF(N208&gt;0,AD208,0)</f>
        <v>0.35972222222335404</v>
      </c>
      <c r="AF208" s="255">
        <f>IF(N208&lt;0,AD208,0)</f>
        <v>0</v>
      </c>
      <c r="AG208" s="255">
        <f>IF(N208=0,AD208,0)</f>
        <v>0</v>
      </c>
    </row>
    <row r="209" spans="2:33" ht="15" customHeight="1" x14ac:dyDescent="0.3">
      <c r="B209" s="196" t="s">
        <v>5</v>
      </c>
      <c r="C209" s="197" t="s">
        <v>13</v>
      </c>
      <c r="D209" s="246" t="str">
        <f>IF(E209&lt;&gt;"",IF(K209&lt;&gt;"","C","O"),"")</f>
        <v>C</v>
      </c>
      <c r="E209" s="199">
        <v>44817.697916666664</v>
      </c>
      <c r="F209" s="200" t="s">
        <v>93</v>
      </c>
      <c r="G209" s="235">
        <v>12336.97</v>
      </c>
      <c r="H209" s="235">
        <v>12375.81</v>
      </c>
      <c r="I209" s="247">
        <f>ABS(G209-H209)</f>
        <v>38.840000000000146</v>
      </c>
      <c r="J209" s="235">
        <v>11922.64</v>
      </c>
      <c r="K209" s="199">
        <v>44818.479861111111</v>
      </c>
      <c r="L209" s="235">
        <v>12120.05</v>
      </c>
      <c r="M209" s="248">
        <f>ROUND(IF(C209="L",(L209-G209),(G209-L209)),4)</f>
        <v>216.92</v>
      </c>
      <c r="N209" s="249">
        <f>IFERROR(ROUND((M209/I209),2),"")</f>
        <v>5.58</v>
      </c>
      <c r="O209" s="250">
        <f>IF(D209="O",IF(N209&lt;0,N209,0),0)</f>
        <v>0</v>
      </c>
      <c r="P209" s="251">
        <f>IF(N209&gt;= 0,N209,0)</f>
        <v>5.58</v>
      </c>
      <c r="Q209" s="251">
        <f>IF(N209&lt;0,N209,0)</f>
        <v>0</v>
      </c>
      <c r="R2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44302</v>
      </c>
      <c r="T2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44302</v>
      </c>
      <c r="U20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09" s="254">
        <f>IF(B209="FX",N209,0)</f>
        <v>0</v>
      </c>
      <c r="W209" s="254">
        <f>IF(D209="O",IF(V209&lt;0,V209,0),0)</f>
        <v>0</v>
      </c>
      <c r="X209" s="254">
        <f>IF(B209="COM",N209,0)</f>
        <v>0</v>
      </c>
      <c r="Y209" s="254">
        <f>IF(D209="O",IF(X209&lt;0,X209,0),0)</f>
        <v>0</v>
      </c>
      <c r="Z209" s="254">
        <f>IF(B209="IND",N209,0)</f>
        <v>5.58</v>
      </c>
      <c r="AA209" s="250">
        <f>IF(D209="O",IF(Z209&lt;0,Z209,0),0)</f>
        <v>0</v>
      </c>
      <c r="AB209" s="254">
        <f>IF(B209="CRYPTO",N209,0)</f>
        <v>0</v>
      </c>
      <c r="AC209" s="250">
        <f>IF(D209="O",IF(AB209&lt;0,AB209,0),0)</f>
        <v>0</v>
      </c>
      <c r="AD209" s="255">
        <f>IF(K209&lt;&gt;"",K209-E209,0)</f>
        <v>0.78194444444670808</v>
      </c>
      <c r="AE209" s="255">
        <f>IF(N209&gt;0,AD209,0)</f>
        <v>0.78194444444670808</v>
      </c>
      <c r="AF209" s="255">
        <f>IF(N209&lt;0,AD209,0)</f>
        <v>0</v>
      </c>
      <c r="AG209" s="255">
        <f>IF(N209=0,AD209,0)</f>
        <v>0</v>
      </c>
    </row>
    <row r="210" spans="2:33" ht="15" customHeight="1" x14ac:dyDescent="0.3">
      <c r="B210" s="196" t="s">
        <v>5</v>
      </c>
      <c r="C210" s="197" t="s">
        <v>13</v>
      </c>
      <c r="D210" s="246" t="str">
        <f>IF(E210&lt;&gt;"",IF(K210&lt;&gt;"","C","O"),"")</f>
        <v>C</v>
      </c>
      <c r="E210" s="199">
        <v>44817.666666666664</v>
      </c>
      <c r="F210" s="200" t="s">
        <v>92</v>
      </c>
      <c r="G210" s="235">
        <v>12373.62</v>
      </c>
      <c r="H210" s="235">
        <v>12408.17</v>
      </c>
      <c r="I210" s="247">
        <f>ABS(G210-H210)</f>
        <v>34.549999999999272</v>
      </c>
      <c r="J210" s="235">
        <v>11728.76</v>
      </c>
      <c r="K210" s="199">
        <v>44817.688194444447</v>
      </c>
      <c r="L210" s="235">
        <v>12408.17</v>
      </c>
      <c r="M210" s="248">
        <f>ROUND(IF(C210="L",(L210-G210),(G210-L210)),4)</f>
        <v>-34.549999999999997</v>
      </c>
      <c r="N210" s="249">
        <f>IFERROR(ROUND((M210/I210),2),"")</f>
        <v>-1</v>
      </c>
      <c r="O210" s="250">
        <f>IF(D210="O",IF(N210&lt;0,N210,0),0)</f>
        <v>0</v>
      </c>
      <c r="P210" s="251">
        <f>IF(N210&gt;= 0,N210,0)</f>
        <v>0</v>
      </c>
      <c r="Q210" s="251">
        <f>IF(N210&lt;0,N210,0)</f>
        <v>-1</v>
      </c>
      <c r="R2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43744</v>
      </c>
      <c r="T2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43944</v>
      </c>
      <c r="U210" s="253">
        <f ca="1">IF(Tabla33610673[[#This Row],[Equity]]&lt;Tabla33610673[[#This Row],[Equity Peak]],(Tabla33610673[[#This Row],[Equity Peak]]-Tabla33610673[[#This Row],[Equity]])/Tabla33610673[[#This Row],[Equity Peak]],"")</f>
        <v>4.5512470416894232E-3</v>
      </c>
      <c r="V210" s="254">
        <f>IF(B210="FX",N210,0)</f>
        <v>0</v>
      </c>
      <c r="W210" s="254">
        <f>IF(D210="O",IF(V210&lt;0,V210,0),0)</f>
        <v>0</v>
      </c>
      <c r="X210" s="254">
        <f>IF(B210="COM",N210,0)</f>
        <v>0</v>
      </c>
      <c r="Y210" s="254">
        <f>IF(D210="O",IF(X210&lt;0,X210,0),0)</f>
        <v>0</v>
      </c>
      <c r="Z210" s="254">
        <f>IF(B210="IND",N210,0)</f>
        <v>-1</v>
      </c>
      <c r="AA210" s="250">
        <f>IF(D210="O",IF(Z210&lt;0,Z210,0),0)</f>
        <v>0</v>
      </c>
      <c r="AB210" s="254">
        <f>IF(B210="CRYPTO",N210,0)</f>
        <v>0</v>
      </c>
      <c r="AC210" s="250">
        <f>IF(D210="O",IF(AB210&lt;0,AB210,0),0)</f>
        <v>0</v>
      </c>
      <c r="AD210" s="255">
        <f>IF(K210&lt;&gt;"",K210-E210,0)</f>
        <v>2.1527777782466728E-2</v>
      </c>
      <c r="AE210" s="255">
        <f>IF(N210&gt;0,AD210,0)</f>
        <v>0</v>
      </c>
      <c r="AF210" s="255">
        <f>IF(N210&lt;0,AD210,0)</f>
        <v>2.1527777782466728E-2</v>
      </c>
      <c r="AG210" s="255">
        <f>IF(N210=0,AD210,0)</f>
        <v>0</v>
      </c>
    </row>
    <row r="211" spans="2:33" ht="15" customHeight="1" x14ac:dyDescent="0.3">
      <c r="B211" s="196" t="s">
        <v>5</v>
      </c>
      <c r="C211" s="197" t="s">
        <v>13</v>
      </c>
      <c r="D211" s="246" t="str">
        <f>IF(E211&lt;&gt;"",IF(K211&lt;&gt;"","C","O"),"")</f>
        <v>C</v>
      </c>
      <c r="E211" s="199">
        <v>44817.666666666664</v>
      </c>
      <c r="F211" s="200" t="s">
        <v>93</v>
      </c>
      <c r="G211" s="235">
        <v>12373.62</v>
      </c>
      <c r="H211" s="235">
        <v>12411.71</v>
      </c>
      <c r="I211" s="247">
        <f>ABS(G211-H211)</f>
        <v>38.089999999998327</v>
      </c>
      <c r="J211" s="235">
        <v>11967.28</v>
      </c>
      <c r="K211" s="199">
        <v>44817.688194444447</v>
      </c>
      <c r="L211" s="235">
        <v>12411.71</v>
      </c>
      <c r="M211" s="248">
        <f>ROUND(IF(C211="L",(L211-G211),(G211-L211)),4)</f>
        <v>-38.090000000000003</v>
      </c>
      <c r="N211" s="249">
        <f>IFERROR(ROUND((M211/I211),2),"")</f>
        <v>-1</v>
      </c>
      <c r="O211" s="250">
        <f>IF(D211="O",IF(N211&lt;0,N211,0),0)</f>
        <v>0</v>
      </c>
      <c r="P211" s="251">
        <f>IF(N211&gt;= 0,N211,0)</f>
        <v>0</v>
      </c>
      <c r="Q211" s="251">
        <f>IF(N211&lt;0,N211,0)</f>
        <v>-1</v>
      </c>
      <c r="R2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43844</v>
      </c>
      <c r="T2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43944</v>
      </c>
      <c r="U211" s="253">
        <f ca="1">IF(Tabla33610673[[#This Row],[Equity]]&lt;Tabla33610673[[#This Row],[Equity Peak]],(Tabla33610673[[#This Row],[Equity Peak]]-Tabla33610673[[#This Row],[Equity]])/Tabla33610673[[#This Row],[Equity Peak]],"")</f>
        <v>2.2756235208447116E-3</v>
      </c>
      <c r="V211" s="254">
        <f>IF(B211="FX",N211,0)</f>
        <v>0</v>
      </c>
      <c r="W211" s="254">
        <f>IF(D211="O",IF(V211&lt;0,V211,0),0)</f>
        <v>0</v>
      </c>
      <c r="X211" s="254">
        <f>IF(B211="COM",N211,0)</f>
        <v>0</v>
      </c>
      <c r="Y211" s="254">
        <f>IF(D211="O",IF(X211&lt;0,X211,0),0)</f>
        <v>0</v>
      </c>
      <c r="Z211" s="254">
        <f>IF(B211="IND",N211,0)</f>
        <v>-1</v>
      </c>
      <c r="AA211" s="250">
        <f>IF(D211="O",IF(Z211&lt;0,Z211,0),0)</f>
        <v>0</v>
      </c>
      <c r="AB211" s="254">
        <f>IF(B211="CRYPTO",N211,0)</f>
        <v>0</v>
      </c>
      <c r="AC211" s="250">
        <f>IF(D211="O",IF(AB211&lt;0,AB211,0),0)</f>
        <v>0</v>
      </c>
      <c r="AD211" s="255">
        <f>IF(K211&lt;&gt;"",K211-E211,0)</f>
        <v>2.1527777782466728E-2</v>
      </c>
      <c r="AE211" s="255">
        <f>IF(N211&gt;0,AD211,0)</f>
        <v>0</v>
      </c>
      <c r="AF211" s="255">
        <f>IF(N211&lt;0,AD211,0)</f>
        <v>2.1527777782466728E-2</v>
      </c>
      <c r="AG211" s="255">
        <f>IF(N211=0,AD211,0)</f>
        <v>0</v>
      </c>
    </row>
    <row r="212" spans="2:33" ht="15" customHeight="1" x14ac:dyDescent="0.3">
      <c r="B212" s="196" t="s">
        <v>5</v>
      </c>
      <c r="C212" s="197" t="s">
        <v>15</v>
      </c>
      <c r="D212" s="246" t="str">
        <f>IF(E212&lt;&gt;"",IF(K212&lt;&gt;"","C","O"),"")</f>
        <v>C</v>
      </c>
      <c r="E212" s="199">
        <v>44813.927083333336</v>
      </c>
      <c r="F212" s="200" t="s">
        <v>91</v>
      </c>
      <c r="G212" s="235">
        <v>13130.67</v>
      </c>
      <c r="H212" s="235">
        <v>13085.35</v>
      </c>
      <c r="I212" s="247">
        <f>ABS(G212-H212)</f>
        <v>45.319999999999709</v>
      </c>
      <c r="J212" s="235">
        <v>13976.68</v>
      </c>
      <c r="K212" s="199">
        <v>44817.645833333336</v>
      </c>
      <c r="L212" s="235">
        <v>13412.51</v>
      </c>
      <c r="M212" s="248">
        <f>ROUND(IF(C212="L",(L212-G212),(G212-L212)),4)</f>
        <v>281.83999999999997</v>
      </c>
      <c r="N212" s="249">
        <f>IFERROR(ROUND((M212/I212),2),"")</f>
        <v>6.22</v>
      </c>
      <c r="O212" s="250">
        <f>IF(D212="O",IF(N212&lt;0,N212,0),0)</f>
        <v>0</v>
      </c>
      <c r="P212" s="251">
        <f>IF(N212&gt;= 0,N212,0)</f>
        <v>6.22</v>
      </c>
      <c r="Q212" s="251">
        <f>IF(N212&lt;0,N212,0)</f>
        <v>0</v>
      </c>
      <c r="R2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43944</v>
      </c>
      <c r="T2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43944</v>
      </c>
      <c r="U21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12" s="254">
        <f>IF(B212="FX",N212,0)</f>
        <v>0</v>
      </c>
      <c r="W212" s="254">
        <f>IF(D212="O",IF(V212&lt;0,V212,0),0)</f>
        <v>0</v>
      </c>
      <c r="X212" s="254">
        <f>IF(B212="COM",N212,0)</f>
        <v>0</v>
      </c>
      <c r="Y212" s="254">
        <f>IF(D212="O",IF(X212&lt;0,X212,0),0)</f>
        <v>0</v>
      </c>
      <c r="Z212" s="254">
        <f>IF(B212="IND",N212,0)</f>
        <v>6.22</v>
      </c>
      <c r="AA212" s="250">
        <f>IF(D212="O",IF(Z212&lt;0,Z212,0),0)</f>
        <v>0</v>
      </c>
      <c r="AB212" s="254">
        <f>IF(B212="CRYPTO",N212,0)</f>
        <v>0</v>
      </c>
      <c r="AC212" s="250">
        <f>IF(D212="O",IF(AB212&lt;0,AB212,0),0)</f>
        <v>0</v>
      </c>
      <c r="AD212" s="255">
        <f>IF(K212&lt;&gt;"",K212-E212,0)</f>
        <v>3.71875</v>
      </c>
      <c r="AE212" s="255">
        <f>IF(N212&gt;0,AD212,0)</f>
        <v>3.71875</v>
      </c>
      <c r="AF212" s="255">
        <f>IF(N212&lt;0,AD212,0)</f>
        <v>0</v>
      </c>
      <c r="AG212" s="255">
        <f>IF(N212=0,AD212,0)</f>
        <v>0</v>
      </c>
    </row>
    <row r="213" spans="2:33" ht="15" customHeight="1" x14ac:dyDescent="0.3">
      <c r="B213" s="196" t="s">
        <v>7</v>
      </c>
      <c r="C213" s="197" t="s">
        <v>15</v>
      </c>
      <c r="D213" s="246" t="str">
        <f>IF(E213&lt;&gt;"",IF(K213&lt;&gt;"","C","O"),"")</f>
        <v>C</v>
      </c>
      <c r="E213" s="199">
        <v>44816.34375</v>
      </c>
      <c r="F213" s="200" t="s">
        <v>115</v>
      </c>
      <c r="G213" s="235">
        <v>166.285</v>
      </c>
      <c r="H213" s="235">
        <v>165.702</v>
      </c>
      <c r="I213" s="247">
        <f>ABS(G213-H213)</f>
        <v>0.58299999999999841</v>
      </c>
      <c r="J213" s="235">
        <v>167.95</v>
      </c>
      <c r="K213" s="199">
        <v>44817.645138888889</v>
      </c>
      <c r="L213" s="235">
        <v>166.22900000000001</v>
      </c>
      <c r="M213" s="248">
        <f>ROUND(IF(C213="L",(L213-G213),(G213-L213)),4)</f>
        <v>-5.6000000000000001E-2</v>
      </c>
      <c r="N213" s="249">
        <f>IFERROR(ROUND((M213/I213),2),"")</f>
        <v>-0.1</v>
      </c>
      <c r="O213" s="250">
        <f>IF(D213="O",IF(N213&lt;0,N213,0),0)</f>
        <v>0</v>
      </c>
      <c r="P213" s="251">
        <f>IF(N213&gt;= 0,N213,0)</f>
        <v>0</v>
      </c>
      <c r="Q213" s="251">
        <f>IF(N213&lt;0,N213,0)</f>
        <v>-0.1</v>
      </c>
      <c r="R2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43322</v>
      </c>
      <c r="T2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43332</v>
      </c>
      <c r="U213" s="253">
        <f ca="1">IF(Tabla33610673[[#This Row],[Equity]]&lt;Tabla33610673[[#This Row],[Equity Peak]],(Tabla33610673[[#This Row],[Equity Peak]]-Tabla33610673[[#This Row],[Equity]])/Tabla33610673[[#This Row],[Equity Peak]],"")</f>
        <v>2.3077633157943321E-4</v>
      </c>
      <c r="V213" s="254">
        <f>IF(B213="FX",N213,0)</f>
        <v>-0.1</v>
      </c>
      <c r="W213" s="254">
        <f>IF(D213="O",IF(V213&lt;0,V213,0),0)</f>
        <v>0</v>
      </c>
      <c r="X213" s="254">
        <f>IF(B213="COM",N213,0)</f>
        <v>0</v>
      </c>
      <c r="Y213" s="254">
        <f>IF(D213="O",IF(X213&lt;0,X213,0),0)</f>
        <v>0</v>
      </c>
      <c r="Z213" s="254">
        <f>IF(B213="IND",N213,0)</f>
        <v>0</v>
      </c>
      <c r="AA213" s="250">
        <f>IF(D213="O",IF(Z213&lt;0,Z213,0),0)</f>
        <v>0</v>
      </c>
      <c r="AB213" s="254">
        <f>IF(B213="CRYPTO",N213,0)</f>
        <v>0</v>
      </c>
      <c r="AC213" s="250">
        <f>IF(D213="O",IF(AB213&lt;0,AB213,0),0)</f>
        <v>0</v>
      </c>
      <c r="AD213" s="255">
        <f>IF(K213&lt;&gt;"",K213-E213,0)</f>
        <v>1.3013888888890506</v>
      </c>
      <c r="AE213" s="255">
        <f>IF(N213&gt;0,AD213,0)</f>
        <v>0</v>
      </c>
      <c r="AF213" s="255">
        <f>IF(N213&lt;0,AD213,0)</f>
        <v>1.3013888888890506</v>
      </c>
      <c r="AG213" s="255">
        <f>IF(N213=0,AD213,0)</f>
        <v>0</v>
      </c>
    </row>
    <row r="214" spans="2:33" ht="15" customHeight="1" x14ac:dyDescent="0.3">
      <c r="B214" s="196" t="s">
        <v>5</v>
      </c>
      <c r="C214" s="197" t="s">
        <v>15</v>
      </c>
      <c r="D214" s="246" t="str">
        <f>IF(E214&lt;&gt;"",IF(K214&lt;&gt;"","C","O"),"")</f>
        <v>C</v>
      </c>
      <c r="E214" s="199">
        <v>44813.84375</v>
      </c>
      <c r="F214" s="200" t="s">
        <v>92</v>
      </c>
      <c r="G214" s="235">
        <v>12580.6</v>
      </c>
      <c r="H214" s="235">
        <v>12549.78</v>
      </c>
      <c r="I214" s="247">
        <f>ABS(G214-H214)</f>
        <v>30.819999999999709</v>
      </c>
      <c r="J214" s="235">
        <v>13155.87</v>
      </c>
      <c r="K214" s="199">
        <v>44816.788888888892</v>
      </c>
      <c r="L214" s="235">
        <v>12643.39</v>
      </c>
      <c r="M214" s="248">
        <f>ROUND(IF(C214="L",(L214-G214),(G214-L214)),4)</f>
        <v>62.79</v>
      </c>
      <c r="N214" s="249">
        <f>IFERROR(ROUND((M214/I214),2),"")</f>
        <v>2.04</v>
      </c>
      <c r="O214" s="250">
        <f>IF(D214="O",IF(N214&lt;0,N214,0),0)</f>
        <v>0</v>
      </c>
      <c r="P214" s="251">
        <f>IF(N214&gt;= 0,N214,0)</f>
        <v>2.04</v>
      </c>
      <c r="Q214" s="251">
        <f>IF(N214&lt;0,N214,0)</f>
        <v>0</v>
      </c>
      <c r="R2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43332</v>
      </c>
      <c r="T2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43332</v>
      </c>
      <c r="U21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14" s="254">
        <f>IF(B214="FX",N214,0)</f>
        <v>0</v>
      </c>
      <c r="W214" s="254">
        <f>IF(D214="O",IF(V214&lt;0,V214,0),0)</f>
        <v>0</v>
      </c>
      <c r="X214" s="254">
        <f>IF(B214="COM",N214,0)</f>
        <v>0</v>
      </c>
      <c r="Y214" s="254">
        <f>IF(D214="O",IF(X214&lt;0,X214,0),0)</f>
        <v>0</v>
      </c>
      <c r="Z214" s="254">
        <f>IF(B214="IND",N214,0)</f>
        <v>2.04</v>
      </c>
      <c r="AA214" s="250">
        <f>IF(D214="O",IF(Z214&lt;0,Z214,0),0)</f>
        <v>0</v>
      </c>
      <c r="AB214" s="254">
        <f>IF(B214="CRYPTO",N214,0)</f>
        <v>0</v>
      </c>
      <c r="AC214" s="250">
        <f>IF(D214="O",IF(AB214&lt;0,AB214,0),0)</f>
        <v>0</v>
      </c>
      <c r="AD214" s="255">
        <f>IF(K214&lt;&gt;"",K214-E214,0)</f>
        <v>2.945138888891961</v>
      </c>
      <c r="AE214" s="255">
        <f>IF(N214&gt;0,AD214,0)</f>
        <v>2.945138888891961</v>
      </c>
      <c r="AF214" s="255">
        <f>IF(N214&lt;0,AD214,0)</f>
        <v>0</v>
      </c>
      <c r="AG214" s="255">
        <f>IF(N214=0,AD214,0)</f>
        <v>0</v>
      </c>
    </row>
    <row r="215" spans="2:33" ht="15" customHeight="1" x14ac:dyDescent="0.3">
      <c r="B215" s="196" t="s">
        <v>5</v>
      </c>
      <c r="C215" s="197" t="s">
        <v>15</v>
      </c>
      <c r="D215" s="246" t="str">
        <f>IF(E215&lt;&gt;"",IF(K215&lt;&gt;"","C","O"),"")</f>
        <v>C</v>
      </c>
      <c r="E215" s="199">
        <v>44813.427083333336</v>
      </c>
      <c r="F215" s="200" t="s">
        <v>93</v>
      </c>
      <c r="G215" s="235">
        <v>12431</v>
      </c>
      <c r="H215" s="235">
        <v>12389.02</v>
      </c>
      <c r="I215" s="247">
        <f>ABS(G215-H215)</f>
        <v>41.979999999999563</v>
      </c>
      <c r="J215" s="235">
        <v>12878.74</v>
      </c>
      <c r="K215" s="199">
        <v>44816.788888888892</v>
      </c>
      <c r="L215" s="235">
        <v>12666.16</v>
      </c>
      <c r="M215" s="248">
        <f>ROUND(IF(C215="L",(L215-G215),(G215-L215)),4)</f>
        <v>235.16</v>
      </c>
      <c r="N215" s="249">
        <f>IFERROR(ROUND((M215/I215),2),"")</f>
        <v>5.6</v>
      </c>
      <c r="O215" s="250">
        <f>IF(D215="O",IF(N215&lt;0,N215,0),0)</f>
        <v>0</v>
      </c>
      <c r="P215" s="251">
        <f>IF(N215&gt;= 0,N215,0)</f>
        <v>5.6</v>
      </c>
      <c r="Q215" s="251">
        <f>IF(N215&lt;0,N215,0)</f>
        <v>0</v>
      </c>
      <c r="R2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43128</v>
      </c>
      <c r="T2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43128</v>
      </c>
      <c r="U21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15" s="254">
        <f>IF(B215="FX",N215,0)</f>
        <v>0</v>
      </c>
      <c r="W215" s="254">
        <f>IF(D215="O",IF(V215&lt;0,V215,0),0)</f>
        <v>0</v>
      </c>
      <c r="X215" s="254">
        <f>IF(B215="COM",N215,0)</f>
        <v>0</v>
      </c>
      <c r="Y215" s="254">
        <f>IF(D215="O",IF(X215&lt;0,X215,0),0)</f>
        <v>0</v>
      </c>
      <c r="Z215" s="254">
        <f>IF(B215="IND",N215,0)</f>
        <v>5.6</v>
      </c>
      <c r="AA215" s="250">
        <f>IF(D215="O",IF(Z215&lt;0,Z215,0),0)</f>
        <v>0</v>
      </c>
      <c r="AB215" s="254">
        <f>IF(B215="CRYPTO",N215,0)</f>
        <v>0</v>
      </c>
      <c r="AC215" s="250">
        <f>IF(D215="O",IF(AB215&lt;0,AB215,0),0)</f>
        <v>0</v>
      </c>
      <c r="AD215" s="255">
        <f>IF(K215&lt;&gt;"",K215-E215,0)</f>
        <v>3.3618055555562023</v>
      </c>
      <c r="AE215" s="255">
        <f>IF(N215&gt;0,AD215,0)</f>
        <v>3.3618055555562023</v>
      </c>
      <c r="AF215" s="255">
        <f>IF(N215&lt;0,AD215,0)</f>
        <v>0</v>
      </c>
      <c r="AG215" s="255">
        <f>IF(N215=0,AD215,0)</f>
        <v>0</v>
      </c>
    </row>
    <row r="216" spans="2:33" ht="15" customHeight="1" x14ac:dyDescent="0.3">
      <c r="B216" s="196" t="s">
        <v>7</v>
      </c>
      <c r="C216" s="197" t="s">
        <v>15</v>
      </c>
      <c r="D216" s="246" t="str">
        <f>IF(E216&lt;&gt;"",IF(K216&lt;&gt;"","C","O"),"")</f>
        <v>C</v>
      </c>
      <c r="E216" s="199">
        <v>44816.416666666664</v>
      </c>
      <c r="F216" s="200" t="s">
        <v>114</v>
      </c>
      <c r="G216" s="235">
        <v>1.0144500000000001</v>
      </c>
      <c r="H216" s="235">
        <v>1.0127900000000001</v>
      </c>
      <c r="I216" s="247">
        <f>ABS(G216-H216)</f>
        <v>1.6599999999999948E-3</v>
      </c>
      <c r="J216" s="235">
        <v>1.0294000000000001</v>
      </c>
      <c r="K216" s="199">
        <v>44816.541666666664</v>
      </c>
      <c r="L216" s="235">
        <v>1.01416</v>
      </c>
      <c r="M216" s="248">
        <f>ROUND(IF(C216="L",(L216-G216),(G216-L216)),4)</f>
        <v>-2.9999999999999997E-4</v>
      </c>
      <c r="N216" s="249">
        <f>IFERROR(ROUND((M216/I216),2),"")</f>
        <v>-0.18</v>
      </c>
      <c r="O216" s="250">
        <f>IF(D216="O",IF(N216&lt;0,N216,0),0)</f>
        <v>0</v>
      </c>
      <c r="P216" s="251">
        <f>IF(N216&gt;= 0,N216,0)</f>
        <v>0</v>
      </c>
      <c r="Q216" s="251">
        <f>IF(N216&lt;0,N216,0)</f>
        <v>-0.18</v>
      </c>
      <c r="R2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42568</v>
      </c>
      <c r="T2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42846</v>
      </c>
      <c r="U216" s="253">
        <f ca="1">IF(Tabla33610673[[#This Row],[Equity]]&lt;Tabla33610673[[#This Row],[Equity Peak]],(Tabla33610673[[#This Row],[Equity Peak]]-Tabla33610673[[#This Row],[Equity]])/Tabla33610673[[#This Row],[Equity Peak]],"")</f>
        <v>6.4883536386127058E-3</v>
      </c>
      <c r="V216" s="254">
        <f>IF(B216="FX",N216,0)</f>
        <v>-0.18</v>
      </c>
      <c r="W216" s="254">
        <f>IF(D216="O",IF(V216&lt;0,V216,0),0)</f>
        <v>0</v>
      </c>
      <c r="X216" s="254">
        <f>IF(B216="COM",N216,0)</f>
        <v>0</v>
      </c>
      <c r="Y216" s="254">
        <f>IF(D216="O",IF(X216&lt;0,X216,0),0)</f>
        <v>0</v>
      </c>
      <c r="Z216" s="254">
        <f>IF(B216="IND",N216,0)</f>
        <v>0</v>
      </c>
      <c r="AA216" s="250">
        <f>IF(D216="O",IF(Z216&lt;0,Z216,0),0)</f>
        <v>0</v>
      </c>
      <c r="AB216" s="254">
        <f>IF(B216="CRYPTO",N216,0)</f>
        <v>0</v>
      </c>
      <c r="AC216" s="250">
        <f>IF(D216="O",IF(AB216&lt;0,AB216,0),0)</f>
        <v>0</v>
      </c>
      <c r="AD216" s="255">
        <f>IF(K216&lt;&gt;"",K216-E216,0)</f>
        <v>0.125</v>
      </c>
      <c r="AE216" s="255">
        <f>IF(N216&gt;0,AD216,0)</f>
        <v>0</v>
      </c>
      <c r="AF216" s="255">
        <f>IF(N216&lt;0,AD216,0)</f>
        <v>0.125</v>
      </c>
      <c r="AG216" s="255">
        <f>IF(N216=0,AD216,0)</f>
        <v>0</v>
      </c>
    </row>
    <row r="217" spans="2:33" ht="15" customHeight="1" x14ac:dyDescent="0.3">
      <c r="B217" s="196" t="s">
        <v>5</v>
      </c>
      <c r="C217" s="197" t="s">
        <v>15</v>
      </c>
      <c r="D217" s="246" t="str">
        <f>IF(E217&lt;&gt;"",IF(K217&lt;&gt;"","C","O"),"")</f>
        <v>C</v>
      </c>
      <c r="E217" s="199">
        <v>44813.739583333336</v>
      </c>
      <c r="F217" s="200" t="s">
        <v>92</v>
      </c>
      <c r="G217" s="235">
        <v>12555.48</v>
      </c>
      <c r="H217" s="235">
        <v>12523.19</v>
      </c>
      <c r="I217" s="247">
        <f>ABS(G217-H217)</f>
        <v>32.289999999999054</v>
      </c>
      <c r="J217" s="235">
        <v>13158.16</v>
      </c>
      <c r="K217" s="199">
        <v>44813.757638888892</v>
      </c>
      <c r="L217" s="235">
        <v>12523.19</v>
      </c>
      <c r="M217" s="248">
        <f>ROUND(IF(C217="L",(L217-G217),(G217-L217)),4)</f>
        <v>-32.29</v>
      </c>
      <c r="N217" s="249">
        <f>IFERROR(ROUND((M217/I217),2),"")</f>
        <v>-1</v>
      </c>
      <c r="O217" s="250">
        <f>IF(D217="O",IF(N217&lt;0,N217,0),0)</f>
        <v>0</v>
      </c>
      <c r="P217" s="251">
        <f>IF(N217&gt;= 0,N217,0)</f>
        <v>0</v>
      </c>
      <c r="Q217" s="251">
        <f>IF(N217&lt;0,N217,0)</f>
        <v>-1</v>
      </c>
      <c r="R2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42586</v>
      </c>
      <c r="T2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42846</v>
      </c>
      <c r="U217" s="253">
        <f ca="1">IF(Tabla33610673[[#This Row],[Equity]]&lt;Tabla33610673[[#This Row],[Equity Peak]],(Tabla33610673[[#This Row],[Equity Peak]]-Tabla33610673[[#This Row],[Equity]])/Tabla33610673[[#This Row],[Equity Peak]],"")</f>
        <v>6.0682444102133221E-3</v>
      </c>
      <c r="V217" s="254">
        <f>IF(B217="FX",N217,0)</f>
        <v>0</v>
      </c>
      <c r="W217" s="254">
        <f>IF(D217="O",IF(V217&lt;0,V217,0),0)</f>
        <v>0</v>
      </c>
      <c r="X217" s="254">
        <f>IF(B217="COM",N217,0)</f>
        <v>0</v>
      </c>
      <c r="Y217" s="254">
        <f>IF(D217="O",IF(X217&lt;0,X217,0),0)</f>
        <v>0</v>
      </c>
      <c r="Z217" s="254">
        <f>IF(B217="IND",N217,0)</f>
        <v>-1</v>
      </c>
      <c r="AA217" s="250">
        <f>IF(D217="O",IF(Z217&lt;0,Z217,0),0)</f>
        <v>0</v>
      </c>
      <c r="AB217" s="254">
        <f>IF(B217="CRYPTO",N217,0)</f>
        <v>0</v>
      </c>
      <c r="AC217" s="250">
        <f>IF(D217="O",IF(AB217&lt;0,AB217,0),0)</f>
        <v>0</v>
      </c>
      <c r="AD217" s="255">
        <f>IF(K217&lt;&gt;"",K217-E217,0)</f>
        <v>1.8055555556202307E-2</v>
      </c>
      <c r="AE217" s="255">
        <f>IF(N217&gt;0,AD217,0)</f>
        <v>0</v>
      </c>
      <c r="AF217" s="255">
        <f>IF(N217&lt;0,AD217,0)</f>
        <v>1.8055555556202307E-2</v>
      </c>
      <c r="AG217" s="255">
        <f>IF(N217=0,AD217,0)</f>
        <v>0</v>
      </c>
    </row>
    <row r="218" spans="2:33" ht="15" customHeight="1" x14ac:dyDescent="0.3">
      <c r="B218" s="196" t="s">
        <v>7</v>
      </c>
      <c r="C218" s="197" t="s">
        <v>13</v>
      </c>
      <c r="D218" s="246" t="str">
        <f>IF(E218&lt;&gt;"",IF(K218&lt;&gt;"","C","O"),"")</f>
        <v>C</v>
      </c>
      <c r="E218" s="199">
        <v>44813.552083333336</v>
      </c>
      <c r="F218" s="200" t="s">
        <v>115</v>
      </c>
      <c r="G218" s="235">
        <v>164.67699999999999</v>
      </c>
      <c r="H218" s="235">
        <v>165.28200000000001</v>
      </c>
      <c r="I218" s="247">
        <f>ABS(G218-H218)</f>
        <v>0.60500000000001819</v>
      </c>
      <c r="J218" s="235">
        <v>162.94900000000001</v>
      </c>
      <c r="K218" s="199">
        <v>44813.69027777778</v>
      </c>
      <c r="L218" s="235">
        <v>165.12200000000001</v>
      </c>
      <c r="M218" s="248">
        <f>ROUND(IF(C218="L",(L218-G218),(G218-L218)),4)</f>
        <v>-0.44500000000000001</v>
      </c>
      <c r="N218" s="249">
        <f>IFERROR(ROUND((M218/I218),2),"")</f>
        <v>-0.74</v>
      </c>
      <c r="O218" s="250">
        <f>IF(D218="O",IF(N218&lt;0,N218,0),0)</f>
        <v>0</v>
      </c>
      <c r="P218" s="251">
        <f>IF(N218&gt;= 0,N218,0)</f>
        <v>0</v>
      </c>
      <c r="Q218" s="251">
        <f>IF(N218&lt;0,N218,0)</f>
        <v>-0.74</v>
      </c>
      <c r="R2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42686</v>
      </c>
      <c r="T2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42846</v>
      </c>
      <c r="U218" s="253">
        <f ca="1">IF(Tabla33610673[[#This Row],[Equity]]&lt;Tabla33610673[[#This Row],[Equity Peak]],(Tabla33610673[[#This Row],[Equity Peak]]-Tabla33610673[[#This Row],[Equity]])/Tabla33610673[[#This Row],[Equity Peak]],"")</f>
        <v>3.7343042524389677E-3</v>
      </c>
      <c r="V218" s="254">
        <f>IF(B218="FX",N218,0)</f>
        <v>-0.74</v>
      </c>
      <c r="W218" s="254">
        <f>IF(D218="O",IF(V218&lt;0,V218,0),0)</f>
        <v>0</v>
      </c>
      <c r="X218" s="254">
        <f>IF(B218="COM",N218,0)</f>
        <v>0</v>
      </c>
      <c r="Y218" s="254">
        <f>IF(D218="O",IF(X218&lt;0,X218,0),0)</f>
        <v>0</v>
      </c>
      <c r="Z218" s="254">
        <f>IF(B218="IND",N218,0)</f>
        <v>0</v>
      </c>
      <c r="AA218" s="250">
        <f>IF(D218="O",IF(Z218&lt;0,Z218,0),0)</f>
        <v>0</v>
      </c>
      <c r="AB218" s="254">
        <f>IF(B218="CRYPTO",N218,0)</f>
        <v>0</v>
      </c>
      <c r="AC218" s="250">
        <f>IF(D218="O",IF(AB218&lt;0,AB218,0),0)</f>
        <v>0</v>
      </c>
      <c r="AD218" s="255">
        <f>IF(K218&lt;&gt;"",K218-E218,0)</f>
        <v>0.13819444444379769</v>
      </c>
      <c r="AE218" s="255">
        <f>IF(N218&gt;0,AD218,0)</f>
        <v>0</v>
      </c>
      <c r="AF218" s="255">
        <f>IF(N218&lt;0,AD218,0)</f>
        <v>0.13819444444379769</v>
      </c>
      <c r="AG218" s="255">
        <f>IF(N218=0,AD218,0)</f>
        <v>0</v>
      </c>
    </row>
    <row r="219" spans="2:33" ht="15" customHeight="1" x14ac:dyDescent="0.3">
      <c r="B219" s="196" t="s">
        <v>7</v>
      </c>
      <c r="C219" s="197" t="s">
        <v>15</v>
      </c>
      <c r="D219" s="246" t="str">
        <f>IF(E219&lt;&gt;"",IF(K219&lt;&gt;"","C","O"),"")</f>
        <v>C</v>
      </c>
      <c r="E219" s="199">
        <v>44813.21875</v>
      </c>
      <c r="F219" s="200" t="s">
        <v>114</v>
      </c>
      <c r="G219" s="235">
        <v>1.0059199999999999</v>
      </c>
      <c r="H219" s="235">
        <v>1.00474</v>
      </c>
      <c r="I219" s="247">
        <f>ABS(G219-H219)</f>
        <v>1.1799999999999589E-3</v>
      </c>
      <c r="J219" s="235">
        <v>1.01657</v>
      </c>
      <c r="K219" s="199">
        <v>44813.59097222222</v>
      </c>
      <c r="L219" s="235">
        <v>1.0056700000000001</v>
      </c>
      <c r="M219" s="248">
        <f>ROUND(IF(C219="L",(L219-G219),(G219-L219)),4)</f>
        <v>-2.0000000000000001E-4</v>
      </c>
      <c r="N219" s="249">
        <f>IFERROR(ROUND((M219/I219),2),"")</f>
        <v>-0.17</v>
      </c>
      <c r="O219" s="250">
        <f>IF(D219="O",IF(N219&lt;0,N219,0),0)</f>
        <v>0</v>
      </c>
      <c r="P219" s="251">
        <f>IF(N219&gt;= 0,N219,0)</f>
        <v>0</v>
      </c>
      <c r="Q219" s="251">
        <f>IF(N219&lt;0,N219,0)</f>
        <v>-0.17</v>
      </c>
      <c r="R2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42760</v>
      </c>
      <c r="T2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42846</v>
      </c>
      <c r="U219" s="253">
        <f ca="1">IF(Tabla33610673[[#This Row],[Equity]]&lt;Tabla33610673[[#This Row],[Equity Peak]],(Tabla33610673[[#This Row],[Equity Peak]]-Tabla33610673[[#This Row],[Equity]])/Tabla33610673[[#This Row],[Equity Peak]],"")</f>
        <v>2.0071885356859448E-3</v>
      </c>
      <c r="V219" s="254">
        <f>IF(B219="FX",N219,0)</f>
        <v>-0.17</v>
      </c>
      <c r="W219" s="254">
        <f>IF(D219="O",IF(V219&lt;0,V219,0),0)</f>
        <v>0</v>
      </c>
      <c r="X219" s="254">
        <f>IF(B219="COM",N219,0)</f>
        <v>0</v>
      </c>
      <c r="Y219" s="254">
        <f>IF(D219="O",IF(X219&lt;0,X219,0),0)</f>
        <v>0</v>
      </c>
      <c r="Z219" s="254">
        <f>IF(B219="IND",N219,0)</f>
        <v>0</v>
      </c>
      <c r="AA219" s="250">
        <f>IF(D219="O",IF(Z219&lt;0,Z219,0),0)</f>
        <v>0</v>
      </c>
      <c r="AB219" s="254">
        <f>IF(B219="CRYPTO",N219,0)</f>
        <v>0</v>
      </c>
      <c r="AC219" s="250">
        <f>IF(D219="O",IF(AB219&lt;0,AB219,0),0)</f>
        <v>0</v>
      </c>
      <c r="AD219" s="255">
        <f>IF(K219&lt;&gt;"",K219-E219,0)</f>
        <v>0.37222222222044365</v>
      </c>
      <c r="AE219" s="255">
        <f>IF(N219&gt;0,AD219,0)</f>
        <v>0</v>
      </c>
      <c r="AF219" s="255">
        <f>IF(N219&lt;0,AD219,0)</f>
        <v>0.37222222222044365</v>
      </c>
      <c r="AG219" s="255">
        <f>IF(N219=0,AD219,0)</f>
        <v>0</v>
      </c>
    </row>
    <row r="220" spans="2:33" ht="15" customHeight="1" x14ac:dyDescent="0.3">
      <c r="B220" s="196" t="s">
        <v>5</v>
      </c>
      <c r="C220" s="197" t="s">
        <v>15</v>
      </c>
      <c r="D220" s="246" t="str">
        <f>IF(E220&lt;&gt;"",IF(K220&lt;&gt;"","C","O"),"")</f>
        <v>C</v>
      </c>
      <c r="E220" s="199">
        <v>44813.46875</v>
      </c>
      <c r="F220" s="200" t="s">
        <v>91</v>
      </c>
      <c r="G220" s="235">
        <v>13068.32</v>
      </c>
      <c r="H220" s="235">
        <v>13023.94</v>
      </c>
      <c r="I220" s="247">
        <f>ABS(G220-H220)</f>
        <v>44.3799999999992</v>
      </c>
      <c r="J220" s="235">
        <v>13896.67</v>
      </c>
      <c r="K220" s="199">
        <v>44813.544444444444</v>
      </c>
      <c r="L220" s="235">
        <v>13037.59</v>
      </c>
      <c r="M220" s="248">
        <f>ROUND(IF(C220="L",(L220-G220),(G220-L220)),4)</f>
        <v>-30.73</v>
      </c>
      <c r="N220" s="249">
        <f>IFERROR(ROUND((M220/I220),2),"")</f>
        <v>-0.69</v>
      </c>
      <c r="O220" s="250">
        <f>IF(D220="O",IF(N220&lt;0,N220,0),0)</f>
        <v>0</v>
      </c>
      <c r="P220" s="251">
        <f>IF(N220&gt;= 0,N220,0)</f>
        <v>0</v>
      </c>
      <c r="Q220" s="251">
        <f>IF(N220&lt;0,N220,0)</f>
        <v>-0.69</v>
      </c>
      <c r="R2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42777</v>
      </c>
      <c r="T2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42846</v>
      </c>
      <c r="U220" s="253">
        <f ca="1">IF(Tabla33610673[[#This Row],[Equity]]&lt;Tabla33610673[[#This Row],[Equity Peak]],(Tabla33610673[[#This Row],[Equity Peak]]-Tabla33610673[[#This Row],[Equity]])/Tabla33610673[[#This Row],[Equity Peak]],"")</f>
        <v>1.6104187088643047E-3</v>
      </c>
      <c r="V220" s="254">
        <f>IF(B220="FX",N220,0)</f>
        <v>0</v>
      </c>
      <c r="W220" s="254">
        <f>IF(D220="O",IF(V220&lt;0,V220,0),0)</f>
        <v>0</v>
      </c>
      <c r="X220" s="254">
        <f>IF(B220="COM",N220,0)</f>
        <v>0</v>
      </c>
      <c r="Y220" s="254">
        <f>IF(D220="O",IF(X220&lt;0,X220,0),0)</f>
        <v>0</v>
      </c>
      <c r="Z220" s="254">
        <f>IF(B220="IND",N220,0)</f>
        <v>-0.69</v>
      </c>
      <c r="AA220" s="250">
        <f>IF(D220="O",IF(Z220&lt;0,Z220,0),0)</f>
        <v>0</v>
      </c>
      <c r="AB220" s="254">
        <f>IF(B220="CRYPTO",N220,0)</f>
        <v>0</v>
      </c>
      <c r="AC220" s="250">
        <f>IF(D220="O",IF(AB220&lt;0,AB220,0),0)</f>
        <v>0</v>
      </c>
      <c r="AD220" s="255">
        <f>IF(K220&lt;&gt;"",K220-E220,0)</f>
        <v>7.5694444443797693E-2</v>
      </c>
      <c r="AE220" s="255">
        <f>IF(N220&gt;0,AD220,0)</f>
        <v>0</v>
      </c>
      <c r="AF220" s="255">
        <f>IF(N220&lt;0,AD220,0)</f>
        <v>7.5694444443797693E-2</v>
      </c>
      <c r="AG220" s="255">
        <f>IF(N220=0,AD220,0)</f>
        <v>0</v>
      </c>
    </row>
    <row r="221" spans="2:33" ht="15" customHeight="1" x14ac:dyDescent="0.3">
      <c r="B221" s="196" t="s">
        <v>7</v>
      </c>
      <c r="C221" s="197" t="s">
        <v>15</v>
      </c>
      <c r="D221" s="246" t="str">
        <f>IF(E221&lt;&gt;"",IF(K221&lt;&gt;"","C","O"),"")</f>
        <v>C</v>
      </c>
      <c r="E221" s="199">
        <v>44810.333333333336</v>
      </c>
      <c r="F221" s="200" t="s">
        <v>116</v>
      </c>
      <c r="G221" s="235">
        <v>140.93100000000001</v>
      </c>
      <c r="H221" s="235">
        <v>140.69200000000001</v>
      </c>
      <c r="I221" s="247">
        <f>ABS(G221-H221)</f>
        <v>0.23900000000000432</v>
      </c>
      <c r="J221" s="235">
        <v>143.41200000000001</v>
      </c>
      <c r="K221" s="199">
        <v>44811.07708333333</v>
      </c>
      <c r="L221" s="235">
        <v>143.41200000000001</v>
      </c>
      <c r="M221" s="248">
        <f>ROUND(IF(C221="L",(L221-G221),(G221-L221)),4)</f>
        <v>2.4809999999999999</v>
      </c>
      <c r="N221" s="249">
        <f>IFERROR(ROUND((M221/I221),2),"")</f>
        <v>10.38</v>
      </c>
      <c r="O221" s="250">
        <f>IF(D221="O",IF(N221&lt;0,N221,0),0)</f>
        <v>0</v>
      </c>
      <c r="P221" s="251">
        <f>IF(N221&gt;= 0,N221,0)</f>
        <v>10.38</v>
      </c>
      <c r="Q221" s="251">
        <f>IF(N221&lt;0,N221,0)</f>
        <v>0</v>
      </c>
      <c r="R2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42846</v>
      </c>
      <c r="T2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42846</v>
      </c>
      <c r="U22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21" s="254">
        <f>IF(B221="FX",N221,0)</f>
        <v>10.38</v>
      </c>
      <c r="W221" s="254">
        <f>IF(D221="O",IF(V221&lt;0,V221,0),0)</f>
        <v>0</v>
      </c>
      <c r="X221" s="254">
        <f>IF(B221="COM",N221,0)</f>
        <v>0</v>
      </c>
      <c r="Y221" s="254">
        <f>IF(D221="O",IF(X221&lt;0,X221,0),0)</f>
        <v>0</v>
      </c>
      <c r="Z221" s="254">
        <f>IF(B221="IND",N221,0)</f>
        <v>0</v>
      </c>
      <c r="AA221" s="250">
        <f>IF(D221="O",IF(Z221&lt;0,Z221,0),0)</f>
        <v>0</v>
      </c>
      <c r="AB221" s="254">
        <f>IF(B221="CRYPTO",N221,0)</f>
        <v>0</v>
      </c>
      <c r="AC221" s="250">
        <f>IF(D221="O",IF(AB221&lt;0,AB221,0),0)</f>
        <v>0</v>
      </c>
      <c r="AD221" s="255">
        <f>IF(K221&lt;&gt;"",K221-E221,0)</f>
        <v>0.74374999999417923</v>
      </c>
      <c r="AE221" s="255">
        <f>IF(N221&gt;0,AD221,0)</f>
        <v>0.74374999999417923</v>
      </c>
      <c r="AF221" s="255">
        <f>IF(N221&lt;0,AD221,0)</f>
        <v>0</v>
      </c>
      <c r="AG221" s="255">
        <f>IF(N221=0,AD221,0)</f>
        <v>0</v>
      </c>
    </row>
    <row r="222" spans="2:33" ht="15" customHeight="1" x14ac:dyDescent="0.3">
      <c r="B222" s="196" t="s">
        <v>5</v>
      </c>
      <c r="C222" s="197" t="s">
        <v>13</v>
      </c>
      <c r="D222" s="246" t="str">
        <f>IF(E222&lt;&gt;"",IF(K222&lt;&gt;"","C","O"),"")</f>
        <v>C</v>
      </c>
      <c r="E222" s="199">
        <v>44810.71875</v>
      </c>
      <c r="F222" s="200" t="s">
        <v>92</v>
      </c>
      <c r="G222" s="235">
        <v>11957.41</v>
      </c>
      <c r="H222" s="235">
        <v>11993.55</v>
      </c>
      <c r="I222" s="247">
        <f>ABS(G222-H222)</f>
        <v>36.139999999999418</v>
      </c>
      <c r="J222" s="235">
        <v>11282.88</v>
      </c>
      <c r="K222" s="199">
        <v>44810.728472222225</v>
      </c>
      <c r="L222" s="235">
        <v>11993.55</v>
      </c>
      <c r="M222" s="248">
        <f>ROUND(IF(C222="L",(L222-G222),(G222-L222)),4)</f>
        <v>-36.14</v>
      </c>
      <c r="N222" s="249">
        <f>IFERROR(ROUND((M222/I222),2),"")</f>
        <v>-1</v>
      </c>
      <c r="O222" s="250">
        <f>IF(D222="O",IF(N222&lt;0,N222,0),0)</f>
        <v>0</v>
      </c>
      <c r="P222" s="251">
        <f>IF(N222&gt;= 0,N222,0)</f>
        <v>0</v>
      </c>
      <c r="Q222" s="251">
        <f>IF(N222&lt;0,N222,0)</f>
        <v>-1</v>
      </c>
      <c r="R2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41808</v>
      </c>
      <c r="T2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2" s="253">
        <f ca="1">IF(Tabla33610673[[#This Row],[Equity]]&lt;Tabla33610673[[#This Row],[Equity Peak]],(Tabla33610673[[#This Row],[Equity Peak]]-Tabla33610673[[#This Row],[Equity]])/Tabla33610673[[#This Row],[Equity Peak]],"")</f>
        <v>1.7623008600028196E-2</v>
      </c>
      <c r="V222" s="254">
        <f>IF(B222="FX",N222,0)</f>
        <v>0</v>
      </c>
      <c r="W222" s="254">
        <f>IF(D222="O",IF(V222&lt;0,V222,0),0)</f>
        <v>0</v>
      </c>
      <c r="X222" s="254">
        <f>IF(B222="COM",N222,0)</f>
        <v>0</v>
      </c>
      <c r="Y222" s="254">
        <f>IF(D222="O",IF(X222&lt;0,X222,0),0)</f>
        <v>0</v>
      </c>
      <c r="Z222" s="254">
        <f>IF(B222="IND",N222,0)</f>
        <v>-1</v>
      </c>
      <c r="AA222" s="250">
        <f>IF(D222="O",IF(Z222&lt;0,Z222,0),0)</f>
        <v>0</v>
      </c>
      <c r="AB222" s="254">
        <f>IF(B222="CRYPTO",N222,0)</f>
        <v>0</v>
      </c>
      <c r="AC222" s="250">
        <f>IF(D222="O",IF(AB222&lt;0,AB222,0),0)</f>
        <v>0</v>
      </c>
      <c r="AD222" s="255">
        <f>IF(K222&lt;&gt;"",K222-E222,0)</f>
        <v>9.7222222248092294E-3</v>
      </c>
      <c r="AE222" s="255">
        <f>IF(N222&gt;0,AD222,0)</f>
        <v>0</v>
      </c>
      <c r="AF222" s="255">
        <f>IF(N222&lt;0,AD222,0)</f>
        <v>9.7222222248092294E-3</v>
      </c>
      <c r="AG222" s="255">
        <f>IF(N222=0,AD222,0)</f>
        <v>0</v>
      </c>
    </row>
    <row r="223" spans="2:33" ht="15" customHeight="1" x14ac:dyDescent="0.3">
      <c r="B223" s="196" t="s">
        <v>5</v>
      </c>
      <c r="C223" s="197" t="s">
        <v>13</v>
      </c>
      <c r="D223" s="246" t="str">
        <f>IF(E223&lt;&gt;"",IF(K223&lt;&gt;"","C","O"),"")</f>
        <v>C</v>
      </c>
      <c r="E223" s="199">
        <v>44810.71875</v>
      </c>
      <c r="F223" s="200" t="s">
        <v>93</v>
      </c>
      <c r="G223" s="235">
        <v>11957.41</v>
      </c>
      <c r="H223" s="235">
        <v>11992.45</v>
      </c>
      <c r="I223" s="247">
        <f>ABS(G223-H223)</f>
        <v>35.040000000000873</v>
      </c>
      <c r="J223" s="235">
        <v>11583.61</v>
      </c>
      <c r="K223" s="199">
        <v>44810.728472222225</v>
      </c>
      <c r="L223" s="235">
        <v>11992.45</v>
      </c>
      <c r="M223" s="248">
        <f>ROUND(IF(C223="L",(L223-G223),(G223-L223)),4)</f>
        <v>-35.04</v>
      </c>
      <c r="N223" s="249">
        <f>IFERROR(ROUND((M223/I223),2),"")</f>
        <v>-1</v>
      </c>
      <c r="O223" s="250">
        <f>IF(D223="O",IF(N223&lt;0,N223,0),0)</f>
        <v>0</v>
      </c>
      <c r="P223" s="251">
        <f>IF(N223&gt;= 0,N223,0)</f>
        <v>0</v>
      </c>
      <c r="Q223" s="251">
        <f>IF(N223&lt;0,N223,0)</f>
        <v>-1</v>
      </c>
      <c r="R2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41908</v>
      </c>
      <c r="T2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3" s="253">
        <f ca="1">IF(Tabla33610673[[#This Row],[Equity]]&lt;Tabla33610673[[#This Row],[Equity Peak]],(Tabla33610673[[#This Row],[Equity Peak]]-Tabla33610673[[#This Row],[Equity]])/Tabla33610673[[#This Row],[Equity Peak]],"")</f>
        <v>1.5273274120024436E-2</v>
      </c>
      <c r="V223" s="254">
        <f>IF(B223="FX",N223,0)</f>
        <v>0</v>
      </c>
      <c r="W223" s="254">
        <f>IF(D223="O",IF(V223&lt;0,V223,0),0)</f>
        <v>0</v>
      </c>
      <c r="X223" s="254">
        <f>IF(B223="COM",N223,0)</f>
        <v>0</v>
      </c>
      <c r="Y223" s="254">
        <f>IF(D223="O",IF(X223&lt;0,X223,0),0)</f>
        <v>0</v>
      </c>
      <c r="Z223" s="254">
        <f>IF(B223="IND",N223,0)</f>
        <v>-1</v>
      </c>
      <c r="AA223" s="250">
        <f>IF(D223="O",IF(Z223&lt;0,Z223,0),0)</f>
        <v>0</v>
      </c>
      <c r="AB223" s="254">
        <f>IF(B223="CRYPTO",N223,0)</f>
        <v>0</v>
      </c>
      <c r="AC223" s="250">
        <f>IF(D223="O",IF(AB223&lt;0,AB223,0),0)</f>
        <v>0</v>
      </c>
      <c r="AD223" s="255">
        <f>IF(K223&lt;&gt;"",K223-E223,0)</f>
        <v>9.7222222248092294E-3</v>
      </c>
      <c r="AE223" s="255">
        <f>IF(N223&gt;0,AD223,0)</f>
        <v>0</v>
      </c>
      <c r="AF223" s="255">
        <f>IF(N223&lt;0,AD223,0)</f>
        <v>9.7222222248092294E-3</v>
      </c>
      <c r="AG223" s="255">
        <f>IF(N223=0,AD223,0)</f>
        <v>0</v>
      </c>
    </row>
    <row r="224" spans="2:33" ht="15" customHeight="1" x14ac:dyDescent="0.3">
      <c r="B224" s="196" t="s">
        <v>7</v>
      </c>
      <c r="C224" s="197" t="s">
        <v>15</v>
      </c>
      <c r="D224" s="246" t="str">
        <f>IF(E224&lt;&gt;"",IF(K224&lt;&gt;"","C","O"),"")</f>
        <v>C</v>
      </c>
      <c r="E224" s="199">
        <v>44810.15625</v>
      </c>
      <c r="F224" s="200" t="s">
        <v>115</v>
      </c>
      <c r="G224" s="235">
        <v>162.57900000000001</v>
      </c>
      <c r="H224" s="235">
        <v>162.06800000000001</v>
      </c>
      <c r="I224" s="247">
        <f>ABS(G224-H224)</f>
        <v>0.51099999999999568</v>
      </c>
      <c r="J224" s="235">
        <v>164.04</v>
      </c>
      <c r="K224" s="199">
        <v>44810.426388888889</v>
      </c>
      <c r="L224" s="235">
        <v>164.04</v>
      </c>
      <c r="M224" s="248">
        <f>ROUND(IF(C224="L",(L224-G224),(G224-L224)),4)</f>
        <v>1.4610000000000001</v>
      </c>
      <c r="N224" s="249">
        <f>IFERROR(ROUND((M224/I224),2),"")</f>
        <v>2.86</v>
      </c>
      <c r="O224" s="250">
        <f>IF(D224="O",IF(N224&lt;0,N224,0),0)</f>
        <v>0</v>
      </c>
      <c r="P224" s="251">
        <f>IF(N224&gt;= 0,N224,0)</f>
        <v>2.86</v>
      </c>
      <c r="Q224" s="251">
        <f>IF(N224&lt;0,N224,0)</f>
        <v>0</v>
      </c>
      <c r="R2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42008</v>
      </c>
      <c r="T2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4" s="253">
        <f ca="1">IF(Tabla33610673[[#This Row],[Equity]]&lt;Tabla33610673[[#This Row],[Equity Peak]],(Tabla33610673[[#This Row],[Equity Peak]]-Tabla33610673[[#This Row],[Equity]])/Tabla33610673[[#This Row],[Equity Peak]],"")</f>
        <v>1.2923539640020678E-2</v>
      </c>
      <c r="V224" s="254">
        <f>IF(B224="FX",N224,0)</f>
        <v>2.86</v>
      </c>
      <c r="W224" s="254">
        <f>IF(D224="O",IF(V224&lt;0,V224,0),0)</f>
        <v>0</v>
      </c>
      <c r="X224" s="254">
        <f>IF(B224="COM",N224,0)</f>
        <v>0</v>
      </c>
      <c r="Y224" s="254">
        <f>IF(D224="O",IF(X224&lt;0,X224,0),0)</f>
        <v>0</v>
      </c>
      <c r="Z224" s="254">
        <f>IF(B224="IND",N224,0)</f>
        <v>0</v>
      </c>
      <c r="AA224" s="250">
        <f>IF(D224="O",IF(Z224&lt;0,Z224,0),0)</f>
        <v>0</v>
      </c>
      <c r="AB224" s="254">
        <f>IF(B224="CRYPTO",N224,0)</f>
        <v>0</v>
      </c>
      <c r="AC224" s="250">
        <f>IF(D224="O",IF(AB224&lt;0,AB224,0),0)</f>
        <v>0</v>
      </c>
      <c r="AD224" s="255">
        <f>IF(K224&lt;&gt;"",K224-E224,0)</f>
        <v>0.27013888888905058</v>
      </c>
      <c r="AE224" s="255">
        <f>IF(N224&gt;0,AD224,0)</f>
        <v>0.27013888888905058</v>
      </c>
      <c r="AF224" s="255">
        <f>IF(N224&lt;0,AD224,0)</f>
        <v>0</v>
      </c>
      <c r="AG224" s="255">
        <f>IF(N224=0,AD224,0)</f>
        <v>0</v>
      </c>
    </row>
    <row r="225" spans="2:33" ht="15" customHeight="1" x14ac:dyDescent="0.3">
      <c r="B225" s="196" t="s">
        <v>7</v>
      </c>
      <c r="C225" s="197" t="s">
        <v>13</v>
      </c>
      <c r="D225" s="246" t="str">
        <f>IF(E225&lt;&gt;"",IF(K225&lt;&gt;"","C","O"),"")</f>
        <v>C</v>
      </c>
      <c r="E225" s="199">
        <v>44809.017361111109</v>
      </c>
      <c r="F225" s="200" t="s">
        <v>115</v>
      </c>
      <c r="G225" s="235">
        <v>161.08699999999999</v>
      </c>
      <c r="H225" s="235">
        <v>161.608</v>
      </c>
      <c r="I225" s="247">
        <f>ABS(G225-H225)</f>
        <v>0.52100000000001501</v>
      </c>
      <c r="J225" s="235">
        <v>159.59899999999999</v>
      </c>
      <c r="K225" s="199">
        <v>44809.439583333333</v>
      </c>
      <c r="L225" s="235">
        <v>161.23599999999999</v>
      </c>
      <c r="M225" s="248">
        <f>ROUND(IF(C225="L",(L225-G225),(G225-L225)),4)</f>
        <v>-0.14899999999999999</v>
      </c>
      <c r="N225" s="249">
        <f>IFERROR(ROUND((M225/I225),2),"")</f>
        <v>-0.28999999999999998</v>
      </c>
      <c r="O225" s="250">
        <f>IF(D225="O",IF(N225&lt;0,N225,0),0)</f>
        <v>0</v>
      </c>
      <c r="P225" s="251">
        <f>IF(N225&gt;= 0,N225,0)</f>
        <v>0</v>
      </c>
      <c r="Q225" s="251">
        <f>IF(N225&lt;0,N225,0)</f>
        <v>-0.28999999999999998</v>
      </c>
      <c r="R2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41722</v>
      </c>
      <c r="T2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5" s="253">
        <f ca="1">IF(Tabla33610673[[#This Row],[Equity]]&lt;Tabla33610673[[#This Row],[Equity Peak]],(Tabla33610673[[#This Row],[Equity Peak]]-Tabla33610673[[#This Row],[Equity]])/Tabla33610673[[#This Row],[Equity Peak]],"")</f>
        <v>1.9643780252831429E-2</v>
      </c>
      <c r="V225" s="254">
        <f>IF(B225="FX",N225,0)</f>
        <v>-0.28999999999999998</v>
      </c>
      <c r="W225" s="254">
        <f>IF(D225="O",IF(V225&lt;0,V225,0),0)</f>
        <v>0</v>
      </c>
      <c r="X225" s="254">
        <f>IF(B225="COM",N225,0)</f>
        <v>0</v>
      </c>
      <c r="Y225" s="254">
        <f>IF(D225="O",IF(X225&lt;0,X225,0),0)</f>
        <v>0</v>
      </c>
      <c r="Z225" s="254">
        <f>IF(B225="IND",N225,0)</f>
        <v>0</v>
      </c>
      <c r="AA225" s="250">
        <f>IF(D225="O",IF(Z225&lt;0,Z225,0),0)</f>
        <v>0</v>
      </c>
      <c r="AB225" s="254">
        <f>IF(B225="CRYPTO",N225,0)</f>
        <v>0</v>
      </c>
      <c r="AC225" s="250">
        <f>IF(D225="O",IF(AB225&lt;0,AB225,0),0)</f>
        <v>0</v>
      </c>
      <c r="AD225" s="255">
        <f>IF(K225&lt;&gt;"",K225-E225,0)</f>
        <v>0.42222222222335404</v>
      </c>
      <c r="AE225" s="255">
        <f>IF(N225&gt;0,AD225,0)</f>
        <v>0</v>
      </c>
      <c r="AF225" s="255">
        <f>IF(N225&lt;0,AD225,0)</f>
        <v>0.42222222222335404</v>
      </c>
      <c r="AG225" s="255">
        <f>IF(N225=0,AD225,0)</f>
        <v>0</v>
      </c>
    </row>
    <row r="226" spans="2:33" ht="15" customHeight="1" x14ac:dyDescent="0.3">
      <c r="B226" s="196" t="s">
        <v>7</v>
      </c>
      <c r="C226" s="197" t="s">
        <v>13</v>
      </c>
      <c r="D226" s="246" t="str">
        <f>IF(E226&lt;&gt;"",IF(K226&lt;&gt;"","C","O"),"")</f>
        <v>C</v>
      </c>
      <c r="E226" s="199">
        <v>44809.34375</v>
      </c>
      <c r="F226" s="200" t="s">
        <v>114</v>
      </c>
      <c r="G226" s="235">
        <v>0.98863999999999996</v>
      </c>
      <c r="H226" s="235">
        <v>0.99021999999999999</v>
      </c>
      <c r="I226" s="247">
        <f>ABS(G226-H226)</f>
        <v>1.5800000000000258E-3</v>
      </c>
      <c r="J226" s="235">
        <v>0.97445999999999999</v>
      </c>
      <c r="K226" s="199">
        <v>44809.39166666667</v>
      </c>
      <c r="L226" s="235">
        <v>0.99021999999999999</v>
      </c>
      <c r="M226" s="248">
        <f>ROUND(IF(C226="L",(L226-G226),(G226-L226)),4)</f>
        <v>-1.6000000000000001E-3</v>
      </c>
      <c r="N226" s="249">
        <f>IFERROR(ROUND((M226/I226),2),"")</f>
        <v>-1.01</v>
      </c>
      <c r="O226" s="250">
        <f>IF(D226="O",IF(N226&lt;0,N226,0),0)</f>
        <v>0</v>
      </c>
      <c r="P226" s="251">
        <f>IF(N226&gt;= 0,N226,0)</f>
        <v>0</v>
      </c>
      <c r="Q226" s="251">
        <f>IF(N226&lt;0,N226,0)</f>
        <v>-1.01</v>
      </c>
      <c r="R2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41751</v>
      </c>
      <c r="T2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6" s="253">
        <f ca="1">IF(Tabla33610673[[#This Row],[Equity]]&lt;Tabla33610673[[#This Row],[Equity Peak]],(Tabla33610673[[#This Row],[Equity Peak]]-Tabla33610673[[#This Row],[Equity]])/Tabla33610673[[#This Row],[Equity Peak]],"")</f>
        <v>1.8962357253630338E-2</v>
      </c>
      <c r="V226" s="254">
        <f>IF(B226="FX",N226,0)</f>
        <v>-1.01</v>
      </c>
      <c r="W226" s="254">
        <f>IF(D226="O",IF(V226&lt;0,V226,0),0)</f>
        <v>0</v>
      </c>
      <c r="X226" s="254">
        <f>IF(B226="COM",N226,0)</f>
        <v>0</v>
      </c>
      <c r="Y226" s="254">
        <f>IF(D226="O",IF(X226&lt;0,X226,0),0)</f>
        <v>0</v>
      </c>
      <c r="Z226" s="254">
        <f>IF(B226="IND",N226,0)</f>
        <v>0</v>
      </c>
      <c r="AA226" s="250">
        <f>IF(D226="O",IF(Z226&lt;0,Z226,0),0)</f>
        <v>0</v>
      </c>
      <c r="AB226" s="254">
        <f>IF(B226="CRYPTO",N226,0)</f>
        <v>0</v>
      </c>
      <c r="AC226" s="250">
        <f>IF(D226="O",IF(AB226&lt;0,AB226,0),0)</f>
        <v>0</v>
      </c>
      <c r="AD226" s="255">
        <f>IF(K226&lt;&gt;"",K226-E226,0)</f>
        <v>4.7916666670062114E-2</v>
      </c>
      <c r="AE226" s="255">
        <f>IF(N226&gt;0,AD226,0)</f>
        <v>0</v>
      </c>
      <c r="AF226" s="255">
        <f>IF(N226&lt;0,AD226,0)</f>
        <v>4.7916666670062114E-2</v>
      </c>
      <c r="AG226" s="255">
        <f>IF(N226=0,AD226,0)</f>
        <v>0</v>
      </c>
    </row>
    <row r="227" spans="2:33" ht="15" customHeight="1" x14ac:dyDescent="0.3">
      <c r="B227" s="196" t="s">
        <v>5</v>
      </c>
      <c r="C227" s="197" t="s">
        <v>13</v>
      </c>
      <c r="D227" s="246" t="str">
        <f>IF(E227&lt;&gt;"",IF(K227&lt;&gt;"","C","O"),"")</f>
        <v>C</v>
      </c>
      <c r="E227" s="199">
        <v>44809.15625</v>
      </c>
      <c r="F227" s="200" t="s">
        <v>91</v>
      </c>
      <c r="G227" s="235">
        <v>12598.42</v>
      </c>
      <c r="H227" s="235">
        <v>12646.79</v>
      </c>
      <c r="I227" s="247">
        <f>ABS(G227-H227)</f>
        <v>48.3700000000008</v>
      </c>
      <c r="J227" s="235">
        <v>11695.51</v>
      </c>
      <c r="K227" s="199">
        <v>44809.281944444447</v>
      </c>
      <c r="L227" s="235">
        <v>12646.79</v>
      </c>
      <c r="M227" s="248">
        <f>ROUND(IF(C227="L",(L227-G227),(G227-L227)),4)</f>
        <v>-48.37</v>
      </c>
      <c r="N227" s="249">
        <f>IFERROR(ROUND((M227/I227),2),"")</f>
        <v>-1</v>
      </c>
      <c r="O227" s="250">
        <f>IF(D227="O",IF(N227&lt;0,N227,0),0)</f>
        <v>0</v>
      </c>
      <c r="P227" s="251">
        <f>IF(N227&gt;= 0,N227,0)</f>
        <v>0</v>
      </c>
      <c r="Q227" s="251">
        <f>IF(N227&lt;0,N227,0)</f>
        <v>-1</v>
      </c>
      <c r="R2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41852</v>
      </c>
      <c r="T2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7" s="253">
        <f ca="1">IF(Tabla33610673[[#This Row],[Equity]]&lt;Tabla33610673[[#This Row],[Equity Peak]],(Tabla33610673[[#This Row],[Equity Peak]]-Tabla33610673[[#This Row],[Equity]])/Tabla33610673[[#This Row],[Equity Peak]],"")</f>
        <v>1.6589125428826543E-2</v>
      </c>
      <c r="V227" s="254">
        <f>IF(B227="FX",N227,0)</f>
        <v>0</v>
      </c>
      <c r="W227" s="254">
        <f>IF(D227="O",IF(V227&lt;0,V227,0),0)</f>
        <v>0</v>
      </c>
      <c r="X227" s="254">
        <f>IF(B227="COM",N227,0)</f>
        <v>0</v>
      </c>
      <c r="Y227" s="254">
        <f>IF(D227="O",IF(X227&lt;0,X227,0),0)</f>
        <v>0</v>
      </c>
      <c r="Z227" s="254">
        <f>IF(B227="IND",N227,0)</f>
        <v>-1</v>
      </c>
      <c r="AA227" s="250">
        <f>IF(D227="O",IF(Z227&lt;0,Z227,0),0)</f>
        <v>0</v>
      </c>
      <c r="AB227" s="254">
        <f>IF(B227="CRYPTO",N227,0)</f>
        <v>0</v>
      </c>
      <c r="AC227" s="250">
        <f>IF(D227="O",IF(AB227&lt;0,AB227,0),0)</f>
        <v>0</v>
      </c>
      <c r="AD227" s="255">
        <f>IF(K227&lt;&gt;"",K227-E227,0)</f>
        <v>0.12569444444670808</v>
      </c>
      <c r="AE227" s="255">
        <f>IF(N227&gt;0,AD227,0)</f>
        <v>0</v>
      </c>
      <c r="AF227" s="255">
        <f>IF(N227&lt;0,AD227,0)</f>
        <v>0.12569444444670808</v>
      </c>
      <c r="AG227" s="255">
        <f>IF(N227=0,AD227,0)</f>
        <v>0</v>
      </c>
    </row>
    <row r="228" spans="2:33" ht="15" customHeight="1" x14ac:dyDescent="0.3">
      <c r="B228" s="196" t="s">
        <v>7</v>
      </c>
      <c r="C228" s="197" t="s">
        <v>13</v>
      </c>
      <c r="D228" s="246" t="str">
        <f>IF(E228&lt;&gt;"",IF(K228&lt;&gt;"","C","O"),"")</f>
        <v>C</v>
      </c>
      <c r="E228" s="199">
        <v>44809.0625</v>
      </c>
      <c r="F228" s="200" t="s">
        <v>114</v>
      </c>
      <c r="G228" s="235">
        <v>0.99094000000000004</v>
      </c>
      <c r="H228" s="235">
        <v>0.99287999999999998</v>
      </c>
      <c r="I228" s="247">
        <f>ABS(G228-H228)</f>
        <v>1.9399999999999418E-3</v>
      </c>
      <c r="J228" s="235">
        <v>0.97348999999999997</v>
      </c>
      <c r="K228" s="199">
        <v>44809.129861111112</v>
      </c>
      <c r="L228" s="235">
        <v>0.99287999999999998</v>
      </c>
      <c r="M228" s="248">
        <f>ROUND(IF(C228="L",(L228-G228),(G228-L228)),4)</f>
        <v>-1.9E-3</v>
      </c>
      <c r="N228" s="249">
        <f>IFERROR(ROUND((M228/I228),2),"")</f>
        <v>-0.98</v>
      </c>
      <c r="O228" s="250">
        <f>IF(D228="O",IF(N228&lt;0,N228,0),0)</f>
        <v>0</v>
      </c>
      <c r="P228" s="251">
        <f>IF(N228&gt;= 0,N228,0)</f>
        <v>0</v>
      </c>
      <c r="Q228" s="251">
        <f>IF(N228&lt;0,N228,0)</f>
        <v>-0.98</v>
      </c>
      <c r="R2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41952</v>
      </c>
      <c r="T2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8" s="253">
        <f ca="1">IF(Tabla33610673[[#This Row],[Equity]]&lt;Tabla33610673[[#This Row],[Equity Peak]],(Tabla33610673[[#This Row],[Equity Peak]]-Tabla33610673[[#This Row],[Equity]])/Tabla33610673[[#This Row],[Equity Peak]],"")</f>
        <v>1.4239390948822784E-2</v>
      </c>
      <c r="V228" s="254">
        <f>IF(B228="FX",N228,0)</f>
        <v>-0.98</v>
      </c>
      <c r="W228" s="254">
        <f>IF(D228="O",IF(V228&lt;0,V228,0),0)</f>
        <v>0</v>
      </c>
      <c r="X228" s="254">
        <f>IF(B228="COM",N228,0)</f>
        <v>0</v>
      </c>
      <c r="Y228" s="254">
        <f>IF(D228="O",IF(X228&lt;0,X228,0),0)</f>
        <v>0</v>
      </c>
      <c r="Z228" s="254">
        <f>IF(B228="IND",N228,0)</f>
        <v>0</v>
      </c>
      <c r="AA228" s="250">
        <f>IF(D228="O",IF(Z228&lt;0,Z228,0),0)</f>
        <v>0</v>
      </c>
      <c r="AB228" s="254">
        <f>IF(B228="CRYPTO",N228,0)</f>
        <v>0</v>
      </c>
      <c r="AC228" s="250">
        <f>IF(D228="O",IF(AB228&lt;0,AB228,0),0)</f>
        <v>0</v>
      </c>
      <c r="AD228" s="255">
        <f>IF(K228&lt;&gt;"",K228-E228,0)</f>
        <v>6.7361111112404615E-2</v>
      </c>
      <c r="AE228" s="255">
        <f>IF(N228&gt;0,AD228,0)</f>
        <v>0</v>
      </c>
      <c r="AF228" s="255">
        <f>IF(N228&lt;0,AD228,0)</f>
        <v>6.7361111112404615E-2</v>
      </c>
      <c r="AG228" s="255">
        <f>IF(N228=0,AD228,0)</f>
        <v>0</v>
      </c>
    </row>
    <row r="229" spans="2:33" ht="15" customHeight="1" x14ac:dyDescent="0.3">
      <c r="B229" s="196" t="s">
        <v>7</v>
      </c>
      <c r="C229" s="197" t="s">
        <v>15</v>
      </c>
      <c r="D229" s="246" t="str">
        <f>IF(E229&lt;&gt;"",IF(K229&lt;&gt;"","C","O"),"")</f>
        <v>C</v>
      </c>
      <c r="E229" s="199">
        <v>44805.90625</v>
      </c>
      <c r="F229" s="200" t="s">
        <v>115</v>
      </c>
      <c r="G229" s="235">
        <v>161.786</v>
      </c>
      <c r="H229" s="235">
        <v>161.256</v>
      </c>
      <c r="I229" s="247">
        <f>ABS(G229-H229)</f>
        <v>0.53000000000000114</v>
      </c>
      <c r="J229" s="235">
        <v>163.30099999999999</v>
      </c>
      <c r="K229" s="199">
        <v>44806.703472222223</v>
      </c>
      <c r="L229" s="235">
        <v>161.78299999999999</v>
      </c>
      <c r="M229" s="248">
        <f>ROUND(IF(C229="L",(L229-G229),(G229-L229)),4)</f>
        <v>-3.0000000000000001E-3</v>
      </c>
      <c r="N229" s="249">
        <f>IFERROR(ROUND((M229/I229),2),"")</f>
        <v>-0.01</v>
      </c>
      <c r="O229" s="250">
        <f>IF(D229="O",IF(N229&lt;0,N229,0),0)</f>
        <v>0</v>
      </c>
      <c r="P229" s="251">
        <f>IF(N229&gt;= 0,N229,0)</f>
        <v>0</v>
      </c>
      <c r="Q229" s="251">
        <f>IF(N229&lt;0,N229,0)</f>
        <v>-0.01</v>
      </c>
      <c r="R2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42050</v>
      </c>
      <c r="T2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29" s="253">
        <f ca="1">IF(Tabla33610673[[#This Row],[Equity]]&lt;Tabla33610673[[#This Row],[Equity Peak]],(Tabla33610673[[#This Row],[Equity Peak]]-Tabla33610673[[#This Row],[Equity]])/Tabla33610673[[#This Row],[Equity Peak]],"")</f>
        <v>1.1936651158419099E-2</v>
      </c>
      <c r="V229" s="254">
        <f>IF(B229="FX",N229,0)</f>
        <v>-0.01</v>
      </c>
      <c r="W229" s="254">
        <f>IF(D229="O",IF(V229&lt;0,V229,0),0)</f>
        <v>0</v>
      </c>
      <c r="X229" s="254">
        <f>IF(B229="COM",N229,0)</f>
        <v>0</v>
      </c>
      <c r="Y229" s="254">
        <f>IF(D229="O",IF(X229&lt;0,X229,0),0)</f>
        <v>0</v>
      </c>
      <c r="Z229" s="254">
        <f>IF(B229="IND",N229,0)</f>
        <v>0</v>
      </c>
      <c r="AA229" s="250">
        <f>IF(D229="O",IF(Z229&lt;0,Z229,0),0)</f>
        <v>0</v>
      </c>
      <c r="AB229" s="254">
        <f>IF(B229="CRYPTO",N229,0)</f>
        <v>0</v>
      </c>
      <c r="AC229" s="250">
        <f>IF(D229="O",IF(AB229&lt;0,AB229,0),0)</f>
        <v>0</v>
      </c>
      <c r="AD229" s="255">
        <f>IF(K229&lt;&gt;"",K229-E229,0)</f>
        <v>0.79722222222335404</v>
      </c>
      <c r="AE229" s="255">
        <f>IF(N229&gt;0,AD229,0)</f>
        <v>0</v>
      </c>
      <c r="AF229" s="255">
        <f>IF(N229&lt;0,AD229,0)</f>
        <v>0.79722222222335404</v>
      </c>
      <c r="AG229" s="255">
        <f>IF(N229=0,AD229,0)</f>
        <v>0</v>
      </c>
    </row>
    <row r="230" spans="2:33" ht="15" customHeight="1" x14ac:dyDescent="0.3">
      <c r="B230" s="196" t="s">
        <v>19</v>
      </c>
      <c r="C230" s="197" t="s">
        <v>13</v>
      </c>
      <c r="D230" s="246" t="str">
        <f>IF(E230&lt;&gt;"",IF(K230&lt;&gt;"","C","O"),"")</f>
        <v>C</v>
      </c>
      <c r="E230" s="199">
        <v>44805.177083333336</v>
      </c>
      <c r="F230" s="200" t="s">
        <v>88</v>
      </c>
      <c r="G230" s="235">
        <v>1705.42</v>
      </c>
      <c r="H230" s="235">
        <v>1708.83</v>
      </c>
      <c r="I230" s="247">
        <f>ABS(G230-H230)</f>
        <v>3.4099999999998545</v>
      </c>
      <c r="J230" s="235">
        <v>1664.51</v>
      </c>
      <c r="K230" s="199">
        <v>44806.517361111109</v>
      </c>
      <c r="L230" s="235">
        <v>1705.37</v>
      </c>
      <c r="M230" s="248">
        <f>ROUND(IF(C230="L",(L230-G230),(G230-L230)),4)</f>
        <v>0.05</v>
      </c>
      <c r="N230" s="249">
        <f>IFERROR(ROUND((M230/I230),2),"")</f>
        <v>0.01</v>
      </c>
      <c r="O230" s="250">
        <f>IF(D230="O",IF(N230&lt;0,N230,0),0)</f>
        <v>0</v>
      </c>
      <c r="P230" s="251">
        <f>IF(N230&gt;= 0,N230,0)</f>
        <v>0.01</v>
      </c>
      <c r="Q230" s="251">
        <f>IF(N230&lt;0,N230,0)</f>
        <v>0</v>
      </c>
      <c r="R2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42051</v>
      </c>
      <c r="T2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0" s="253">
        <f ca="1">IF(Tabla33610673[[#This Row],[Equity]]&lt;Tabla33610673[[#This Row],[Equity Peak]],(Tabla33610673[[#This Row],[Equity Peak]]-Tabla33610673[[#This Row],[Equity]])/Tabla33610673[[#This Row],[Equity Peak]],"")</f>
        <v>1.191315381361906E-2</v>
      </c>
      <c r="V230" s="254">
        <f>IF(B230="FX",N230,0)</f>
        <v>0</v>
      </c>
      <c r="W230" s="254">
        <f>IF(D230="O",IF(V230&lt;0,V230,0),0)</f>
        <v>0</v>
      </c>
      <c r="X230" s="254">
        <f>IF(B230="COM",N230,0)</f>
        <v>0.01</v>
      </c>
      <c r="Y230" s="254">
        <f>IF(D230="O",IF(X230&lt;0,X230,0),0)</f>
        <v>0</v>
      </c>
      <c r="Z230" s="254">
        <f>IF(B230="IND",N230,0)</f>
        <v>0</v>
      </c>
      <c r="AA230" s="250">
        <f>IF(D230="O",IF(Z230&lt;0,Z230,0),0)</f>
        <v>0</v>
      </c>
      <c r="AB230" s="254">
        <f>IF(B230="CRYPTO",N230,0)</f>
        <v>0</v>
      </c>
      <c r="AC230" s="250">
        <f>IF(D230="O",IF(AB230&lt;0,AB230,0),0)</f>
        <v>0</v>
      </c>
      <c r="AD230" s="255">
        <f>IF(K230&lt;&gt;"",K230-E230,0)</f>
        <v>1.3402777777737356</v>
      </c>
      <c r="AE230" s="255">
        <f>IF(N230&gt;0,AD230,0)</f>
        <v>1.3402777777737356</v>
      </c>
      <c r="AF230" s="255">
        <f>IF(N230&lt;0,AD230,0)</f>
        <v>0</v>
      </c>
      <c r="AG230" s="255">
        <f>IF(N230=0,AD230,0)</f>
        <v>0</v>
      </c>
    </row>
    <row r="231" spans="2:33" ht="15" customHeight="1" x14ac:dyDescent="0.3">
      <c r="B231" s="196" t="s">
        <v>5</v>
      </c>
      <c r="C231" s="197" t="s">
        <v>13</v>
      </c>
      <c r="D231" s="246" t="str">
        <f>IF(E231&lt;&gt;"",IF(K231&lt;&gt;"","C","O"),"")</f>
        <v>C</v>
      </c>
      <c r="E231" s="199">
        <v>44805.0625</v>
      </c>
      <c r="F231" s="200" t="s">
        <v>92</v>
      </c>
      <c r="G231" s="235">
        <v>12210.98</v>
      </c>
      <c r="H231" s="235">
        <v>12260.15</v>
      </c>
      <c r="I231" s="247">
        <f>ABS(G231-H231)</f>
        <v>49.170000000000073</v>
      </c>
      <c r="J231" s="235">
        <v>11293.19</v>
      </c>
      <c r="K231" s="199">
        <v>44805.893750000003</v>
      </c>
      <c r="L231" s="235">
        <v>12165.12</v>
      </c>
      <c r="M231" s="248">
        <f>ROUND(IF(C231="L",(L231-G231),(G231-L231)),4)</f>
        <v>45.86</v>
      </c>
      <c r="N231" s="249">
        <f>IFERROR(ROUND((M231/I231),2),"")</f>
        <v>0.93</v>
      </c>
      <c r="O231" s="250">
        <f>IF(D231="O",IF(N231&lt;0,N231,0),0)</f>
        <v>0</v>
      </c>
      <c r="P231" s="251">
        <f>IF(N231&gt;= 0,N231,0)</f>
        <v>0.93</v>
      </c>
      <c r="Q231" s="251">
        <f>IF(N231&lt;0,N231,0)</f>
        <v>0</v>
      </c>
      <c r="R2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42050</v>
      </c>
      <c r="T2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1" s="253">
        <f ca="1">IF(Tabla33610673[[#This Row],[Equity]]&lt;Tabla33610673[[#This Row],[Equity Peak]],(Tabla33610673[[#This Row],[Equity Peak]]-Tabla33610673[[#This Row],[Equity]])/Tabla33610673[[#This Row],[Equity Peak]],"")</f>
        <v>1.1936651158419099E-2</v>
      </c>
      <c r="V231" s="254">
        <f>IF(B231="FX",N231,0)</f>
        <v>0</v>
      </c>
      <c r="W231" s="254">
        <f>IF(D231="O",IF(V231&lt;0,V231,0),0)</f>
        <v>0</v>
      </c>
      <c r="X231" s="254">
        <f>IF(B231="COM",N231,0)</f>
        <v>0</v>
      </c>
      <c r="Y231" s="254">
        <f>IF(D231="O",IF(X231&lt;0,X231,0),0)</f>
        <v>0</v>
      </c>
      <c r="Z231" s="254">
        <f>IF(B231="IND",N231,0)</f>
        <v>0.93</v>
      </c>
      <c r="AA231" s="250">
        <f>IF(D231="O",IF(Z231&lt;0,Z231,0),0)</f>
        <v>0</v>
      </c>
      <c r="AB231" s="254">
        <f>IF(B231="CRYPTO",N231,0)</f>
        <v>0</v>
      </c>
      <c r="AC231" s="250">
        <f>IF(D231="O",IF(AB231&lt;0,AB231,0),0)</f>
        <v>0</v>
      </c>
      <c r="AD231" s="255">
        <f>IF(K231&lt;&gt;"",K231-E231,0)</f>
        <v>0.83125000000291038</v>
      </c>
      <c r="AE231" s="255">
        <f>IF(N231&gt;0,AD231,0)</f>
        <v>0.83125000000291038</v>
      </c>
      <c r="AF231" s="255">
        <f>IF(N231&lt;0,AD231,0)</f>
        <v>0</v>
      </c>
      <c r="AG231" s="255">
        <f>IF(N231=0,AD231,0)</f>
        <v>0</v>
      </c>
    </row>
    <row r="232" spans="2:33" ht="15" customHeight="1" x14ac:dyDescent="0.3">
      <c r="B232" s="196" t="s">
        <v>5</v>
      </c>
      <c r="C232" s="197" t="s">
        <v>13</v>
      </c>
      <c r="D232" s="246" t="str">
        <f>IF(E232&lt;&gt;"",IF(K232&lt;&gt;"","C","O"),"")</f>
        <v>C</v>
      </c>
      <c r="E232" s="199">
        <v>44805.0625</v>
      </c>
      <c r="F232" s="200" t="s">
        <v>93</v>
      </c>
      <c r="G232" s="235">
        <v>12210.98</v>
      </c>
      <c r="H232" s="235">
        <v>12257.27</v>
      </c>
      <c r="I232" s="247">
        <f>ABS(G232-H232)</f>
        <v>46.290000000000873</v>
      </c>
      <c r="J232" s="235">
        <v>11717.25</v>
      </c>
      <c r="K232" s="199">
        <v>44805.88958333333</v>
      </c>
      <c r="L232" s="235">
        <v>12125.14</v>
      </c>
      <c r="M232" s="248">
        <f>ROUND(IF(C232="L",(L232-G232),(G232-L232)),4)</f>
        <v>85.84</v>
      </c>
      <c r="N232" s="249">
        <f>IFERROR(ROUND((M232/I232),2),"")</f>
        <v>1.85</v>
      </c>
      <c r="O232" s="250">
        <f>IF(D232="O",IF(N232&lt;0,N232,0),0)</f>
        <v>0</v>
      </c>
      <c r="P232" s="251">
        <f>IF(N232&gt;= 0,N232,0)</f>
        <v>1.85</v>
      </c>
      <c r="Q232" s="251">
        <f>IF(N232&lt;0,N232,0)</f>
        <v>0</v>
      </c>
      <c r="R2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41957</v>
      </c>
      <c r="T2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2" s="253">
        <f ca="1">IF(Tabla33610673[[#This Row],[Equity]]&lt;Tabla33610673[[#This Row],[Equity Peak]],(Tabla33610673[[#This Row],[Equity Peak]]-Tabla33610673[[#This Row],[Equity]])/Tabla33610673[[#This Row],[Equity Peak]],"")</f>
        <v>1.4121904224822596E-2</v>
      </c>
      <c r="V232" s="254">
        <f>IF(B232="FX",N232,0)</f>
        <v>0</v>
      </c>
      <c r="W232" s="254">
        <f>IF(D232="O",IF(V232&lt;0,V232,0),0)</f>
        <v>0</v>
      </c>
      <c r="X232" s="254">
        <f>IF(B232="COM",N232,0)</f>
        <v>0</v>
      </c>
      <c r="Y232" s="254">
        <f>IF(D232="O",IF(X232&lt;0,X232,0),0)</f>
        <v>0</v>
      </c>
      <c r="Z232" s="254">
        <f>IF(B232="IND",N232,0)</f>
        <v>1.85</v>
      </c>
      <c r="AA232" s="250">
        <f>IF(D232="O",IF(Z232&lt;0,Z232,0),0)</f>
        <v>0</v>
      </c>
      <c r="AB232" s="254">
        <f>IF(B232="CRYPTO",N232,0)</f>
        <v>0</v>
      </c>
      <c r="AC232" s="250">
        <f>IF(D232="O",IF(AB232&lt;0,AB232,0),0)</f>
        <v>0</v>
      </c>
      <c r="AD232" s="255">
        <f>IF(K232&lt;&gt;"",K232-E232,0)</f>
        <v>0.82708333332993789</v>
      </c>
      <c r="AE232" s="255">
        <f>IF(N232&gt;0,AD232,0)</f>
        <v>0.82708333332993789</v>
      </c>
      <c r="AF232" s="255">
        <f>IF(N232&lt;0,AD232,0)</f>
        <v>0</v>
      </c>
      <c r="AG232" s="255">
        <f>IF(N232=0,AD232,0)</f>
        <v>0</v>
      </c>
    </row>
    <row r="233" spans="2:33" ht="15" customHeight="1" x14ac:dyDescent="0.3">
      <c r="B233" s="196" t="s">
        <v>5</v>
      </c>
      <c r="C233" s="197" t="s">
        <v>13</v>
      </c>
      <c r="D233" s="246" t="str">
        <f>IF(E233&lt;&gt;"",IF(K233&lt;&gt;"","C","O"),"")</f>
        <v>C</v>
      </c>
      <c r="E233" s="199">
        <v>44805.479166666664</v>
      </c>
      <c r="F233" s="200" t="s">
        <v>91</v>
      </c>
      <c r="G233" s="235">
        <v>12642.98</v>
      </c>
      <c r="H233" s="235">
        <v>12686.78</v>
      </c>
      <c r="I233" s="247">
        <f>ABS(G233-H233)</f>
        <v>43.800000000001091</v>
      </c>
      <c r="J233" s="235">
        <v>11825.37</v>
      </c>
      <c r="K233" s="199">
        <v>44805.532638888886</v>
      </c>
      <c r="L233" s="235">
        <v>12686.78</v>
      </c>
      <c r="M233" s="248">
        <f>ROUND(IF(C233="L",(L233-G233),(G233-L233)),4)</f>
        <v>-43.8</v>
      </c>
      <c r="N233" s="249">
        <f>IFERROR(ROUND((M233/I233),2),"")</f>
        <v>-1</v>
      </c>
      <c r="O233" s="250">
        <f>IF(D233="O",IF(N233&lt;0,N233,0),0)</f>
        <v>0</v>
      </c>
      <c r="P233" s="251">
        <f>IF(N233&gt;= 0,N233,0)</f>
        <v>0</v>
      </c>
      <c r="Q233" s="251">
        <f>IF(N233&lt;0,N233,0)</f>
        <v>-1</v>
      </c>
      <c r="R2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41772</v>
      </c>
      <c r="T2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3" s="253">
        <f ca="1">IF(Tabla33610673[[#This Row],[Equity]]&lt;Tabla33610673[[#This Row],[Equity Peak]],(Tabla33610673[[#This Row],[Equity Peak]]-Tabla33610673[[#This Row],[Equity]])/Tabla33610673[[#This Row],[Equity Peak]],"")</f>
        <v>1.846891301282955E-2</v>
      </c>
      <c r="V233" s="254">
        <f>IF(B233="FX",N233,0)</f>
        <v>0</v>
      </c>
      <c r="W233" s="254">
        <f>IF(D233="O",IF(V233&lt;0,V233,0),0)</f>
        <v>0</v>
      </c>
      <c r="X233" s="254">
        <f>IF(B233="COM",N233,0)</f>
        <v>0</v>
      </c>
      <c r="Y233" s="254">
        <f>IF(D233="O",IF(X233&lt;0,X233,0),0)</f>
        <v>0</v>
      </c>
      <c r="Z233" s="254">
        <f>IF(B233="IND",N233,0)</f>
        <v>-1</v>
      </c>
      <c r="AA233" s="250">
        <f>IF(D233="O",IF(Z233&lt;0,Z233,0),0)</f>
        <v>0</v>
      </c>
      <c r="AB233" s="254">
        <f>IF(B233="CRYPTO",N233,0)</f>
        <v>0</v>
      </c>
      <c r="AC233" s="250">
        <f>IF(D233="O",IF(AB233&lt;0,AB233,0),0)</f>
        <v>0</v>
      </c>
      <c r="AD233" s="255">
        <f>IF(K233&lt;&gt;"",K233-E233,0)</f>
        <v>5.3472222221898846E-2</v>
      </c>
      <c r="AE233" s="255">
        <f>IF(N233&gt;0,AD233,0)</f>
        <v>0</v>
      </c>
      <c r="AF233" s="255">
        <f>IF(N233&lt;0,AD233,0)</f>
        <v>5.3472222221898846E-2</v>
      </c>
      <c r="AG233" s="255">
        <f>IF(N233=0,AD233,0)</f>
        <v>0</v>
      </c>
    </row>
    <row r="234" spans="2:33" ht="15" customHeight="1" x14ac:dyDescent="0.3">
      <c r="B234" s="196" t="s">
        <v>7</v>
      </c>
      <c r="C234" s="197" t="s">
        <v>15</v>
      </c>
      <c r="D234" s="246" t="str">
        <f>IF(E234&lt;&gt;"",IF(K234&lt;&gt;"","C","O"),"")</f>
        <v>C</v>
      </c>
      <c r="E234" s="199">
        <v>44805.041666666664</v>
      </c>
      <c r="F234" s="200" t="s">
        <v>116</v>
      </c>
      <c r="G234" s="235">
        <v>139.078</v>
      </c>
      <c r="H234" s="235">
        <v>138.80000000000001</v>
      </c>
      <c r="I234" s="247">
        <f>ABS(G234-H234)</f>
        <v>0.27799999999999159</v>
      </c>
      <c r="J234" s="235">
        <v>141.97300000000001</v>
      </c>
      <c r="K234" s="199">
        <v>44805.472916666666</v>
      </c>
      <c r="L234" s="235">
        <v>139.119</v>
      </c>
      <c r="M234" s="248">
        <f>ROUND(IF(C234="L",(L234-G234),(G234-L234)),4)</f>
        <v>4.1000000000000002E-2</v>
      </c>
      <c r="N234" s="249">
        <f>IFERROR(ROUND((M234/I234),2),"")</f>
        <v>0.15</v>
      </c>
      <c r="O234" s="250">
        <f>IF(D234="O",IF(N234&lt;0,N234,0),0)</f>
        <v>0</v>
      </c>
      <c r="P234" s="251">
        <f>IF(N234&gt;= 0,N234,0)</f>
        <v>0.15</v>
      </c>
      <c r="Q234" s="251">
        <f>IF(N234&lt;0,N234,0)</f>
        <v>0</v>
      </c>
      <c r="R2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41872</v>
      </c>
      <c r="T2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4" s="253">
        <f ca="1">IF(Tabla33610673[[#This Row],[Equity]]&lt;Tabla33610673[[#This Row],[Equity Peak]],(Tabla33610673[[#This Row],[Equity Peak]]-Tabla33610673[[#This Row],[Equity]])/Tabla33610673[[#This Row],[Equity Peak]],"")</f>
        <v>1.6119178532825792E-2</v>
      </c>
      <c r="V234" s="254">
        <f>IF(B234="FX",N234,0)</f>
        <v>0.15</v>
      </c>
      <c r="W234" s="254">
        <f>IF(D234="O",IF(V234&lt;0,V234,0),0)</f>
        <v>0</v>
      </c>
      <c r="X234" s="254">
        <f>IF(B234="COM",N234,0)</f>
        <v>0</v>
      </c>
      <c r="Y234" s="254">
        <f>IF(D234="O",IF(X234&lt;0,X234,0),0)</f>
        <v>0</v>
      </c>
      <c r="Z234" s="254">
        <f>IF(B234="IND",N234,0)</f>
        <v>0</v>
      </c>
      <c r="AA234" s="250">
        <f>IF(D234="O",IF(Z234&lt;0,Z234,0),0)</f>
        <v>0</v>
      </c>
      <c r="AB234" s="254">
        <f>IF(B234="CRYPTO",N234,0)</f>
        <v>0</v>
      </c>
      <c r="AC234" s="250">
        <f>IF(D234="O",IF(AB234&lt;0,AB234,0),0)</f>
        <v>0</v>
      </c>
      <c r="AD234" s="255">
        <f>IF(K234&lt;&gt;"",K234-E234,0)</f>
        <v>0.43125000000145519</v>
      </c>
      <c r="AE234" s="255">
        <f>IF(N234&gt;0,AD234,0)</f>
        <v>0.43125000000145519</v>
      </c>
      <c r="AF234" s="255">
        <f>IF(N234&lt;0,AD234,0)</f>
        <v>0</v>
      </c>
      <c r="AG234" s="255">
        <f>IF(N234=0,AD234,0)</f>
        <v>0</v>
      </c>
    </row>
    <row r="235" spans="2:33" ht="15" customHeight="1" x14ac:dyDescent="0.3">
      <c r="B235" s="196" t="s">
        <v>5</v>
      </c>
      <c r="C235" s="197" t="s">
        <v>13</v>
      </c>
      <c r="D235" s="246" t="str">
        <f>IF(E235&lt;&gt;"",IF(K235&lt;&gt;"","C","O"),"")</f>
        <v>C</v>
      </c>
      <c r="E235" s="199">
        <v>44805.4375</v>
      </c>
      <c r="F235" s="200" t="s">
        <v>91</v>
      </c>
      <c r="G235" s="235">
        <v>12670.98</v>
      </c>
      <c r="H235" s="235">
        <v>12715.73</v>
      </c>
      <c r="I235" s="247">
        <f>ABS(G235-H235)</f>
        <v>44.75</v>
      </c>
      <c r="J235" s="235">
        <v>11835.72</v>
      </c>
      <c r="K235" s="199">
        <v>44805.462500000001</v>
      </c>
      <c r="L235" s="235">
        <v>12715.73</v>
      </c>
      <c r="M235" s="248">
        <f>ROUND(IF(C235="L",(L235-G235),(G235-L235)),4)</f>
        <v>-44.75</v>
      </c>
      <c r="N235" s="249">
        <f>IFERROR(ROUND((M235/I235),2),"")</f>
        <v>-1</v>
      </c>
      <c r="O235" s="250">
        <f>IF(D235="O",IF(N235&lt;0,N235,0),0)</f>
        <v>0</v>
      </c>
      <c r="P235" s="251">
        <f>IF(N235&gt;= 0,N235,0)</f>
        <v>0</v>
      </c>
      <c r="Q235" s="251">
        <f>IF(N235&lt;0,N235,0)</f>
        <v>-1</v>
      </c>
      <c r="R2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41857</v>
      </c>
      <c r="T2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5" s="253">
        <f ca="1">IF(Tabla33610673[[#This Row],[Equity]]&lt;Tabla33610673[[#This Row],[Equity Peak]],(Tabla33610673[[#This Row],[Equity Peak]]-Tabla33610673[[#This Row],[Equity]])/Tabla33610673[[#This Row],[Equity Peak]],"")</f>
        <v>1.6471638704826354E-2</v>
      </c>
      <c r="V235" s="254">
        <f>IF(B235="FX",N235,0)</f>
        <v>0</v>
      </c>
      <c r="W235" s="254">
        <f>IF(D235="O",IF(V235&lt;0,V235,0),0)</f>
        <v>0</v>
      </c>
      <c r="X235" s="254">
        <f>IF(B235="COM",N235,0)</f>
        <v>0</v>
      </c>
      <c r="Y235" s="254">
        <f>IF(D235="O",IF(X235&lt;0,X235,0),0)</f>
        <v>0</v>
      </c>
      <c r="Z235" s="254">
        <f>IF(B235="IND",N235,0)</f>
        <v>-1</v>
      </c>
      <c r="AA235" s="250">
        <f>IF(D235="O",IF(Z235&lt;0,Z235,0),0)</f>
        <v>0</v>
      </c>
      <c r="AB235" s="254">
        <f>IF(B235="CRYPTO",N235,0)</f>
        <v>0</v>
      </c>
      <c r="AC235" s="250">
        <f>IF(D235="O",IF(AB235&lt;0,AB235,0),0)</f>
        <v>0</v>
      </c>
      <c r="AD235" s="255">
        <f>IF(K235&lt;&gt;"",K235-E235,0)</f>
        <v>2.5000000001455192E-2</v>
      </c>
      <c r="AE235" s="255">
        <f>IF(N235&gt;0,AD235,0)</f>
        <v>0</v>
      </c>
      <c r="AF235" s="255">
        <f>IF(N235&lt;0,AD235,0)</f>
        <v>2.5000000001455192E-2</v>
      </c>
      <c r="AG235" s="255">
        <f>IF(N235=0,AD235,0)</f>
        <v>0</v>
      </c>
    </row>
    <row r="236" spans="2:33" ht="15" customHeight="1" x14ac:dyDescent="0.3">
      <c r="B236" s="196" t="s">
        <v>7</v>
      </c>
      <c r="C236" s="197" t="s">
        <v>13</v>
      </c>
      <c r="D236" s="246" t="str">
        <f>IF(E236&lt;&gt;"",IF(K236&lt;&gt;"","C","O"),"")</f>
        <v>C</v>
      </c>
      <c r="E236" s="199">
        <v>44804.427083333336</v>
      </c>
      <c r="F236" s="200" t="s">
        <v>115</v>
      </c>
      <c r="G236" s="235">
        <v>161.39099999999999</v>
      </c>
      <c r="H236" s="235">
        <v>161.852</v>
      </c>
      <c r="I236" s="247">
        <f>ABS(G236-H236)</f>
        <v>0.46100000000001273</v>
      </c>
      <c r="J236" s="235">
        <v>160.07499999999999</v>
      </c>
      <c r="K236" s="199">
        <v>44805.118055555555</v>
      </c>
      <c r="L236" s="235">
        <v>161.624</v>
      </c>
      <c r="M236" s="248">
        <f>ROUND(IF(C236="L",(L236-G236),(G236-L236)),4)</f>
        <v>-0.23300000000000001</v>
      </c>
      <c r="N236" s="249">
        <f>IFERROR(ROUND((M236/I236),2),"")</f>
        <v>-0.51</v>
      </c>
      <c r="O236" s="250">
        <f>IF(D236="O",IF(N236&lt;0,N236,0),0)</f>
        <v>0</v>
      </c>
      <c r="P236" s="251">
        <f>IF(N236&gt;= 0,N236,0)</f>
        <v>0</v>
      </c>
      <c r="Q236" s="251">
        <f>IF(N236&lt;0,N236,0)</f>
        <v>-0.51</v>
      </c>
      <c r="R2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41957</v>
      </c>
      <c r="T2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6" s="253">
        <f ca="1">IF(Tabla33610673[[#This Row],[Equity]]&lt;Tabla33610673[[#This Row],[Equity Peak]],(Tabla33610673[[#This Row],[Equity Peak]]-Tabla33610673[[#This Row],[Equity]])/Tabla33610673[[#This Row],[Equity Peak]],"")</f>
        <v>1.4121904224822596E-2</v>
      </c>
      <c r="V236" s="254">
        <f>IF(B236="FX",N236,0)</f>
        <v>-0.51</v>
      </c>
      <c r="W236" s="254">
        <f>IF(D236="O",IF(V236&lt;0,V236,0),0)</f>
        <v>0</v>
      </c>
      <c r="X236" s="254">
        <f>IF(B236="COM",N236,0)</f>
        <v>0</v>
      </c>
      <c r="Y236" s="254">
        <f>IF(D236="O",IF(X236&lt;0,X236,0),0)</f>
        <v>0</v>
      </c>
      <c r="Z236" s="254">
        <f>IF(B236="IND",N236,0)</f>
        <v>0</v>
      </c>
      <c r="AA236" s="250">
        <f>IF(D236="O",IF(Z236&lt;0,Z236,0),0)</f>
        <v>0</v>
      </c>
      <c r="AB236" s="254">
        <f>IF(B236="CRYPTO",N236,0)</f>
        <v>0</v>
      </c>
      <c r="AC236" s="250">
        <f>IF(D236="O",IF(AB236&lt;0,AB236,0),0)</f>
        <v>0</v>
      </c>
      <c r="AD236" s="255">
        <f>IF(K236&lt;&gt;"",K236-E236,0)</f>
        <v>0.69097222221898846</v>
      </c>
      <c r="AE236" s="255">
        <f>IF(N236&gt;0,AD236,0)</f>
        <v>0</v>
      </c>
      <c r="AF236" s="255">
        <f>IF(N236&lt;0,AD236,0)</f>
        <v>0.69097222221898846</v>
      </c>
      <c r="AG236" s="255">
        <f>IF(N236=0,AD236,0)</f>
        <v>0</v>
      </c>
    </row>
    <row r="237" spans="2:33" ht="15" customHeight="1" x14ac:dyDescent="0.3">
      <c r="B237" s="196" t="s">
        <v>19</v>
      </c>
      <c r="C237" s="197" t="s">
        <v>13</v>
      </c>
      <c r="D237" s="246" t="str">
        <f>IF(E237&lt;&gt;"",IF(K237&lt;&gt;"","C","O"),"")</f>
        <v>C</v>
      </c>
      <c r="E237" s="199">
        <v>44804.479166666664</v>
      </c>
      <c r="F237" s="200" t="s">
        <v>88</v>
      </c>
      <c r="G237" s="235">
        <v>1715.11</v>
      </c>
      <c r="H237" s="235">
        <v>1717.46</v>
      </c>
      <c r="I237" s="247">
        <f>ABS(G237-H237)</f>
        <v>2.3500000000001364</v>
      </c>
      <c r="J237" s="235">
        <v>1686.86</v>
      </c>
      <c r="K237" s="199">
        <v>44804.616666666669</v>
      </c>
      <c r="L237" s="235">
        <v>1716.29</v>
      </c>
      <c r="M237" s="248">
        <f>ROUND(IF(C237="L",(L237-G237),(G237-L237)),4)</f>
        <v>-1.18</v>
      </c>
      <c r="N237" s="249">
        <f>IFERROR(ROUND((M237/I237),2),"")</f>
        <v>-0.5</v>
      </c>
      <c r="O237" s="250">
        <f>IF(D237="O",IF(N237&lt;0,N237,0),0)</f>
        <v>0</v>
      </c>
      <c r="P237" s="251">
        <f>IF(N237&gt;= 0,N237,0)</f>
        <v>0</v>
      </c>
      <c r="Q237" s="251">
        <f>IF(N237&lt;0,N237,0)</f>
        <v>-0.5</v>
      </c>
      <c r="R2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42008</v>
      </c>
      <c r="T2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7" s="253">
        <f ca="1">IF(Tabla33610673[[#This Row],[Equity]]&lt;Tabla33610673[[#This Row],[Equity Peak]],(Tabla33610673[[#This Row],[Equity Peak]]-Tabla33610673[[#This Row],[Equity]])/Tabla33610673[[#This Row],[Equity Peak]],"")</f>
        <v>1.2923539640020678E-2</v>
      </c>
      <c r="V237" s="254">
        <f>IF(B237="FX",N237,0)</f>
        <v>0</v>
      </c>
      <c r="W237" s="254">
        <f>IF(D237="O",IF(V237&lt;0,V237,0),0)</f>
        <v>0</v>
      </c>
      <c r="X237" s="254">
        <f>IF(B237="COM",N237,0)</f>
        <v>-0.5</v>
      </c>
      <c r="Y237" s="254">
        <f>IF(D237="O",IF(X237&lt;0,X237,0),0)</f>
        <v>0</v>
      </c>
      <c r="Z237" s="254">
        <f>IF(B237="IND",N237,0)</f>
        <v>0</v>
      </c>
      <c r="AA237" s="250">
        <f>IF(D237="O",IF(Z237&lt;0,Z237,0),0)</f>
        <v>0</v>
      </c>
      <c r="AB237" s="254">
        <f>IF(B237="CRYPTO",N237,0)</f>
        <v>0</v>
      </c>
      <c r="AC237" s="250">
        <f>IF(D237="O",IF(AB237&lt;0,AB237,0),0)</f>
        <v>0</v>
      </c>
      <c r="AD237" s="255">
        <f>IF(K237&lt;&gt;"",K237-E237,0)</f>
        <v>0.13750000000436557</v>
      </c>
      <c r="AE237" s="255">
        <f>IF(N237&gt;0,AD237,0)</f>
        <v>0</v>
      </c>
      <c r="AF237" s="255">
        <f>IF(N237&lt;0,AD237,0)</f>
        <v>0.13750000000436557</v>
      </c>
      <c r="AG237" s="255">
        <f>IF(N237=0,AD237,0)</f>
        <v>0</v>
      </c>
    </row>
    <row r="238" spans="2:33" ht="15" customHeight="1" x14ac:dyDescent="0.3">
      <c r="B238" s="196" t="s">
        <v>19</v>
      </c>
      <c r="C238" s="197" t="s">
        <v>13</v>
      </c>
      <c r="D238" s="246" t="str">
        <f>IF(E238&lt;&gt;"",IF(K238&lt;&gt;"","C","O"),"")</f>
        <v>C</v>
      </c>
      <c r="E238" s="199">
        <v>44804.427083333336</v>
      </c>
      <c r="F238" s="200" t="s">
        <v>88</v>
      </c>
      <c r="G238" s="235">
        <v>1720.11</v>
      </c>
      <c r="H238" s="235">
        <v>1722.46</v>
      </c>
      <c r="I238" s="247">
        <f>ABS(G238-H238)</f>
        <v>2.3500000000001364</v>
      </c>
      <c r="J238" s="235">
        <v>1691.92</v>
      </c>
      <c r="K238" s="199">
        <v>44804.4375</v>
      </c>
      <c r="L238" s="235">
        <v>1722.46</v>
      </c>
      <c r="M238" s="248">
        <f>ROUND(IF(C238="L",(L238-G238),(G238-L238)),4)</f>
        <v>-2.35</v>
      </c>
      <c r="N238" s="249">
        <f>IFERROR(ROUND((M238/I238),2),"")</f>
        <v>-1</v>
      </c>
      <c r="O238" s="250">
        <f>IF(D238="O",IF(N238&lt;0,N238,0),0)</f>
        <v>0</v>
      </c>
      <c r="P238" s="251">
        <f>IF(N238&gt;= 0,N238,0)</f>
        <v>0</v>
      </c>
      <c r="Q238" s="251">
        <f>IF(N238&lt;0,N238,0)</f>
        <v>-1</v>
      </c>
      <c r="R2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42058</v>
      </c>
      <c r="T2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8" s="253">
        <f ca="1">IF(Tabla33610673[[#This Row],[Equity]]&lt;Tabla33610673[[#This Row],[Equity Peak]],(Tabla33610673[[#This Row],[Equity Peak]]-Tabla33610673[[#This Row],[Equity]])/Tabla33610673[[#This Row],[Equity Peak]],"")</f>
        <v>1.1748672400018798E-2</v>
      </c>
      <c r="V238" s="254">
        <f>IF(B238="FX",N238,0)</f>
        <v>0</v>
      </c>
      <c r="W238" s="254">
        <f>IF(D238="O",IF(V238&lt;0,V238,0),0)</f>
        <v>0</v>
      </c>
      <c r="X238" s="254">
        <f>IF(B238="COM",N238,0)</f>
        <v>-1</v>
      </c>
      <c r="Y238" s="254">
        <f>IF(D238="O",IF(X238&lt;0,X238,0),0)</f>
        <v>0</v>
      </c>
      <c r="Z238" s="254">
        <f>IF(B238="IND",N238,0)</f>
        <v>0</v>
      </c>
      <c r="AA238" s="250">
        <f>IF(D238="O",IF(Z238&lt;0,Z238,0),0)</f>
        <v>0</v>
      </c>
      <c r="AB238" s="254">
        <f>IF(B238="CRYPTO",N238,0)</f>
        <v>0</v>
      </c>
      <c r="AC238" s="250">
        <f>IF(D238="O",IF(AB238&lt;0,AB238,0),0)</f>
        <v>0</v>
      </c>
      <c r="AD238" s="255">
        <f>IF(K238&lt;&gt;"",K238-E238,0)</f>
        <v>1.0416666664241347E-2</v>
      </c>
      <c r="AE238" s="255">
        <f>IF(N238&gt;0,AD238,0)</f>
        <v>0</v>
      </c>
      <c r="AF238" s="255">
        <f>IF(N238&lt;0,AD238,0)</f>
        <v>1.0416666664241347E-2</v>
      </c>
      <c r="AG238" s="255">
        <f>IF(N238=0,AD238,0)</f>
        <v>0</v>
      </c>
    </row>
    <row r="239" spans="2:33" ht="15" customHeight="1" x14ac:dyDescent="0.3">
      <c r="B239" s="196" t="s">
        <v>5</v>
      </c>
      <c r="C239" s="197" t="s">
        <v>13</v>
      </c>
      <c r="D239" s="246" t="str">
        <f>IF(E239&lt;&gt;"",IF(K239&lt;&gt;"","C","O"),"")</f>
        <v>C</v>
      </c>
      <c r="E239" s="199">
        <v>44803.864583333336</v>
      </c>
      <c r="F239" s="200" t="s">
        <v>92</v>
      </c>
      <c r="G239" s="235">
        <v>12238.27</v>
      </c>
      <c r="H239" s="235">
        <v>12281.9</v>
      </c>
      <c r="I239" s="247">
        <f>ABS(G239-H239)</f>
        <v>43.6299999999992</v>
      </c>
      <c r="J239" s="235">
        <v>11423.85</v>
      </c>
      <c r="K239" s="199">
        <v>44803.868750000001</v>
      </c>
      <c r="L239" s="235">
        <v>12281.9</v>
      </c>
      <c r="M239" s="248">
        <f>ROUND(IF(C239="L",(L239-G239),(G239-L239)),4)</f>
        <v>-43.63</v>
      </c>
      <c r="N239" s="249">
        <f>IFERROR(ROUND((M239/I239),2),"")</f>
        <v>-1</v>
      </c>
      <c r="O239" s="250">
        <f>IF(D239="O",IF(N239&lt;0,N239,0),0)</f>
        <v>0</v>
      </c>
      <c r="P239" s="251">
        <f>IF(N239&gt;= 0,N239,0)</f>
        <v>0</v>
      </c>
      <c r="Q239" s="251">
        <f>IF(N239&lt;0,N239,0)</f>
        <v>-1</v>
      </c>
      <c r="R2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42158</v>
      </c>
      <c r="T2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39" s="253">
        <f ca="1">IF(Tabla33610673[[#This Row],[Equity]]&lt;Tabla33610673[[#This Row],[Equity Peak]],(Tabla33610673[[#This Row],[Equity Peak]]-Tabla33610673[[#This Row],[Equity]])/Tabla33610673[[#This Row],[Equity Peak]],"")</f>
        <v>9.3989379200150377E-3</v>
      </c>
      <c r="V239" s="254">
        <f>IF(B239="FX",N239,0)</f>
        <v>0</v>
      </c>
      <c r="W239" s="254">
        <f>IF(D239="O",IF(V239&lt;0,V239,0),0)</f>
        <v>0</v>
      </c>
      <c r="X239" s="254">
        <f>IF(B239="COM",N239,0)</f>
        <v>0</v>
      </c>
      <c r="Y239" s="254">
        <f>IF(D239="O",IF(X239&lt;0,X239,0),0)</f>
        <v>0</v>
      </c>
      <c r="Z239" s="254">
        <f>IF(B239="IND",N239,0)</f>
        <v>-1</v>
      </c>
      <c r="AA239" s="250">
        <f>IF(D239="O",IF(Z239&lt;0,Z239,0),0)</f>
        <v>0</v>
      </c>
      <c r="AB239" s="254">
        <f>IF(B239="CRYPTO",N239,0)</f>
        <v>0</v>
      </c>
      <c r="AC239" s="250">
        <f>IF(D239="O",IF(AB239&lt;0,AB239,0),0)</f>
        <v>0</v>
      </c>
      <c r="AD239" s="255">
        <f>IF(K239&lt;&gt;"",K239-E239,0)</f>
        <v>4.166666665696539E-3</v>
      </c>
      <c r="AE239" s="255">
        <f>IF(N239&gt;0,AD239,0)</f>
        <v>0</v>
      </c>
      <c r="AF239" s="255">
        <f>IF(N239&lt;0,AD239,0)</f>
        <v>4.166666665696539E-3</v>
      </c>
      <c r="AG239" s="255">
        <f>IF(N239=0,AD239,0)</f>
        <v>0</v>
      </c>
    </row>
    <row r="240" spans="2:33" ht="15" customHeight="1" x14ac:dyDescent="0.3">
      <c r="B240" s="196" t="s">
        <v>5</v>
      </c>
      <c r="C240" s="197" t="s">
        <v>13</v>
      </c>
      <c r="D240" s="246" t="str">
        <f>IF(E240&lt;&gt;"",IF(K240&lt;&gt;"","C","O"),"")</f>
        <v>C</v>
      </c>
      <c r="E240" s="199">
        <v>44803.864583333336</v>
      </c>
      <c r="F240" s="200" t="s">
        <v>93</v>
      </c>
      <c r="G240" s="235">
        <v>12238.27</v>
      </c>
      <c r="H240" s="235">
        <v>12283.47</v>
      </c>
      <c r="I240" s="247">
        <f>ABS(G240-H240)</f>
        <v>45.199999999998909</v>
      </c>
      <c r="J240" s="235">
        <v>11756.13</v>
      </c>
      <c r="K240" s="199">
        <v>44803.868750000001</v>
      </c>
      <c r="L240" s="235">
        <v>12283.47</v>
      </c>
      <c r="M240" s="248">
        <f>ROUND(IF(C240="L",(L240-G240),(G240-L240)),4)</f>
        <v>-45.2</v>
      </c>
      <c r="N240" s="249">
        <f>IFERROR(ROUND((M240/I240),2),"")</f>
        <v>-1</v>
      </c>
      <c r="O240" s="250">
        <f>IF(D240="O",IF(N240&lt;0,N240,0),0)</f>
        <v>0</v>
      </c>
      <c r="P240" s="251">
        <f>IF(N240&gt;= 0,N240,0)</f>
        <v>0</v>
      </c>
      <c r="Q240" s="251">
        <f>IF(N240&lt;0,N240,0)</f>
        <v>-1</v>
      </c>
      <c r="R2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42258</v>
      </c>
      <c r="T2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40" s="253">
        <f ca="1">IF(Tabla33610673[[#This Row],[Equity]]&lt;Tabla33610673[[#This Row],[Equity Peak]],(Tabla33610673[[#This Row],[Equity Peak]]-Tabla33610673[[#This Row],[Equity]])/Tabla33610673[[#This Row],[Equity Peak]],"")</f>
        <v>7.0492034400112787E-3</v>
      </c>
      <c r="V240" s="254">
        <f>IF(B240="FX",N240,0)</f>
        <v>0</v>
      </c>
      <c r="W240" s="254">
        <f>IF(D240="O",IF(V240&lt;0,V240,0),0)</f>
        <v>0</v>
      </c>
      <c r="X240" s="254">
        <f>IF(B240="COM",N240,0)</f>
        <v>0</v>
      </c>
      <c r="Y240" s="254">
        <f>IF(D240="O",IF(X240&lt;0,X240,0),0)</f>
        <v>0</v>
      </c>
      <c r="Z240" s="254">
        <f>IF(B240="IND",N240,0)</f>
        <v>-1</v>
      </c>
      <c r="AA240" s="250">
        <f>IF(D240="O",IF(Z240&lt;0,Z240,0),0)</f>
        <v>0</v>
      </c>
      <c r="AB240" s="254">
        <f>IF(B240="CRYPTO",N240,0)</f>
        <v>0</v>
      </c>
      <c r="AC240" s="250">
        <f>IF(D240="O",IF(AB240&lt;0,AB240,0),0)</f>
        <v>0</v>
      </c>
      <c r="AD240" s="255">
        <f>IF(K240&lt;&gt;"",K240-E240,0)</f>
        <v>4.166666665696539E-3</v>
      </c>
      <c r="AE240" s="255">
        <f>IF(N240&gt;0,AD240,0)</f>
        <v>0</v>
      </c>
      <c r="AF240" s="255">
        <f>IF(N240&lt;0,AD240,0)</f>
        <v>4.166666665696539E-3</v>
      </c>
      <c r="AG240" s="255">
        <f>IF(N240=0,AD240,0)</f>
        <v>0</v>
      </c>
    </row>
    <row r="241" spans="2:33" ht="15" customHeight="1" x14ac:dyDescent="0.3">
      <c r="B241" s="196" t="s">
        <v>5</v>
      </c>
      <c r="C241" s="197" t="s">
        <v>13</v>
      </c>
      <c r="D241" s="246" t="str">
        <f>IF(E241&lt;&gt;"",IF(K241&lt;&gt;"","C","O"),"")</f>
        <v>C</v>
      </c>
      <c r="E241" s="199">
        <v>44803.739583333336</v>
      </c>
      <c r="F241" s="200" t="s">
        <v>93</v>
      </c>
      <c r="G241" s="235">
        <v>12290.15</v>
      </c>
      <c r="H241" s="235">
        <v>12337.54</v>
      </c>
      <c r="I241" s="247">
        <f>ABS(G241-H241)</f>
        <v>47.390000000001237</v>
      </c>
      <c r="J241" s="235">
        <v>11784.7</v>
      </c>
      <c r="K241" s="199">
        <v>44803.75</v>
      </c>
      <c r="L241" s="235">
        <v>12337.54</v>
      </c>
      <c r="M241" s="248">
        <f>ROUND(IF(C241="L",(L241-G241),(G241-L241)),4)</f>
        <v>-47.39</v>
      </c>
      <c r="N241" s="249">
        <f>IFERROR(ROUND((M241/I241),2),"")</f>
        <v>-1</v>
      </c>
      <c r="O241" s="250">
        <f>IF(D241="O",IF(N241&lt;0,N241,0),0)</f>
        <v>0</v>
      </c>
      <c r="P241" s="251">
        <f>IF(N241&gt;= 0,N241,0)</f>
        <v>0</v>
      </c>
      <c r="Q241" s="251">
        <f>IF(N241&lt;0,N241,0)</f>
        <v>-1</v>
      </c>
      <c r="R2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42358</v>
      </c>
      <c r="T2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41" s="253">
        <f ca="1">IF(Tabla33610673[[#This Row],[Equity]]&lt;Tabla33610673[[#This Row],[Equity Peak]],(Tabla33610673[[#This Row],[Equity Peak]]-Tabla33610673[[#This Row],[Equity]])/Tabla33610673[[#This Row],[Equity Peak]],"")</f>
        <v>4.6994689600075188E-3</v>
      </c>
      <c r="V241" s="254">
        <f>IF(B241="FX",N241,0)</f>
        <v>0</v>
      </c>
      <c r="W241" s="254">
        <f>IF(D241="O",IF(V241&lt;0,V241,0),0)</f>
        <v>0</v>
      </c>
      <c r="X241" s="254">
        <f>IF(B241="COM",N241,0)</f>
        <v>0</v>
      </c>
      <c r="Y241" s="254">
        <f>IF(D241="O",IF(X241&lt;0,X241,0),0)</f>
        <v>0</v>
      </c>
      <c r="Z241" s="254">
        <f>IF(B241="IND",N241,0)</f>
        <v>-1</v>
      </c>
      <c r="AA241" s="250">
        <f>IF(D241="O",IF(Z241&lt;0,Z241,0),0)</f>
        <v>0</v>
      </c>
      <c r="AB241" s="254">
        <f>IF(B241="CRYPTO",N241,0)</f>
        <v>0</v>
      </c>
      <c r="AC241" s="250">
        <f>IF(D241="O",IF(AB241&lt;0,AB241,0),0)</f>
        <v>0</v>
      </c>
      <c r="AD241" s="255">
        <f>IF(K241&lt;&gt;"",K241-E241,0)</f>
        <v>1.0416666664241347E-2</v>
      </c>
      <c r="AE241" s="255">
        <f>IF(N241&gt;0,AD241,0)</f>
        <v>0</v>
      </c>
      <c r="AF241" s="255">
        <f>IF(N241&lt;0,AD241,0)</f>
        <v>1.0416666664241347E-2</v>
      </c>
      <c r="AG241" s="255">
        <f>IF(N241=0,AD241,0)</f>
        <v>0</v>
      </c>
    </row>
    <row r="242" spans="2:33" ht="15" customHeight="1" x14ac:dyDescent="0.3">
      <c r="B242" s="196" t="s">
        <v>5</v>
      </c>
      <c r="C242" s="197" t="s">
        <v>13</v>
      </c>
      <c r="D242" s="246" t="str">
        <f>IF(E242&lt;&gt;"",IF(K242&lt;&gt;"","C","O"),"")</f>
        <v>C</v>
      </c>
      <c r="E242" s="199">
        <v>44803.739583333336</v>
      </c>
      <c r="F242" s="200" t="s">
        <v>92</v>
      </c>
      <c r="G242" s="235">
        <v>12290.15</v>
      </c>
      <c r="H242" s="235">
        <v>12332.19</v>
      </c>
      <c r="I242" s="247">
        <f>ABS(G242-H242)</f>
        <v>42.040000000000873</v>
      </c>
      <c r="J242" s="235">
        <v>11505.48</v>
      </c>
      <c r="K242" s="199">
        <v>44803.749305555553</v>
      </c>
      <c r="L242" s="235">
        <v>12332.19</v>
      </c>
      <c r="M242" s="248">
        <f>ROUND(IF(C242="L",(L242-G242),(G242-L242)),4)</f>
        <v>-42.04</v>
      </c>
      <c r="N242" s="249">
        <f>IFERROR(ROUND((M242/I242),2),"")</f>
        <v>-1</v>
      </c>
      <c r="O242" s="250">
        <f>IF(D242="O",IF(N242&lt;0,N242,0),0)</f>
        <v>0</v>
      </c>
      <c r="P242" s="251">
        <f>IF(N242&gt;= 0,N242,0)</f>
        <v>0</v>
      </c>
      <c r="Q242" s="251">
        <f>IF(N242&lt;0,N242,0)</f>
        <v>-1</v>
      </c>
      <c r="R2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42458</v>
      </c>
      <c r="T2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42" s="253">
        <f ca="1">IF(Tabla33610673[[#This Row],[Equity]]&lt;Tabla33610673[[#This Row],[Equity Peak]],(Tabla33610673[[#This Row],[Equity Peak]]-Tabla33610673[[#This Row],[Equity]])/Tabla33610673[[#This Row],[Equity Peak]],"")</f>
        <v>2.3497344800037594E-3</v>
      </c>
      <c r="V242" s="254">
        <f>IF(B242="FX",N242,0)</f>
        <v>0</v>
      </c>
      <c r="W242" s="254">
        <f>IF(D242="O",IF(V242&lt;0,V242,0),0)</f>
        <v>0</v>
      </c>
      <c r="X242" s="254">
        <f>IF(B242="COM",N242,0)</f>
        <v>0</v>
      </c>
      <c r="Y242" s="254">
        <f>IF(D242="O",IF(X242&lt;0,X242,0),0)</f>
        <v>0</v>
      </c>
      <c r="Z242" s="254">
        <f>IF(B242="IND",N242,0)</f>
        <v>-1</v>
      </c>
      <c r="AA242" s="250">
        <f>IF(D242="O",IF(Z242&lt;0,Z242,0),0)</f>
        <v>0</v>
      </c>
      <c r="AB242" s="254">
        <f>IF(B242="CRYPTO",N242,0)</f>
        <v>0</v>
      </c>
      <c r="AC242" s="250">
        <f>IF(D242="O",IF(AB242&lt;0,AB242,0),0)</f>
        <v>0</v>
      </c>
      <c r="AD242" s="255">
        <f>IF(K242&lt;&gt;"",K242-E242,0)</f>
        <v>9.7222222175332718E-3</v>
      </c>
      <c r="AE242" s="255">
        <f>IF(N242&gt;0,AD242,0)</f>
        <v>0</v>
      </c>
      <c r="AF242" s="255">
        <f>IF(N242&lt;0,AD242,0)</f>
        <v>9.7222222175332718E-3</v>
      </c>
      <c r="AG242" s="255">
        <f>IF(N242=0,AD242,0)</f>
        <v>0</v>
      </c>
    </row>
    <row r="243" spans="2:33" ht="15" customHeight="1" x14ac:dyDescent="0.3">
      <c r="B243" s="196" t="s">
        <v>5</v>
      </c>
      <c r="C243" s="197" t="s">
        <v>13</v>
      </c>
      <c r="D243" s="246" t="str">
        <f>IF(E243&lt;&gt;"",IF(K243&lt;&gt;"","C","O"),"")</f>
        <v>C</v>
      </c>
      <c r="E243" s="199">
        <v>44799.760416666664</v>
      </c>
      <c r="F243" s="200" t="s">
        <v>92</v>
      </c>
      <c r="G243" s="235">
        <v>12813.56</v>
      </c>
      <c r="H243" s="235">
        <v>12850.07</v>
      </c>
      <c r="I243" s="247">
        <f>ABS(G243-H243)</f>
        <v>36.510000000000218</v>
      </c>
      <c r="J243" s="235">
        <v>12132.08</v>
      </c>
      <c r="K243" s="199">
        <v>44802.691666666666</v>
      </c>
      <c r="L243" s="235">
        <v>12558.54</v>
      </c>
      <c r="M243" s="248">
        <f>ROUND(IF(C243="L",(L243-G243),(G243-L243)),4)</f>
        <v>255.02</v>
      </c>
      <c r="N243" s="249">
        <f>IFERROR(ROUND((M243/I243),2),"")</f>
        <v>6.98</v>
      </c>
      <c r="O243" s="250">
        <f>IF(D243="O",IF(N243&lt;0,N243,0),0)</f>
        <v>0</v>
      </c>
      <c r="P243" s="251">
        <f>IF(N243&gt;= 0,N243,0)</f>
        <v>6.98</v>
      </c>
      <c r="Q243" s="251">
        <f>IF(N243&lt;0,N243,0)</f>
        <v>0</v>
      </c>
      <c r="R2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42558</v>
      </c>
      <c r="T2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42558</v>
      </c>
      <c r="U24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43" s="254">
        <f>IF(B243="FX",N243,0)</f>
        <v>0</v>
      </c>
      <c r="W243" s="254">
        <f>IF(D243="O",IF(V243&lt;0,V243,0),0)</f>
        <v>0</v>
      </c>
      <c r="X243" s="254">
        <f>IF(B243="COM",N243,0)</f>
        <v>0</v>
      </c>
      <c r="Y243" s="254">
        <f>IF(D243="O",IF(X243&lt;0,X243,0),0)</f>
        <v>0</v>
      </c>
      <c r="Z243" s="254">
        <f>IF(B243="IND",N243,0)</f>
        <v>6.98</v>
      </c>
      <c r="AA243" s="250">
        <f>IF(D243="O",IF(Z243&lt;0,Z243,0),0)</f>
        <v>0</v>
      </c>
      <c r="AB243" s="254">
        <f>IF(B243="CRYPTO",N243,0)</f>
        <v>0</v>
      </c>
      <c r="AC243" s="250">
        <f>IF(D243="O",IF(AB243&lt;0,AB243,0),0)</f>
        <v>0</v>
      </c>
      <c r="AD243" s="255">
        <f>IF(K243&lt;&gt;"",K243-E243,0)</f>
        <v>2.9312500000014552</v>
      </c>
      <c r="AE243" s="255">
        <f>IF(N243&gt;0,AD243,0)</f>
        <v>2.9312500000014552</v>
      </c>
      <c r="AF243" s="255">
        <f>IF(N243&lt;0,AD243,0)</f>
        <v>0</v>
      </c>
      <c r="AG243" s="255">
        <f>IF(N243=0,AD243,0)</f>
        <v>0</v>
      </c>
    </row>
    <row r="244" spans="2:33" ht="15" customHeight="1" x14ac:dyDescent="0.3">
      <c r="B244" s="196" t="s">
        <v>19</v>
      </c>
      <c r="C244" s="197" t="s">
        <v>13</v>
      </c>
      <c r="D244" s="246" t="str">
        <f>IF(E244&lt;&gt;"",IF(K244&lt;&gt;"","C","O"),"")</f>
        <v>C</v>
      </c>
      <c r="E244" s="199">
        <v>44802.1875</v>
      </c>
      <c r="F244" s="200" t="s">
        <v>88</v>
      </c>
      <c r="G244" s="235">
        <v>1727.26</v>
      </c>
      <c r="H244" s="235">
        <v>1730.99</v>
      </c>
      <c r="I244" s="247">
        <f>ABS(G244-H244)</f>
        <v>3.7300000000000182</v>
      </c>
      <c r="J244" s="235">
        <v>1682.55</v>
      </c>
      <c r="K244" s="199">
        <v>44802.574999999997</v>
      </c>
      <c r="L244" s="235">
        <v>1729.29</v>
      </c>
      <c r="M244" s="248">
        <f>ROUND(IF(C244="L",(L244-G244),(G244-L244)),4)</f>
        <v>-2.0299999999999998</v>
      </c>
      <c r="N244" s="249">
        <f>IFERROR(ROUND((M244/I244),2),"")</f>
        <v>-0.54</v>
      </c>
      <c r="O244" s="250">
        <f>IF(D244="O",IF(N244&lt;0,N244,0),0)</f>
        <v>0</v>
      </c>
      <c r="P244" s="251">
        <f>IF(N244&gt;= 0,N244,0)</f>
        <v>0</v>
      </c>
      <c r="Q244" s="251">
        <f>IF(N244&lt;0,N244,0)</f>
        <v>-0.54</v>
      </c>
      <c r="R2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41860</v>
      </c>
      <c r="T2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41914</v>
      </c>
      <c r="U244" s="253">
        <f ca="1">IF(Tabla33610673[[#This Row],[Equity]]&lt;Tabla33610673[[#This Row],[Equity Peak]],(Tabla33610673[[#This Row],[Equity Peak]]-Tabla33610673[[#This Row],[Equity]])/Tabla33610673[[#This Row],[Equity Peak]],"")</f>
        <v>1.2883523405067519E-3</v>
      </c>
      <c r="V244" s="254">
        <f>IF(B244="FX",N244,0)</f>
        <v>0</v>
      </c>
      <c r="W244" s="254">
        <f>IF(D244="O",IF(V244&lt;0,V244,0),0)</f>
        <v>0</v>
      </c>
      <c r="X244" s="254">
        <f>IF(B244="COM",N244,0)</f>
        <v>-0.54</v>
      </c>
      <c r="Y244" s="254">
        <f>IF(D244="O",IF(X244&lt;0,X244,0),0)</f>
        <v>0</v>
      </c>
      <c r="Z244" s="254">
        <f>IF(B244="IND",N244,0)</f>
        <v>0</v>
      </c>
      <c r="AA244" s="250">
        <f>IF(D244="O",IF(Z244&lt;0,Z244,0),0)</f>
        <v>0</v>
      </c>
      <c r="AB244" s="254">
        <f>IF(B244="CRYPTO",N244,0)</f>
        <v>0</v>
      </c>
      <c r="AC244" s="250">
        <f>IF(D244="O",IF(AB244&lt;0,AB244,0),0)</f>
        <v>0</v>
      </c>
      <c r="AD244" s="255">
        <f>IF(K244&lt;&gt;"",K244-E244,0)</f>
        <v>0.38749999999708962</v>
      </c>
      <c r="AE244" s="255">
        <f>IF(N244&gt;0,AD244,0)</f>
        <v>0</v>
      </c>
      <c r="AF244" s="255">
        <f>IF(N244&lt;0,AD244,0)</f>
        <v>0.38749999999708962</v>
      </c>
      <c r="AG244" s="255">
        <f>IF(N244=0,AD244,0)</f>
        <v>0</v>
      </c>
    </row>
    <row r="245" spans="2:33" ht="15" customHeight="1" x14ac:dyDescent="0.3">
      <c r="B245" s="196" t="s">
        <v>7</v>
      </c>
      <c r="C245" s="197" t="s">
        <v>15</v>
      </c>
      <c r="D245" s="246" t="str">
        <f>IF(E245&lt;&gt;"",IF(K245&lt;&gt;"","C","O"),"")</f>
        <v>C</v>
      </c>
      <c r="E245" s="199">
        <v>44802.052083333336</v>
      </c>
      <c r="F245" s="200" t="s">
        <v>116</v>
      </c>
      <c r="G245" s="235">
        <v>137.851</v>
      </c>
      <c r="H245" s="235">
        <v>137.55500000000001</v>
      </c>
      <c r="I245" s="247">
        <f>ABS(G245-H245)</f>
        <v>0.29599999999999227</v>
      </c>
      <c r="J245" s="235">
        <v>140.92500000000001</v>
      </c>
      <c r="K245" s="199">
        <v>44802.554861111108</v>
      </c>
      <c r="L245" s="235">
        <v>138.482</v>
      </c>
      <c r="M245" s="248">
        <f>ROUND(IF(C245="L",(L245-G245),(G245-L245)),4)</f>
        <v>0.63100000000000001</v>
      </c>
      <c r="N245" s="249">
        <f>IFERROR(ROUND((M245/I245),2),"")</f>
        <v>2.13</v>
      </c>
      <c r="O245" s="250">
        <f>IF(D245="O",IF(N245&lt;0,N245,0),0)</f>
        <v>0</v>
      </c>
      <c r="P245" s="251">
        <f>IF(N245&gt;= 0,N245,0)</f>
        <v>2.13</v>
      </c>
      <c r="Q245" s="251">
        <f>IF(N245&lt;0,N245,0)</f>
        <v>0</v>
      </c>
      <c r="R2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41914</v>
      </c>
      <c r="T2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41914</v>
      </c>
      <c r="U24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45" s="254">
        <f>IF(B245="FX",N245,0)</f>
        <v>2.13</v>
      </c>
      <c r="W245" s="254">
        <f>IF(D245="O",IF(V245&lt;0,V245,0),0)</f>
        <v>0</v>
      </c>
      <c r="X245" s="254">
        <f>IF(B245="COM",N245,0)</f>
        <v>0</v>
      </c>
      <c r="Y245" s="254">
        <f>IF(D245="O",IF(X245&lt;0,X245,0),0)</f>
        <v>0</v>
      </c>
      <c r="Z245" s="254">
        <f>IF(B245="IND",N245,0)</f>
        <v>0</v>
      </c>
      <c r="AA245" s="250">
        <f>IF(D245="O",IF(Z245&lt;0,Z245,0),0)</f>
        <v>0</v>
      </c>
      <c r="AB245" s="254">
        <f>IF(B245="CRYPTO",N245,0)</f>
        <v>0</v>
      </c>
      <c r="AC245" s="250">
        <f>IF(D245="O",IF(AB245&lt;0,AB245,0),0)</f>
        <v>0</v>
      </c>
      <c r="AD245" s="255">
        <f>IF(K245&lt;&gt;"",K245-E245,0)</f>
        <v>0.50277777777228039</v>
      </c>
      <c r="AE245" s="255">
        <f>IF(N245&gt;0,AD245,0)</f>
        <v>0.50277777777228039</v>
      </c>
      <c r="AF245" s="255">
        <f>IF(N245&lt;0,AD245,0)</f>
        <v>0</v>
      </c>
      <c r="AG245" s="255">
        <f>IF(N245=0,AD245,0)</f>
        <v>0</v>
      </c>
    </row>
    <row r="246" spans="2:33" ht="15" customHeight="1" x14ac:dyDescent="0.3">
      <c r="B246" s="196" t="s">
        <v>5</v>
      </c>
      <c r="C246" s="197" t="s">
        <v>13</v>
      </c>
      <c r="D246" s="246" t="str">
        <f>IF(E246&lt;&gt;"",IF(K246&lt;&gt;"","C","O"),"")</f>
        <v>C</v>
      </c>
      <c r="E246" s="199">
        <v>44799.739583333336</v>
      </c>
      <c r="F246" s="200" t="s">
        <v>91</v>
      </c>
      <c r="G246" s="235">
        <v>13040.51</v>
      </c>
      <c r="H246" s="235">
        <v>13077.7</v>
      </c>
      <c r="I246" s="247">
        <f>ABS(G246-H246)</f>
        <v>37.190000000000509</v>
      </c>
      <c r="J246" s="235">
        <v>12346.33</v>
      </c>
      <c r="K246" s="199">
        <v>44802.415972222225</v>
      </c>
      <c r="L246" s="235">
        <v>12840.77</v>
      </c>
      <c r="M246" s="248">
        <f>ROUND(IF(C246="L",(L246-G246),(G246-L246)),4)</f>
        <v>199.74</v>
      </c>
      <c r="N246" s="249">
        <f>IFERROR(ROUND((M246/I246),2),"")</f>
        <v>5.37</v>
      </c>
      <c r="O246" s="250">
        <f>IF(D246="O",IF(N246&lt;0,N246,0),0)</f>
        <v>0</v>
      </c>
      <c r="P246" s="251">
        <f>IF(N246&gt;= 0,N246,0)</f>
        <v>5.37</v>
      </c>
      <c r="Q246" s="251">
        <f>IF(N246&lt;0,N246,0)</f>
        <v>0</v>
      </c>
      <c r="R2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41701</v>
      </c>
      <c r="T2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41701</v>
      </c>
      <c r="U24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46" s="254">
        <f>IF(B246="FX",N246,0)</f>
        <v>0</v>
      </c>
      <c r="W246" s="254">
        <f>IF(D246="O",IF(V246&lt;0,V246,0),0)</f>
        <v>0</v>
      </c>
      <c r="X246" s="254">
        <f>IF(B246="COM",N246,0)</f>
        <v>0</v>
      </c>
      <c r="Y246" s="254">
        <f>IF(D246="O",IF(X246&lt;0,X246,0),0)</f>
        <v>0</v>
      </c>
      <c r="Z246" s="254">
        <f>IF(B246="IND",N246,0)</f>
        <v>5.37</v>
      </c>
      <c r="AA246" s="250">
        <f>IF(D246="O",IF(Z246&lt;0,Z246,0),0)</f>
        <v>0</v>
      </c>
      <c r="AB246" s="254">
        <f>IF(B246="CRYPTO",N246,0)</f>
        <v>0</v>
      </c>
      <c r="AC246" s="250">
        <f>IF(D246="O",IF(AB246&lt;0,AB246,0),0)</f>
        <v>0</v>
      </c>
      <c r="AD246" s="255">
        <f>IF(K246&lt;&gt;"",K246-E246,0)</f>
        <v>2.6763888888890506</v>
      </c>
      <c r="AE246" s="255">
        <f>IF(N246&gt;0,AD246,0)</f>
        <v>2.6763888888890506</v>
      </c>
      <c r="AF246" s="255">
        <f>IF(N246&lt;0,AD246,0)</f>
        <v>0</v>
      </c>
      <c r="AG246" s="255">
        <f>IF(N246=0,AD246,0)</f>
        <v>0</v>
      </c>
    </row>
    <row r="247" spans="2:33" ht="15" customHeight="1" x14ac:dyDescent="0.3">
      <c r="B247" s="196" t="s">
        <v>5</v>
      </c>
      <c r="C247" s="197" t="s">
        <v>13</v>
      </c>
      <c r="D247" s="246" t="str">
        <f>IF(E247&lt;&gt;"",IF(K247&lt;&gt;"","C","O"),"")</f>
        <v>C</v>
      </c>
      <c r="E247" s="199">
        <v>44799.760416666664</v>
      </c>
      <c r="F247" s="200" t="s">
        <v>93</v>
      </c>
      <c r="G247" s="235">
        <v>12813.56</v>
      </c>
      <c r="H247" s="235">
        <v>12850.47</v>
      </c>
      <c r="I247" s="247">
        <f>ABS(G247-H247)</f>
        <v>36.909999999999854</v>
      </c>
      <c r="J247" s="235">
        <v>12419.86</v>
      </c>
      <c r="K247" s="199">
        <v>44802.106249999997</v>
      </c>
      <c r="L247" s="235">
        <v>12419.86</v>
      </c>
      <c r="M247" s="248">
        <f>ROUND(IF(C247="L",(L247-G247),(G247-L247)),4)</f>
        <v>393.7</v>
      </c>
      <c r="N247" s="249">
        <f>IFERROR(ROUND((M247/I247),2),"")</f>
        <v>10.67</v>
      </c>
      <c r="O247" s="250">
        <f>IF(D247="O",IF(N247&lt;0,N247,0),0)</f>
        <v>0</v>
      </c>
      <c r="P247" s="251">
        <f>IF(N247&gt;= 0,N247,0)</f>
        <v>10.67</v>
      </c>
      <c r="Q247" s="251">
        <f>IF(N247&lt;0,N247,0)</f>
        <v>0</v>
      </c>
      <c r="R2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41164</v>
      </c>
      <c r="T2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41164</v>
      </c>
      <c r="U24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47" s="254">
        <f>IF(B247="FX",N247,0)</f>
        <v>0</v>
      </c>
      <c r="W247" s="254">
        <f>IF(D247="O",IF(V247&lt;0,V247,0),0)</f>
        <v>0</v>
      </c>
      <c r="X247" s="254">
        <f>IF(B247="COM",N247,0)</f>
        <v>0</v>
      </c>
      <c r="Y247" s="254">
        <f>IF(D247="O",IF(X247&lt;0,X247,0),0)</f>
        <v>0</v>
      </c>
      <c r="Z247" s="254">
        <f>IF(B247="IND",N247,0)</f>
        <v>10.67</v>
      </c>
      <c r="AA247" s="250">
        <f>IF(D247="O",IF(Z247&lt;0,Z247,0),0)</f>
        <v>0</v>
      </c>
      <c r="AB247" s="254">
        <f>IF(B247="CRYPTO",N247,0)</f>
        <v>0</v>
      </c>
      <c r="AC247" s="250">
        <f>IF(D247="O",IF(AB247&lt;0,AB247,0),0)</f>
        <v>0</v>
      </c>
      <c r="AD247" s="255">
        <f>IF(K247&lt;&gt;"",K247-E247,0)</f>
        <v>2.3458333333328483</v>
      </c>
      <c r="AE247" s="255">
        <f>IF(N247&gt;0,AD247,0)</f>
        <v>2.3458333333328483</v>
      </c>
      <c r="AF247" s="255">
        <f>IF(N247&lt;0,AD247,0)</f>
        <v>0</v>
      </c>
      <c r="AG247" s="255">
        <f>IF(N247=0,AD247,0)</f>
        <v>0</v>
      </c>
    </row>
    <row r="248" spans="2:33" ht="15" customHeight="1" x14ac:dyDescent="0.3">
      <c r="B248" s="196" t="s">
        <v>7</v>
      </c>
      <c r="C248" s="197" t="s">
        <v>15</v>
      </c>
      <c r="D248" s="246" t="str">
        <f>IF(E248&lt;&gt;"",IF(K248&lt;&gt;"","C","O"),"")</f>
        <v>C</v>
      </c>
      <c r="E248" s="199">
        <v>44799.5625</v>
      </c>
      <c r="F248" s="200" t="s">
        <v>115</v>
      </c>
      <c r="G248" s="235">
        <v>162.029</v>
      </c>
      <c r="H248" s="235">
        <v>161.61099999999999</v>
      </c>
      <c r="I248" s="247">
        <f>ABS(G248-H248)</f>
        <v>0.41800000000000637</v>
      </c>
      <c r="J248" s="235">
        <v>163.22300000000001</v>
      </c>
      <c r="K248" s="199">
        <v>44799.750694444447</v>
      </c>
      <c r="L248" s="235">
        <v>161.72999999999999</v>
      </c>
      <c r="M248" s="248">
        <f>ROUND(IF(C248="L",(L248-G248),(G248-L248)),4)</f>
        <v>-0.29899999999999999</v>
      </c>
      <c r="N248" s="249">
        <f>IFERROR(ROUND((M248/I248),2),"")</f>
        <v>-0.72</v>
      </c>
      <c r="O248" s="250">
        <f>IF(D248="O",IF(N248&lt;0,N248,0),0)</f>
        <v>0</v>
      </c>
      <c r="P248" s="251">
        <f>IF(N248&gt;= 0,N248,0)</f>
        <v>0</v>
      </c>
      <c r="Q248" s="251">
        <f>IF(N248&lt;0,N248,0)</f>
        <v>-0.72</v>
      </c>
      <c r="R2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40097</v>
      </c>
      <c r="T2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48" s="253">
        <f ca="1">IF(Tabla33610673[[#This Row],[Equity]]&lt;Tabla33610673[[#This Row],[Equity Peak]],(Tabla33610673[[#This Row],[Equity Peak]]-Tabla33610673[[#This Row],[Equity]])/Tabla33610673[[#This Row],[Equity Peak]],"")</f>
        <v>1.6193537306474961E-2</v>
      </c>
      <c r="V248" s="254">
        <f>IF(B248="FX",N248,0)</f>
        <v>-0.72</v>
      </c>
      <c r="W248" s="254">
        <f>IF(D248="O",IF(V248&lt;0,V248,0),0)</f>
        <v>0</v>
      </c>
      <c r="X248" s="254">
        <f>IF(B248="COM",N248,0)</f>
        <v>0</v>
      </c>
      <c r="Y248" s="254">
        <f>IF(D248="O",IF(X248&lt;0,X248,0),0)</f>
        <v>0</v>
      </c>
      <c r="Z248" s="254">
        <f>IF(B248="IND",N248,0)</f>
        <v>0</v>
      </c>
      <c r="AA248" s="250">
        <f>IF(D248="O",IF(Z248&lt;0,Z248,0),0)</f>
        <v>0</v>
      </c>
      <c r="AB248" s="254">
        <f>IF(B248="CRYPTO",N248,0)</f>
        <v>0</v>
      </c>
      <c r="AC248" s="250">
        <f>IF(D248="O",IF(AB248&lt;0,AB248,0),0)</f>
        <v>0</v>
      </c>
      <c r="AD248" s="255">
        <f>IF(K248&lt;&gt;"",K248-E248,0)</f>
        <v>0.18819444444670808</v>
      </c>
      <c r="AE248" s="255">
        <f>IF(N248&gt;0,AD248,0)</f>
        <v>0</v>
      </c>
      <c r="AF248" s="255">
        <f>IF(N248&lt;0,AD248,0)</f>
        <v>0.18819444444670808</v>
      </c>
      <c r="AG248" s="255">
        <f>IF(N248=0,AD248,0)</f>
        <v>0</v>
      </c>
    </row>
    <row r="249" spans="2:33" ht="15" customHeight="1" x14ac:dyDescent="0.3">
      <c r="B249" s="196" t="s">
        <v>5</v>
      </c>
      <c r="C249" s="197" t="s">
        <v>15</v>
      </c>
      <c r="D249" s="246" t="str">
        <f>IF(E249&lt;&gt;"",IF(K249&lt;&gt;"","C","O"),"")</f>
        <v>C</v>
      </c>
      <c r="E249" s="199">
        <v>44799.677083333336</v>
      </c>
      <c r="F249" s="200" t="s">
        <v>92</v>
      </c>
      <c r="G249" s="235">
        <v>13180.35</v>
      </c>
      <c r="H249" s="235">
        <v>13155.13</v>
      </c>
      <c r="I249" s="247">
        <f>ABS(G249-H249)</f>
        <v>25.220000000001164</v>
      </c>
      <c r="J249" s="235">
        <v>13651.08</v>
      </c>
      <c r="K249" s="199">
        <v>44799.681250000001</v>
      </c>
      <c r="L249" s="235">
        <v>13155.13</v>
      </c>
      <c r="M249" s="248">
        <f>ROUND(IF(C249="L",(L249-G249),(G249-L249)),4)</f>
        <v>-25.22</v>
      </c>
      <c r="N249" s="249">
        <f>IFERROR(ROUND((M249/I249),2),"")</f>
        <v>-1</v>
      </c>
      <c r="O249" s="250">
        <f>IF(D249="O",IF(N249&lt;0,N249,0),0)</f>
        <v>0</v>
      </c>
      <c r="P249" s="251">
        <f>IF(N249&gt;= 0,N249,0)</f>
        <v>0</v>
      </c>
      <c r="Q249" s="251">
        <f>IF(N249&lt;0,N249,0)</f>
        <v>-1</v>
      </c>
      <c r="R2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40169</v>
      </c>
      <c r="T2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49" s="253">
        <f ca="1">IF(Tabla33610673[[#This Row],[Equity]]&lt;Tabla33610673[[#This Row],[Equity Peak]],(Tabla33610673[[#This Row],[Equity Peak]]-Tabla33610673[[#This Row],[Equity]])/Tabla33610673[[#This Row],[Equity Peak]],"")</f>
        <v>1.4426969600314057E-2</v>
      </c>
      <c r="V249" s="254">
        <f>IF(B249="FX",N249,0)</f>
        <v>0</v>
      </c>
      <c r="W249" s="254">
        <f>IF(D249="O",IF(V249&lt;0,V249,0),0)</f>
        <v>0</v>
      </c>
      <c r="X249" s="254">
        <f>IF(B249="COM",N249,0)</f>
        <v>0</v>
      </c>
      <c r="Y249" s="254">
        <f>IF(D249="O",IF(X249&lt;0,X249,0),0)</f>
        <v>0</v>
      </c>
      <c r="Z249" s="254">
        <f>IF(B249="IND",N249,0)</f>
        <v>-1</v>
      </c>
      <c r="AA249" s="250">
        <f>IF(D249="O",IF(Z249&lt;0,Z249,0),0)</f>
        <v>0</v>
      </c>
      <c r="AB249" s="254">
        <f>IF(B249="CRYPTO",N249,0)</f>
        <v>0</v>
      </c>
      <c r="AC249" s="250">
        <f>IF(D249="O",IF(AB249&lt;0,AB249,0),0)</f>
        <v>0</v>
      </c>
      <c r="AD249" s="255">
        <f>IF(K249&lt;&gt;"",K249-E249,0)</f>
        <v>4.166666665696539E-3</v>
      </c>
      <c r="AE249" s="255">
        <f>IF(N249&gt;0,AD249,0)</f>
        <v>0</v>
      </c>
      <c r="AF249" s="255">
        <f>IF(N249&lt;0,AD249,0)</f>
        <v>4.166666665696539E-3</v>
      </c>
      <c r="AG249" s="255">
        <f>IF(N249=0,AD249,0)</f>
        <v>0</v>
      </c>
    </row>
    <row r="250" spans="2:33" ht="15" customHeight="1" x14ac:dyDescent="0.3">
      <c r="B250" s="196" t="s">
        <v>5</v>
      </c>
      <c r="C250" s="197" t="s">
        <v>15</v>
      </c>
      <c r="D250" s="246" t="str">
        <f>IF(E250&lt;&gt;"",IF(K250&lt;&gt;"","C","O"),"")</f>
        <v>C</v>
      </c>
      <c r="E250" s="199">
        <v>44799.677083333336</v>
      </c>
      <c r="F250" s="200" t="s">
        <v>93</v>
      </c>
      <c r="G250" s="235">
        <v>13180.35</v>
      </c>
      <c r="H250" s="235">
        <v>13151.21</v>
      </c>
      <c r="I250" s="247">
        <f>ABS(G250-H250)</f>
        <v>29.140000000001237</v>
      </c>
      <c r="J250" s="235">
        <v>13491.21</v>
      </c>
      <c r="K250" s="199">
        <v>44799.681250000001</v>
      </c>
      <c r="L250" s="235">
        <v>13151.21</v>
      </c>
      <c r="M250" s="248">
        <f>ROUND(IF(C250="L",(L250-G250),(G250-L250)),4)</f>
        <v>-29.14</v>
      </c>
      <c r="N250" s="249">
        <f>IFERROR(ROUND((M250/I250),2),"")</f>
        <v>-1</v>
      </c>
      <c r="O250" s="250">
        <f>IF(D250="O",IF(N250&lt;0,N250,0),0)</f>
        <v>0</v>
      </c>
      <c r="P250" s="251">
        <f>IF(N250&gt;= 0,N250,0)</f>
        <v>0</v>
      </c>
      <c r="Q250" s="251">
        <f>IF(N250&lt;0,N250,0)</f>
        <v>-1</v>
      </c>
      <c r="R2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40269</v>
      </c>
      <c r="T2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50" s="253">
        <f ca="1">IF(Tabla33610673[[#This Row],[Equity]]&lt;Tabla33610673[[#This Row],[Equity Peak]],(Tabla33610673[[#This Row],[Equity Peak]]-Tabla33610673[[#This Row],[Equity]])/Tabla33610673[[#This Row],[Equity Peak]],"")</f>
        <v>1.1973403341757245E-2</v>
      </c>
      <c r="V250" s="254">
        <f>IF(B250="FX",N250,0)</f>
        <v>0</v>
      </c>
      <c r="W250" s="254">
        <f>IF(D250="O",IF(V250&lt;0,V250,0),0)</f>
        <v>0</v>
      </c>
      <c r="X250" s="254">
        <f>IF(B250="COM",N250,0)</f>
        <v>0</v>
      </c>
      <c r="Y250" s="254">
        <f>IF(D250="O",IF(X250&lt;0,X250,0),0)</f>
        <v>0</v>
      </c>
      <c r="Z250" s="254">
        <f>IF(B250="IND",N250,0)</f>
        <v>-1</v>
      </c>
      <c r="AA250" s="250">
        <f>IF(D250="O",IF(Z250&lt;0,Z250,0),0)</f>
        <v>0</v>
      </c>
      <c r="AB250" s="254">
        <f>IF(B250="CRYPTO",N250,0)</f>
        <v>0</v>
      </c>
      <c r="AC250" s="250">
        <f>IF(D250="O",IF(AB250&lt;0,AB250,0),0)</f>
        <v>0</v>
      </c>
      <c r="AD250" s="255">
        <f>IF(K250&lt;&gt;"",K250-E250,0)</f>
        <v>4.166666665696539E-3</v>
      </c>
      <c r="AE250" s="255">
        <f>IF(N250&gt;0,AD250,0)</f>
        <v>0</v>
      </c>
      <c r="AF250" s="255">
        <f>IF(N250&lt;0,AD250,0)</f>
        <v>4.166666665696539E-3</v>
      </c>
      <c r="AG250" s="255">
        <f>IF(N250=0,AD250,0)</f>
        <v>0</v>
      </c>
    </row>
    <row r="251" spans="2:33" ht="15" customHeight="1" x14ac:dyDescent="0.3">
      <c r="B251" s="196" t="s">
        <v>5</v>
      </c>
      <c r="C251" s="197" t="s">
        <v>15</v>
      </c>
      <c r="D251" s="246" t="str">
        <f>IF(E251&lt;&gt;"",IF(K251&lt;&gt;"","C","O"),"")</f>
        <v>C</v>
      </c>
      <c r="E251" s="199">
        <v>44798.947916666664</v>
      </c>
      <c r="F251" s="200" t="s">
        <v>92</v>
      </c>
      <c r="G251" s="235">
        <v>13102.26</v>
      </c>
      <c r="H251" s="235">
        <v>13069.99</v>
      </c>
      <c r="I251" s="247">
        <f>ABS(G251-H251)</f>
        <v>32.270000000000437</v>
      </c>
      <c r="J251" s="235">
        <v>13704.65</v>
      </c>
      <c r="K251" s="199">
        <v>44799.479861111111</v>
      </c>
      <c r="L251" s="235">
        <v>13069.99</v>
      </c>
      <c r="M251" s="248">
        <f>ROUND(IF(C251="L",(L251-G251),(G251-L251)),4)</f>
        <v>-32.270000000000003</v>
      </c>
      <c r="N251" s="249">
        <f>IFERROR(ROUND((M251/I251),2),"")</f>
        <v>-1</v>
      </c>
      <c r="O251" s="250">
        <f>IF(D251="O",IF(N251&lt;0,N251,0),0)</f>
        <v>0</v>
      </c>
      <c r="P251" s="251">
        <f>IF(N251&gt;= 0,N251,0)</f>
        <v>0</v>
      </c>
      <c r="Q251" s="251">
        <f>IF(N251&lt;0,N251,0)</f>
        <v>-1</v>
      </c>
      <c r="R2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40369</v>
      </c>
      <c r="T2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51" s="253">
        <f ca="1">IF(Tabla33610673[[#This Row],[Equity]]&lt;Tabla33610673[[#This Row],[Equity Peak]],(Tabla33610673[[#This Row],[Equity Peak]]-Tabla33610673[[#This Row],[Equity]])/Tabla33610673[[#This Row],[Equity Peak]],"")</f>
        <v>9.5198370832004324E-3</v>
      </c>
      <c r="V251" s="254">
        <f>IF(B251="FX",N251,0)</f>
        <v>0</v>
      </c>
      <c r="W251" s="254">
        <f>IF(D251="O",IF(V251&lt;0,V251,0),0)</f>
        <v>0</v>
      </c>
      <c r="X251" s="254">
        <f>IF(B251="COM",N251,0)</f>
        <v>0</v>
      </c>
      <c r="Y251" s="254">
        <f>IF(D251="O",IF(X251&lt;0,X251,0),0)</f>
        <v>0</v>
      </c>
      <c r="Z251" s="254">
        <f>IF(B251="IND",N251,0)</f>
        <v>-1</v>
      </c>
      <c r="AA251" s="250">
        <f>IF(D251="O",IF(Z251&lt;0,Z251,0),0)</f>
        <v>0</v>
      </c>
      <c r="AB251" s="254">
        <f>IF(B251="CRYPTO",N251,0)</f>
        <v>0</v>
      </c>
      <c r="AC251" s="250">
        <f>IF(D251="O",IF(AB251&lt;0,AB251,0),0)</f>
        <v>0</v>
      </c>
      <c r="AD251" s="255">
        <f>IF(K251&lt;&gt;"",K251-E251,0)</f>
        <v>0.53194444444670808</v>
      </c>
      <c r="AE251" s="255">
        <f>IF(N251&gt;0,AD251,0)</f>
        <v>0</v>
      </c>
      <c r="AF251" s="255">
        <f>IF(N251&lt;0,AD251,0)</f>
        <v>0.53194444444670808</v>
      </c>
      <c r="AG251" s="255">
        <f>IF(N251=0,AD251,0)</f>
        <v>0</v>
      </c>
    </row>
    <row r="252" spans="2:33" ht="15" customHeight="1" x14ac:dyDescent="0.3">
      <c r="B252" s="196" t="s">
        <v>5</v>
      </c>
      <c r="C252" s="197" t="s">
        <v>15</v>
      </c>
      <c r="D252" s="246" t="str">
        <f>IF(E252&lt;&gt;"",IF(K252&lt;&gt;"","C","O"),"")</f>
        <v>C</v>
      </c>
      <c r="E252" s="199">
        <v>44798.958333333336</v>
      </c>
      <c r="F252" s="200" t="s">
        <v>93</v>
      </c>
      <c r="G252" s="235">
        <v>13138.89</v>
      </c>
      <c r="H252" s="235">
        <v>13108.17</v>
      </c>
      <c r="I252" s="247">
        <f>ABS(G252-H252)</f>
        <v>30.719999999999345</v>
      </c>
      <c r="J252" s="235">
        <v>13466.55</v>
      </c>
      <c r="K252" s="199">
        <v>44799.359722222223</v>
      </c>
      <c r="L252" s="235">
        <v>13108.17</v>
      </c>
      <c r="M252" s="248">
        <f>ROUND(IF(C252="L",(L252-G252),(G252-L252)),4)</f>
        <v>-30.72</v>
      </c>
      <c r="N252" s="249">
        <f>IFERROR(ROUND((M252/I252),2),"")</f>
        <v>-1</v>
      </c>
      <c r="O252" s="250">
        <f>IF(D252="O",IF(N252&lt;0,N252,0),0)</f>
        <v>0</v>
      </c>
      <c r="P252" s="251">
        <f>IF(N252&gt;= 0,N252,0)</f>
        <v>0</v>
      </c>
      <c r="Q252" s="251">
        <f>IF(N252&lt;0,N252,0)</f>
        <v>-1</v>
      </c>
      <c r="R2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40469</v>
      </c>
      <c r="T2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52" s="253">
        <f ca="1">IF(Tabla33610673[[#This Row],[Equity]]&lt;Tabla33610673[[#This Row],[Equity Peak]],(Tabla33610673[[#This Row],[Equity Peak]]-Tabla33610673[[#This Row],[Equity]])/Tabla33610673[[#This Row],[Equity Peak]],"")</f>
        <v>7.0662708246436194E-3</v>
      </c>
      <c r="V252" s="254">
        <f>IF(B252="FX",N252,0)</f>
        <v>0</v>
      </c>
      <c r="W252" s="254">
        <f>IF(D252="O",IF(V252&lt;0,V252,0),0)</f>
        <v>0</v>
      </c>
      <c r="X252" s="254">
        <f>IF(B252="COM",N252,0)</f>
        <v>0</v>
      </c>
      <c r="Y252" s="254">
        <f>IF(D252="O",IF(X252&lt;0,X252,0),0)</f>
        <v>0</v>
      </c>
      <c r="Z252" s="254">
        <f>IF(B252="IND",N252,0)</f>
        <v>-1</v>
      </c>
      <c r="AA252" s="250">
        <f>IF(D252="O",IF(Z252&lt;0,Z252,0),0)</f>
        <v>0</v>
      </c>
      <c r="AB252" s="254">
        <f>IF(B252="CRYPTO",N252,0)</f>
        <v>0</v>
      </c>
      <c r="AC252" s="250">
        <f>IF(D252="O",IF(AB252&lt;0,AB252,0),0)</f>
        <v>0</v>
      </c>
      <c r="AD252" s="255">
        <f>IF(K252&lt;&gt;"",K252-E252,0)</f>
        <v>0.40138888888759539</v>
      </c>
      <c r="AE252" s="255">
        <f>IF(N252&gt;0,AD252,0)</f>
        <v>0</v>
      </c>
      <c r="AF252" s="255">
        <f>IF(N252&lt;0,AD252,0)</f>
        <v>0.40138888888759539</v>
      </c>
      <c r="AG252" s="255">
        <f>IF(N252=0,AD252,0)</f>
        <v>0</v>
      </c>
    </row>
    <row r="253" spans="2:33" ht="15" customHeight="1" x14ac:dyDescent="0.3">
      <c r="B253" s="196" t="s">
        <v>5</v>
      </c>
      <c r="C253" s="197" t="s">
        <v>15</v>
      </c>
      <c r="D253" s="246" t="str">
        <f>IF(E253&lt;&gt;"",IF(K253&lt;&gt;"","C","O"),"")</f>
        <v>C</v>
      </c>
      <c r="E253" s="199">
        <v>44798.729166666664</v>
      </c>
      <c r="F253" s="200" t="s">
        <v>92</v>
      </c>
      <c r="G253" s="235">
        <v>13075.76</v>
      </c>
      <c r="H253" s="235">
        <v>13047.99</v>
      </c>
      <c r="I253" s="247">
        <f>ABS(G253-H253)</f>
        <v>27.770000000000437</v>
      </c>
      <c r="J253" s="235">
        <v>13594.21</v>
      </c>
      <c r="K253" s="199">
        <v>44798.750694444447</v>
      </c>
      <c r="L253" s="235">
        <v>13047.99</v>
      </c>
      <c r="M253" s="248">
        <f>ROUND(IF(C253="L",(L253-G253),(G253-L253)),4)</f>
        <v>-27.77</v>
      </c>
      <c r="N253" s="249">
        <f>IFERROR(ROUND((M253/I253),2),"")</f>
        <v>-1</v>
      </c>
      <c r="O253" s="250">
        <f>IF(D253="O",IF(N253&lt;0,N253,0),0)</f>
        <v>0</v>
      </c>
      <c r="P253" s="251">
        <f>IF(N253&gt;= 0,N253,0)</f>
        <v>0</v>
      </c>
      <c r="Q253" s="251">
        <f>IF(N253&lt;0,N253,0)</f>
        <v>-1</v>
      </c>
      <c r="R2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40569</v>
      </c>
      <c r="T2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53" s="253">
        <f ca="1">IF(Tabla33610673[[#This Row],[Equity]]&lt;Tabla33610673[[#This Row],[Equity Peak]],(Tabla33610673[[#This Row],[Equity Peak]]-Tabla33610673[[#This Row],[Equity]])/Tabla33610673[[#This Row],[Equity Peak]],"")</f>
        <v>4.6127045660868072E-3</v>
      </c>
      <c r="V253" s="254">
        <f>IF(B253="FX",N253,0)</f>
        <v>0</v>
      </c>
      <c r="W253" s="254">
        <f>IF(D253="O",IF(V253&lt;0,V253,0),0)</f>
        <v>0</v>
      </c>
      <c r="X253" s="254">
        <f>IF(B253="COM",N253,0)</f>
        <v>0</v>
      </c>
      <c r="Y253" s="254">
        <f>IF(D253="O",IF(X253&lt;0,X253,0),0)</f>
        <v>0</v>
      </c>
      <c r="Z253" s="254">
        <f>IF(B253="IND",N253,0)</f>
        <v>-1</v>
      </c>
      <c r="AA253" s="250">
        <f>IF(D253="O",IF(Z253&lt;0,Z253,0),0)</f>
        <v>0</v>
      </c>
      <c r="AB253" s="254">
        <f>IF(B253="CRYPTO",N253,0)</f>
        <v>0</v>
      </c>
      <c r="AC253" s="250">
        <f>IF(D253="O",IF(AB253&lt;0,AB253,0),0)</f>
        <v>0</v>
      </c>
      <c r="AD253" s="255">
        <f>IF(K253&lt;&gt;"",K253-E253,0)</f>
        <v>2.1527777782466728E-2</v>
      </c>
      <c r="AE253" s="255">
        <f>IF(N253&gt;0,AD253,0)</f>
        <v>0</v>
      </c>
      <c r="AF253" s="255">
        <f>IF(N253&lt;0,AD253,0)</f>
        <v>2.1527777782466728E-2</v>
      </c>
      <c r="AG253" s="255">
        <f>IF(N253=0,AD253,0)</f>
        <v>0</v>
      </c>
    </row>
    <row r="254" spans="2:33" ht="15" customHeight="1" x14ac:dyDescent="0.3">
      <c r="B254" s="196" t="s">
        <v>5</v>
      </c>
      <c r="C254" s="197" t="s">
        <v>13</v>
      </c>
      <c r="D254" s="246" t="str">
        <f>IF(E254&lt;&gt;"",IF(K254&lt;&gt;"","C","O"),"")</f>
        <v>C</v>
      </c>
      <c r="E254" s="199">
        <v>44797.197916666664</v>
      </c>
      <c r="F254" s="200" t="s">
        <v>91</v>
      </c>
      <c r="G254" s="235">
        <v>13120.26</v>
      </c>
      <c r="H254" s="235">
        <v>13156.1</v>
      </c>
      <c r="I254" s="247">
        <f>ABS(G254-H254)</f>
        <v>35.840000000000146</v>
      </c>
      <c r="J254" s="235">
        <v>12451.19</v>
      </c>
      <c r="K254" s="199">
        <v>44797.37777777778</v>
      </c>
      <c r="L254" s="235">
        <v>13151.84</v>
      </c>
      <c r="M254" s="248">
        <f>ROUND(IF(C254="L",(L254-G254),(G254-L254)),4)</f>
        <v>-31.58</v>
      </c>
      <c r="N254" s="249">
        <f>IFERROR(ROUND((M254/I254),2),"")</f>
        <v>-0.88</v>
      </c>
      <c r="O254" s="250">
        <f>IF(D254="O",IF(N254&lt;0,N254,0),0)</f>
        <v>0</v>
      </c>
      <c r="P254" s="251">
        <f>IF(N254&gt;= 0,N254,0)</f>
        <v>0</v>
      </c>
      <c r="Q254" s="251">
        <f>IF(N254&lt;0,N254,0)</f>
        <v>-0.88</v>
      </c>
      <c r="R2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40669</v>
      </c>
      <c r="T2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54" s="253">
        <f ca="1">IF(Tabla33610673[[#This Row],[Equity]]&lt;Tabla33610673[[#This Row],[Equity Peak]],(Tabla33610673[[#This Row],[Equity Peak]]-Tabla33610673[[#This Row],[Equity]])/Tabla33610673[[#This Row],[Equity Peak]],"")</f>
        <v>2.1591383075299946E-3</v>
      </c>
      <c r="V254" s="254">
        <f>IF(B254="FX",N254,0)</f>
        <v>0</v>
      </c>
      <c r="W254" s="254">
        <f>IF(D254="O",IF(V254&lt;0,V254,0),0)</f>
        <v>0</v>
      </c>
      <c r="X254" s="254">
        <f>IF(B254="COM",N254,0)</f>
        <v>0</v>
      </c>
      <c r="Y254" s="254">
        <f>IF(D254="O",IF(X254&lt;0,X254,0),0)</f>
        <v>0</v>
      </c>
      <c r="Z254" s="254">
        <f>IF(B254="IND",N254,0)</f>
        <v>-0.88</v>
      </c>
      <c r="AA254" s="250">
        <f>IF(D254="O",IF(Z254&lt;0,Z254,0),0)</f>
        <v>0</v>
      </c>
      <c r="AB254" s="254">
        <f>IF(B254="CRYPTO",N254,0)</f>
        <v>0</v>
      </c>
      <c r="AC254" s="250">
        <f>IF(D254="O",IF(AB254&lt;0,AB254,0),0)</f>
        <v>0</v>
      </c>
      <c r="AD254" s="255">
        <f>IF(K254&lt;&gt;"",K254-E254,0)</f>
        <v>0.179861111115315</v>
      </c>
      <c r="AE254" s="255">
        <f>IF(N254&gt;0,AD254,0)</f>
        <v>0</v>
      </c>
      <c r="AF254" s="255">
        <f>IF(N254&lt;0,AD254,0)</f>
        <v>0.179861111115315</v>
      </c>
      <c r="AG254" s="255">
        <f>IF(N254=0,AD254,0)</f>
        <v>0</v>
      </c>
    </row>
    <row r="255" spans="2:33" ht="15" customHeight="1" x14ac:dyDescent="0.3">
      <c r="B255" s="196" t="s">
        <v>5</v>
      </c>
      <c r="C255" s="197" t="s">
        <v>13</v>
      </c>
      <c r="D255" s="246" t="str">
        <f>IF(E255&lt;&gt;"",IF(K255&lt;&gt;"","C","O"),"")</f>
        <v>C</v>
      </c>
      <c r="E255" s="199">
        <v>44795.447916666664</v>
      </c>
      <c r="F255" s="200" t="s">
        <v>92</v>
      </c>
      <c r="G255" s="235">
        <v>13095.14</v>
      </c>
      <c r="H255" s="235">
        <v>13126.38</v>
      </c>
      <c r="I255" s="247">
        <f>ABS(G255-H255)</f>
        <v>31.239999999999782</v>
      </c>
      <c r="J255" s="235">
        <v>12511.93</v>
      </c>
      <c r="K255" s="199">
        <v>44796.459027777775</v>
      </c>
      <c r="L255" s="235">
        <v>12925.48</v>
      </c>
      <c r="M255" s="248">
        <f>ROUND(IF(C255="L",(L255-G255),(G255-L255)),4)</f>
        <v>169.66</v>
      </c>
      <c r="N255" s="249">
        <f>IFERROR(ROUND((M255/I255),2),"")</f>
        <v>5.43</v>
      </c>
      <c r="O255" s="250">
        <f>IF(D255="O",IF(N255&lt;0,N255,0),0)</f>
        <v>0</v>
      </c>
      <c r="P255" s="251">
        <f>IF(N255&gt;= 0,N255,0)</f>
        <v>5.43</v>
      </c>
      <c r="Q255" s="251">
        <f>IF(N255&lt;0,N255,0)</f>
        <v>0</v>
      </c>
      <c r="R2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40757</v>
      </c>
      <c r="T2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40757</v>
      </c>
      <c r="U25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55" s="254">
        <f>IF(B255="FX",N255,0)</f>
        <v>0</v>
      </c>
      <c r="W255" s="254">
        <f>IF(D255="O",IF(V255&lt;0,V255,0),0)</f>
        <v>0</v>
      </c>
      <c r="X255" s="254">
        <f>IF(B255="COM",N255,0)</f>
        <v>0</v>
      </c>
      <c r="Y255" s="254">
        <f>IF(D255="O",IF(X255&lt;0,X255,0),0)</f>
        <v>0</v>
      </c>
      <c r="Z255" s="254">
        <f>IF(B255="IND",N255,0)</f>
        <v>5.43</v>
      </c>
      <c r="AA255" s="250">
        <f>IF(D255="O",IF(Z255&lt;0,Z255,0),0)</f>
        <v>0</v>
      </c>
      <c r="AB255" s="254">
        <f>IF(B255="CRYPTO",N255,0)</f>
        <v>0</v>
      </c>
      <c r="AC255" s="250">
        <f>IF(D255="O",IF(AB255&lt;0,AB255,0),0)</f>
        <v>0</v>
      </c>
      <c r="AD255" s="255">
        <f>IF(K255&lt;&gt;"",K255-E255,0)</f>
        <v>1.0111111111109494</v>
      </c>
      <c r="AE255" s="255">
        <f>IF(N255&gt;0,AD255,0)</f>
        <v>1.0111111111109494</v>
      </c>
      <c r="AF255" s="255">
        <f>IF(N255&lt;0,AD255,0)</f>
        <v>0</v>
      </c>
      <c r="AG255" s="255">
        <f>IF(N255=0,AD255,0)</f>
        <v>0</v>
      </c>
    </row>
    <row r="256" spans="2:33" ht="15" customHeight="1" x14ac:dyDescent="0.3">
      <c r="B256" s="196" t="s">
        <v>7</v>
      </c>
      <c r="C256" s="197" t="s">
        <v>13</v>
      </c>
      <c r="D256" s="246" t="str">
        <f>IF(E256&lt;&gt;"",IF(K256&lt;&gt;"","C","O"),"")</f>
        <v>C</v>
      </c>
      <c r="E256" s="199">
        <v>44796.395833333336</v>
      </c>
      <c r="F256" s="200" t="s">
        <v>115</v>
      </c>
      <c r="G256" s="235">
        <v>161.107</v>
      </c>
      <c r="H256" s="235">
        <v>161.61199999999999</v>
      </c>
      <c r="I256" s="247">
        <f>ABS(G256-H256)</f>
        <v>0.50499999999999545</v>
      </c>
      <c r="J256" s="235">
        <v>159.66499999999999</v>
      </c>
      <c r="K256" s="199">
        <v>44796.4375</v>
      </c>
      <c r="L256" s="235">
        <v>161.41499999999999</v>
      </c>
      <c r="M256" s="248">
        <f>ROUND(IF(C256="L",(L256-G256),(G256-L256)),4)</f>
        <v>-0.308</v>
      </c>
      <c r="N256" s="249">
        <f>IFERROR(ROUND((M256/I256),2),"")</f>
        <v>-0.61</v>
      </c>
      <c r="O256" s="250">
        <f>IF(D256="O",IF(N256&lt;0,N256,0),0)</f>
        <v>0</v>
      </c>
      <c r="P256" s="251">
        <f>IF(N256&gt;= 0,N256,0)</f>
        <v>0</v>
      </c>
      <c r="Q256" s="251">
        <f>IF(N256&lt;0,N256,0)</f>
        <v>-0.61</v>
      </c>
      <c r="R2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40214</v>
      </c>
      <c r="T2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40275</v>
      </c>
      <c r="U256" s="253">
        <f ca="1">IF(Tabla33610673[[#This Row],[Equity]]&lt;Tabla33610673[[#This Row],[Equity Peak]],(Tabla33610673[[#This Row],[Equity Peak]]-Tabla33610673[[#This Row],[Equity]])/Tabla33610673[[#This Row],[Equity Peak]],"")</f>
        <v>1.5145872129112353E-3</v>
      </c>
      <c r="V256" s="254">
        <f>IF(B256="FX",N256,0)</f>
        <v>-0.61</v>
      </c>
      <c r="W256" s="254">
        <f>IF(D256="O",IF(V256&lt;0,V256,0),0)</f>
        <v>0</v>
      </c>
      <c r="X256" s="254">
        <f>IF(B256="COM",N256,0)</f>
        <v>0</v>
      </c>
      <c r="Y256" s="254">
        <f>IF(D256="O",IF(X256&lt;0,X256,0),0)</f>
        <v>0</v>
      </c>
      <c r="Z256" s="254">
        <f>IF(B256="IND",N256,0)</f>
        <v>0</v>
      </c>
      <c r="AA256" s="250">
        <f>IF(D256="O",IF(Z256&lt;0,Z256,0),0)</f>
        <v>0</v>
      </c>
      <c r="AB256" s="254">
        <f>IF(B256="CRYPTO",N256,0)</f>
        <v>0</v>
      </c>
      <c r="AC256" s="250">
        <f>IF(D256="O",IF(AB256&lt;0,AB256,0),0)</f>
        <v>0</v>
      </c>
      <c r="AD256" s="255">
        <f>IF(K256&lt;&gt;"",K256-E256,0)</f>
        <v>4.1666666664241347E-2</v>
      </c>
      <c r="AE256" s="255">
        <f>IF(N256&gt;0,AD256,0)</f>
        <v>0</v>
      </c>
      <c r="AF256" s="255">
        <f>IF(N256&lt;0,AD256,0)</f>
        <v>4.1666666664241347E-2</v>
      </c>
      <c r="AG256" s="255">
        <f>IF(N256=0,AD256,0)</f>
        <v>0</v>
      </c>
    </row>
    <row r="257" spans="2:33" ht="15" customHeight="1" x14ac:dyDescent="0.3">
      <c r="B257" s="196" t="s">
        <v>5</v>
      </c>
      <c r="C257" s="197" t="s">
        <v>13</v>
      </c>
      <c r="D257" s="246" t="str">
        <f>IF(E257&lt;&gt;"",IF(K257&lt;&gt;"","C","O"),"")</f>
        <v>C</v>
      </c>
      <c r="E257" s="199">
        <v>44795.4375</v>
      </c>
      <c r="F257" s="200" t="s">
        <v>91</v>
      </c>
      <c r="G257" s="235">
        <v>13411.76</v>
      </c>
      <c r="H257" s="235">
        <v>13442.97</v>
      </c>
      <c r="I257" s="247">
        <f>ABS(G257-H257)</f>
        <v>31.209999999999127</v>
      </c>
      <c r="J257" s="235">
        <v>12829.1</v>
      </c>
      <c r="K257" s="199">
        <v>44796.432638888888</v>
      </c>
      <c r="L257" s="235">
        <v>13250.83</v>
      </c>
      <c r="M257" s="248">
        <f>ROUND(IF(C257="L",(L257-G257),(G257-L257)),4)</f>
        <v>160.93</v>
      </c>
      <c r="N257" s="249">
        <f>IFERROR(ROUND((M257/I257),2),"")</f>
        <v>5.16</v>
      </c>
      <c r="O257" s="250">
        <f>IF(D257="O",IF(N257&lt;0,N257,0),0)</f>
        <v>0</v>
      </c>
      <c r="P257" s="251">
        <f>IF(N257&gt;= 0,N257,0)</f>
        <v>5.16</v>
      </c>
      <c r="Q257" s="251">
        <f>IF(N257&lt;0,N257,0)</f>
        <v>0</v>
      </c>
      <c r="R2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40275</v>
      </c>
      <c r="T2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40275</v>
      </c>
      <c r="U25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257" s="254">
        <f>IF(B257="FX",N257,0)</f>
        <v>0</v>
      </c>
      <c r="W257" s="254">
        <f>IF(D257="O",IF(V257&lt;0,V257,0),0)</f>
        <v>0</v>
      </c>
      <c r="X257" s="254">
        <f>IF(B257="COM",N257,0)</f>
        <v>0</v>
      </c>
      <c r="Y257" s="254">
        <f>IF(D257="O",IF(X257&lt;0,X257,0),0)</f>
        <v>0</v>
      </c>
      <c r="Z257" s="254">
        <f>IF(B257="IND",N257,0)</f>
        <v>5.16</v>
      </c>
      <c r="AA257" s="250">
        <f>IF(D257="O",IF(Z257&lt;0,Z257,0),0)</f>
        <v>0</v>
      </c>
      <c r="AB257" s="254">
        <f>IF(B257="CRYPTO",N257,0)</f>
        <v>0</v>
      </c>
      <c r="AC257" s="250">
        <f>IF(D257="O",IF(AB257&lt;0,AB257,0),0)</f>
        <v>0</v>
      </c>
      <c r="AD257" s="255">
        <f>IF(K257&lt;&gt;"",K257-E257,0)</f>
        <v>0.99513888888759539</v>
      </c>
      <c r="AE257" s="255">
        <f>IF(N257&gt;0,AD257,0)</f>
        <v>0.99513888888759539</v>
      </c>
      <c r="AF257" s="255">
        <f>IF(N257&lt;0,AD257,0)</f>
        <v>0</v>
      </c>
      <c r="AG257" s="255">
        <f>IF(N257=0,AD257,0)</f>
        <v>0</v>
      </c>
    </row>
    <row r="258" spans="2:33" ht="15" customHeight="1" x14ac:dyDescent="0.3">
      <c r="B258" s="196" t="s">
        <v>7</v>
      </c>
      <c r="C258" s="197" t="s">
        <v>13</v>
      </c>
      <c r="D258" s="246" t="str">
        <f>IF(E258&lt;&gt;"",IF(K258&lt;&gt;"","C","O"),"")</f>
        <v>C</v>
      </c>
      <c r="E258" s="199">
        <v>44791.802083333336</v>
      </c>
      <c r="F258" s="200" t="s">
        <v>114</v>
      </c>
      <c r="G258" s="235">
        <v>1.0111399999999999</v>
      </c>
      <c r="H258" s="235">
        <v>1.0134700000000001</v>
      </c>
      <c r="I258" s="247">
        <f>ABS(G258-H258)</f>
        <v>2.3300000000001653E-3</v>
      </c>
      <c r="J258" s="235">
        <v>0.99014999999999997</v>
      </c>
      <c r="K258" s="199">
        <v>44796.427083333336</v>
      </c>
      <c r="L258" s="235">
        <v>0.99014999999999997</v>
      </c>
      <c r="M258" s="248">
        <f>ROUND(IF(C258="L",(L258-G258),(G258-L258)),4)</f>
        <v>2.1000000000000001E-2</v>
      </c>
      <c r="N258" s="249">
        <f>IFERROR(ROUND((M258/I258),2),"")</f>
        <v>9.01</v>
      </c>
      <c r="O258" s="250">
        <f>IF(D258="O",IF(N258&lt;0,N258,0),0)</f>
        <v>0</v>
      </c>
      <c r="P258" s="251">
        <f>IF(N258&gt;= 0,N258,0)</f>
        <v>9.01</v>
      </c>
      <c r="Q258" s="251">
        <f>IF(N258&lt;0,N258,0)</f>
        <v>0</v>
      </c>
      <c r="R2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39759</v>
      </c>
      <c r="T2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58" s="253">
        <f ca="1">IF(Tabla33610673[[#This Row],[Equity]]&lt;Tabla33610673[[#This Row],[Equity Peak]],(Tabla33610673[[#This Row],[Equity Peak]]-Tabla33610673[[#This Row],[Equity]])/Tabla33610673[[#This Row],[Equity Peak]],"")</f>
        <v>7.5385037817328575E-3</v>
      </c>
      <c r="V258" s="254">
        <f>IF(B258="FX",N258,0)</f>
        <v>9.01</v>
      </c>
      <c r="W258" s="254">
        <f>IF(D258="O",IF(V258&lt;0,V258,0),0)</f>
        <v>0</v>
      </c>
      <c r="X258" s="254">
        <f>IF(B258="COM",N258,0)</f>
        <v>0</v>
      </c>
      <c r="Y258" s="254">
        <f>IF(D258="O",IF(X258&lt;0,X258,0),0)</f>
        <v>0</v>
      </c>
      <c r="Z258" s="254">
        <f>IF(B258="IND",N258,0)</f>
        <v>0</v>
      </c>
      <c r="AA258" s="250">
        <f>IF(D258="O",IF(Z258&lt;0,Z258,0),0)</f>
        <v>0</v>
      </c>
      <c r="AB258" s="254">
        <f>IF(B258="CRYPTO",N258,0)</f>
        <v>0</v>
      </c>
      <c r="AC258" s="250">
        <f>IF(D258="O",IF(AB258&lt;0,AB258,0),0)</f>
        <v>0</v>
      </c>
      <c r="AD258" s="255">
        <f>IF(K258&lt;&gt;"",K258-E258,0)</f>
        <v>4.625</v>
      </c>
      <c r="AE258" s="255">
        <f>IF(N258&gt;0,AD258,0)</f>
        <v>4.625</v>
      </c>
      <c r="AF258" s="255">
        <f>IF(N258&lt;0,AD258,0)</f>
        <v>0</v>
      </c>
      <c r="AG258" s="255">
        <f>IF(N258=0,AD258,0)</f>
        <v>0</v>
      </c>
    </row>
    <row r="259" spans="2:33" ht="15" customHeight="1" x14ac:dyDescent="0.3">
      <c r="B259" s="196" t="s">
        <v>7</v>
      </c>
      <c r="C259" s="197" t="s">
        <v>15</v>
      </c>
      <c r="D259" s="246" t="str">
        <f>IF(E259&lt;&gt;"",IF(K259&lt;&gt;"","C","O"),"")</f>
        <v>C</v>
      </c>
      <c r="E259" s="199">
        <v>44796.135416666664</v>
      </c>
      <c r="F259" s="200" t="s">
        <v>116</v>
      </c>
      <c r="G259" s="235">
        <v>137.66</v>
      </c>
      <c r="H259" s="235">
        <v>137.38900000000001</v>
      </c>
      <c r="I259" s="247">
        <f>ABS(G259-H259)</f>
        <v>0.27099999999998658</v>
      </c>
      <c r="J259" s="235">
        <v>140.483</v>
      </c>
      <c r="K259" s="199">
        <v>44796.150694444441</v>
      </c>
      <c r="L259" s="235">
        <v>137.38900000000001</v>
      </c>
      <c r="M259" s="248">
        <f>ROUND(IF(C259="L",(L259-G259),(G259-L259)),4)</f>
        <v>-0.27100000000000002</v>
      </c>
      <c r="N259" s="249">
        <f>IFERROR(ROUND((M259/I259),2),"")</f>
        <v>-1</v>
      </c>
      <c r="O259" s="250">
        <f>IF(D259="O",IF(N259&lt;0,N259,0),0)</f>
        <v>0</v>
      </c>
      <c r="P259" s="251">
        <f>IF(N259&gt;= 0,N259,0)</f>
        <v>0</v>
      </c>
      <c r="Q259" s="251">
        <f>IF(N259&lt;0,N259,0)</f>
        <v>-1</v>
      </c>
      <c r="R2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38858</v>
      </c>
      <c r="T2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59" s="253">
        <f ca="1">IF(Tabla33610673[[#This Row],[Equity]]&lt;Tabla33610673[[#This Row],[Equity Peak]],(Tabla33610673[[#This Row],[Equity Peak]]-Tabla33610673[[#This Row],[Equity]])/Tabla33610673[[#This Row],[Equity Peak]],"")</f>
        <v>3.0029205461670951E-2</v>
      </c>
      <c r="V259" s="254">
        <f>IF(B259="FX",N259,0)</f>
        <v>-1</v>
      </c>
      <c r="W259" s="254">
        <f>IF(D259="O",IF(V259&lt;0,V259,0),0)</f>
        <v>0</v>
      </c>
      <c r="X259" s="254">
        <f>IF(B259="COM",N259,0)</f>
        <v>0</v>
      </c>
      <c r="Y259" s="254">
        <f>IF(D259="O",IF(X259&lt;0,X259,0),0)</f>
        <v>0</v>
      </c>
      <c r="Z259" s="254">
        <f>IF(B259="IND",N259,0)</f>
        <v>0</v>
      </c>
      <c r="AA259" s="250">
        <f>IF(D259="O",IF(Z259&lt;0,Z259,0),0)</f>
        <v>0</v>
      </c>
      <c r="AB259" s="254">
        <f>IF(B259="CRYPTO",N259,0)</f>
        <v>0</v>
      </c>
      <c r="AC259" s="250">
        <f>IF(D259="O",IF(AB259&lt;0,AB259,0),0)</f>
        <v>0</v>
      </c>
      <c r="AD259" s="255">
        <f>IF(K259&lt;&gt;"",K259-E259,0)</f>
        <v>1.5277777776645962E-2</v>
      </c>
      <c r="AE259" s="255">
        <f>IF(N259&gt;0,AD259,0)</f>
        <v>0</v>
      </c>
      <c r="AF259" s="255">
        <f>IF(N259&lt;0,AD259,0)</f>
        <v>1.5277777776645962E-2</v>
      </c>
      <c r="AG259" s="255">
        <f>IF(N259=0,AD259,0)</f>
        <v>0</v>
      </c>
    </row>
    <row r="260" spans="2:33" ht="15" customHeight="1" x14ac:dyDescent="0.3">
      <c r="B260" s="196" t="s">
        <v>7</v>
      </c>
      <c r="C260" s="197" t="s">
        <v>15</v>
      </c>
      <c r="D260" s="246" t="str">
        <f>IF(E260&lt;&gt;"",IF(K260&lt;&gt;"","C","O"),"")</f>
        <v>C</v>
      </c>
      <c r="E260" s="199">
        <v>44795.770833333336</v>
      </c>
      <c r="F260" s="200" t="s">
        <v>116</v>
      </c>
      <c r="G260" s="235">
        <v>137.64599999999999</v>
      </c>
      <c r="H260" s="235">
        <v>137.36500000000001</v>
      </c>
      <c r="I260" s="247">
        <f>ABS(G260-H260)</f>
        <v>0.28099999999997749</v>
      </c>
      <c r="J260" s="235">
        <v>140.566</v>
      </c>
      <c r="K260" s="199">
        <v>44795.816666666666</v>
      </c>
      <c r="L260" s="235">
        <v>137.36500000000001</v>
      </c>
      <c r="M260" s="248">
        <f>ROUND(IF(C260="L",(L260-G260),(G260-L260)),4)</f>
        <v>-0.28100000000000003</v>
      </c>
      <c r="N260" s="249">
        <f>IFERROR(ROUND((M260/I260),2),"")</f>
        <v>-1</v>
      </c>
      <c r="O260" s="250">
        <f>IF(D260="O",IF(N260&lt;0,N260,0),0)</f>
        <v>0</v>
      </c>
      <c r="P260" s="251">
        <f>IF(N260&gt;= 0,N260,0)</f>
        <v>0</v>
      </c>
      <c r="Q260" s="251">
        <f>IF(N260&lt;0,N260,0)</f>
        <v>-1</v>
      </c>
      <c r="R2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38958</v>
      </c>
      <c r="T2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0" s="253">
        <f ca="1">IF(Tabla33610673[[#This Row],[Equity]]&lt;Tabla33610673[[#This Row],[Equity Peak]],(Tabla33610673[[#This Row],[Equity Peak]]-Tabla33610673[[#This Row],[Equity]])/Tabla33610673[[#This Row],[Equity Peak]],"")</f>
        <v>2.7533012156461395E-2</v>
      </c>
      <c r="V260" s="254">
        <f>IF(B260="FX",N260,0)</f>
        <v>-1</v>
      </c>
      <c r="W260" s="254">
        <f>IF(D260="O",IF(V260&lt;0,V260,0),0)</f>
        <v>0</v>
      </c>
      <c r="X260" s="254">
        <f>IF(B260="COM",N260,0)</f>
        <v>0</v>
      </c>
      <c r="Y260" s="254">
        <f>IF(D260="O",IF(X260&lt;0,X260,0),0)</f>
        <v>0</v>
      </c>
      <c r="Z260" s="254">
        <f>IF(B260="IND",N260,0)</f>
        <v>0</v>
      </c>
      <c r="AA260" s="250">
        <f>IF(D260="O",IF(Z260&lt;0,Z260,0),0)</f>
        <v>0</v>
      </c>
      <c r="AB260" s="254">
        <f>IF(B260="CRYPTO",N260,0)</f>
        <v>0</v>
      </c>
      <c r="AC260" s="250">
        <f>IF(D260="O",IF(AB260&lt;0,AB260,0),0)</f>
        <v>0</v>
      </c>
      <c r="AD260" s="255">
        <f>IF(K260&lt;&gt;"",K260-E260,0)</f>
        <v>4.5833333329937886E-2</v>
      </c>
      <c r="AE260" s="255">
        <f>IF(N260&gt;0,AD260,0)</f>
        <v>0</v>
      </c>
      <c r="AF260" s="255">
        <f>IF(N260&lt;0,AD260,0)</f>
        <v>4.5833333329937886E-2</v>
      </c>
      <c r="AG260" s="255">
        <f>IF(N260=0,AD260,0)</f>
        <v>0</v>
      </c>
    </row>
    <row r="261" spans="2:33" ht="15" customHeight="1" x14ac:dyDescent="0.3">
      <c r="B261" s="196" t="s">
        <v>19</v>
      </c>
      <c r="C261" s="197" t="s">
        <v>13</v>
      </c>
      <c r="D261" s="246" t="str">
        <f>IF(E261&lt;&gt;"",IF(K261&lt;&gt;"","C","O"),"")</f>
        <v>C</v>
      </c>
      <c r="E261" s="199">
        <v>44795.34375</v>
      </c>
      <c r="F261" s="200" t="s">
        <v>88</v>
      </c>
      <c r="G261" s="235">
        <v>1743.16</v>
      </c>
      <c r="H261" s="235">
        <v>1745.74</v>
      </c>
      <c r="I261" s="247">
        <f>ABS(G261-H261)</f>
        <v>2.5799999999999272</v>
      </c>
      <c r="J261" s="235">
        <v>1712.18</v>
      </c>
      <c r="K261" s="199">
        <v>44795.736805555556</v>
      </c>
      <c r="L261" s="235">
        <v>1739.74</v>
      </c>
      <c r="M261" s="248">
        <f>ROUND(IF(C261="L",(L261-G261),(G261-L261)),4)</f>
        <v>3.42</v>
      </c>
      <c r="N261" s="249">
        <f>IFERROR(ROUND((M261/I261),2),"")</f>
        <v>1.33</v>
      </c>
      <c r="O261" s="250">
        <f>IF(D261="O",IF(N261&lt;0,N261,0),0)</f>
        <v>0</v>
      </c>
      <c r="P261" s="251">
        <f>IF(N261&gt;= 0,N261,0)</f>
        <v>1.33</v>
      </c>
      <c r="Q261" s="251">
        <f>IF(N261&lt;0,N261,0)</f>
        <v>0</v>
      </c>
      <c r="R2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39058</v>
      </c>
      <c r="T2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1" s="253">
        <f ca="1">IF(Tabla33610673[[#This Row],[Equity]]&lt;Tabla33610673[[#This Row],[Equity Peak]],(Tabla33610673[[#This Row],[Equity Peak]]-Tabla33610673[[#This Row],[Equity]])/Tabla33610673[[#This Row],[Equity Peak]],"")</f>
        <v>2.5036818851251842E-2</v>
      </c>
      <c r="V261" s="254">
        <f>IF(B261="FX",N261,0)</f>
        <v>0</v>
      </c>
      <c r="W261" s="254">
        <f>IF(D261="O",IF(V261&lt;0,V261,0),0)</f>
        <v>0</v>
      </c>
      <c r="X261" s="254">
        <f>IF(B261="COM",N261,0)</f>
        <v>1.33</v>
      </c>
      <c r="Y261" s="254">
        <f>IF(D261="O",IF(X261&lt;0,X261,0),0)</f>
        <v>0</v>
      </c>
      <c r="Z261" s="254">
        <f>IF(B261="IND",N261,0)</f>
        <v>0</v>
      </c>
      <c r="AA261" s="250">
        <f>IF(D261="O",IF(Z261&lt;0,Z261,0),0)</f>
        <v>0</v>
      </c>
      <c r="AB261" s="254">
        <f>IF(B261="CRYPTO",N261,0)</f>
        <v>0</v>
      </c>
      <c r="AC261" s="250">
        <f>IF(D261="O",IF(AB261&lt;0,AB261,0),0)</f>
        <v>0</v>
      </c>
      <c r="AD261" s="255">
        <f>IF(K261&lt;&gt;"",K261-E261,0)</f>
        <v>0.39305555555620231</v>
      </c>
      <c r="AE261" s="255">
        <f>IF(N261&gt;0,AD261,0)</f>
        <v>0.39305555555620231</v>
      </c>
      <c r="AF261" s="255">
        <f>IF(N261&lt;0,AD261,0)</f>
        <v>0</v>
      </c>
      <c r="AG261" s="255">
        <f>IF(N261=0,AD261,0)</f>
        <v>0</v>
      </c>
    </row>
    <row r="262" spans="2:33" ht="15" customHeight="1" x14ac:dyDescent="0.3">
      <c r="B262" s="196" t="s">
        <v>5</v>
      </c>
      <c r="C262" s="197" t="s">
        <v>13</v>
      </c>
      <c r="D262" s="246" t="str">
        <f>IF(E262&lt;&gt;"",IF(K262&lt;&gt;"","C","O"),"")</f>
        <v>C</v>
      </c>
      <c r="E262" s="199">
        <v>44792.708333333336</v>
      </c>
      <c r="F262" s="200" t="s">
        <v>93</v>
      </c>
      <c r="G262" s="235">
        <v>13281.82</v>
      </c>
      <c r="H262" s="235">
        <v>13311.89</v>
      </c>
      <c r="I262" s="247">
        <f>ABS(G262-H262)</f>
        <v>30.069999999999709</v>
      </c>
      <c r="J262" s="235">
        <v>12961.05</v>
      </c>
      <c r="K262" s="199">
        <v>44795.72152777778</v>
      </c>
      <c r="L262" s="235">
        <v>12961.05</v>
      </c>
      <c r="M262" s="248">
        <f>ROUND(IF(C262="L",(L262-G262),(G262-L262)),4)</f>
        <v>320.77</v>
      </c>
      <c r="N262" s="249">
        <f>IFERROR(ROUND((M262/I262),2),"")</f>
        <v>10.67</v>
      </c>
      <c r="O262" s="250">
        <f>IF(D262="O",IF(N262&lt;0,N262,0),0)</f>
        <v>0</v>
      </c>
      <c r="P262" s="251">
        <f>IF(N262&gt;= 0,N262,0)</f>
        <v>10.67</v>
      </c>
      <c r="Q262" s="251">
        <f>IF(N262&lt;0,N262,0)</f>
        <v>0</v>
      </c>
      <c r="R2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38925</v>
      </c>
      <c r="T2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2" s="253">
        <f ca="1">IF(Tabla33610673[[#This Row],[Equity]]&lt;Tabla33610673[[#This Row],[Equity Peak]],(Tabla33610673[[#This Row],[Equity Peak]]-Tabla33610673[[#This Row],[Equity]])/Tabla33610673[[#This Row],[Equity Peak]],"")</f>
        <v>2.835675594718055E-2</v>
      </c>
      <c r="V262" s="254">
        <f>IF(B262="FX",N262,0)</f>
        <v>0</v>
      </c>
      <c r="W262" s="254">
        <f>IF(D262="O",IF(V262&lt;0,V262,0),0)</f>
        <v>0</v>
      </c>
      <c r="X262" s="254">
        <f>IF(B262="COM",N262,0)</f>
        <v>0</v>
      </c>
      <c r="Y262" s="254">
        <f>IF(D262="O",IF(X262&lt;0,X262,0),0)</f>
        <v>0</v>
      </c>
      <c r="Z262" s="254">
        <f>IF(B262="IND",N262,0)</f>
        <v>10.67</v>
      </c>
      <c r="AA262" s="250">
        <f>IF(D262="O",IF(Z262&lt;0,Z262,0),0)</f>
        <v>0</v>
      </c>
      <c r="AB262" s="254">
        <f>IF(B262="CRYPTO",N262,0)</f>
        <v>0</v>
      </c>
      <c r="AC262" s="250">
        <f>IF(D262="O",IF(AB262&lt;0,AB262,0),0)</f>
        <v>0</v>
      </c>
      <c r="AD262" s="255">
        <f>IF(K262&lt;&gt;"",K262-E262,0)</f>
        <v>3.0131944444437977</v>
      </c>
      <c r="AE262" s="255">
        <f>IF(N262&gt;0,AD262,0)</f>
        <v>3.0131944444437977</v>
      </c>
      <c r="AF262" s="255">
        <f>IF(N262&lt;0,AD262,0)</f>
        <v>0</v>
      </c>
      <c r="AG262" s="255">
        <f>IF(N262=0,AD262,0)</f>
        <v>0</v>
      </c>
    </row>
    <row r="263" spans="2:33" ht="15" customHeight="1" x14ac:dyDescent="0.3">
      <c r="B263" s="196" t="s">
        <v>7</v>
      </c>
      <c r="C263" s="197" t="s">
        <v>13</v>
      </c>
      <c r="D263" s="246" t="str">
        <f>IF(E263&lt;&gt;"",IF(K263&lt;&gt;"","C","O"),"")</f>
        <v>C</v>
      </c>
      <c r="E263" s="199">
        <v>44795.458333333336</v>
      </c>
      <c r="F263" s="200" t="s">
        <v>115</v>
      </c>
      <c r="G263" s="235">
        <v>161.41399999999999</v>
      </c>
      <c r="H263" s="235">
        <v>161.90700000000001</v>
      </c>
      <c r="I263" s="247">
        <f>ABS(G263-H263)</f>
        <v>0.49300000000002342</v>
      </c>
      <c r="J263" s="235">
        <v>160.00399999999999</v>
      </c>
      <c r="K263" s="199">
        <v>44795.501388888886</v>
      </c>
      <c r="L263" s="235">
        <v>161.852</v>
      </c>
      <c r="M263" s="248">
        <f>ROUND(IF(C263="L",(L263-G263),(G263-L263)),4)</f>
        <v>-0.438</v>
      </c>
      <c r="N263" s="249">
        <f>IFERROR(ROUND((M263/I263),2),"")</f>
        <v>-0.89</v>
      </c>
      <c r="O263" s="250">
        <f>IF(D263="O",IF(N263&lt;0,N263,0),0)</f>
        <v>0</v>
      </c>
      <c r="P263" s="251">
        <f>IF(N263&gt;= 0,N263,0)</f>
        <v>0</v>
      </c>
      <c r="Q263" s="251">
        <f>IF(N263&lt;0,N263,0)</f>
        <v>-0.89</v>
      </c>
      <c r="R2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37858</v>
      </c>
      <c r="T2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3" s="253">
        <f ca="1">IF(Tabla33610673[[#This Row],[Equity]]&lt;Tabla33610673[[#This Row],[Equity Peak]],(Tabla33610673[[#This Row],[Equity Peak]]-Tabla33610673[[#This Row],[Equity]])/Tabla33610673[[#This Row],[Equity Peak]],"")</f>
        <v>5.4991138513766503E-2</v>
      </c>
      <c r="V263" s="254">
        <f>IF(B263="FX",N263,0)</f>
        <v>-0.89</v>
      </c>
      <c r="W263" s="254">
        <f>IF(D263="O",IF(V263&lt;0,V263,0),0)</f>
        <v>0</v>
      </c>
      <c r="X263" s="254">
        <f>IF(B263="COM",N263,0)</f>
        <v>0</v>
      </c>
      <c r="Y263" s="254">
        <f>IF(D263="O",IF(X263&lt;0,X263,0),0)</f>
        <v>0</v>
      </c>
      <c r="Z263" s="254">
        <f>IF(B263="IND",N263,0)</f>
        <v>0</v>
      </c>
      <c r="AA263" s="250">
        <f>IF(D263="O",IF(Z263&lt;0,Z263,0),0)</f>
        <v>0</v>
      </c>
      <c r="AB263" s="254">
        <f>IF(B263="CRYPTO",N263,0)</f>
        <v>0</v>
      </c>
      <c r="AC263" s="250">
        <f>IF(D263="O",IF(AB263&lt;0,AB263,0),0)</f>
        <v>0</v>
      </c>
      <c r="AD263" s="255">
        <f>IF(K263&lt;&gt;"",K263-E263,0)</f>
        <v>4.3055555550381541E-2</v>
      </c>
      <c r="AE263" s="255">
        <f>IF(N263&gt;0,AD263,0)</f>
        <v>0</v>
      </c>
      <c r="AF263" s="255">
        <f>IF(N263&lt;0,AD263,0)</f>
        <v>4.3055555550381541E-2</v>
      </c>
      <c r="AG263" s="255">
        <f>IF(N263=0,AD263,0)</f>
        <v>0</v>
      </c>
    </row>
    <row r="264" spans="2:33" ht="15" customHeight="1" x14ac:dyDescent="0.3">
      <c r="B264" s="196" t="s">
        <v>5</v>
      </c>
      <c r="C264" s="197" t="s">
        <v>13</v>
      </c>
      <c r="D264" s="246" t="str">
        <f>IF(E264&lt;&gt;"",IF(K264&lt;&gt;"","C","O"),"")</f>
        <v>C</v>
      </c>
      <c r="E264" s="199">
        <v>44795.385416666664</v>
      </c>
      <c r="F264" s="200" t="s">
        <v>91</v>
      </c>
      <c r="G264" s="235">
        <v>13447.51</v>
      </c>
      <c r="H264" s="235">
        <v>13477.49</v>
      </c>
      <c r="I264" s="247">
        <f>ABS(G264-H264)</f>
        <v>29.979999999999563</v>
      </c>
      <c r="J264" s="235">
        <v>12887.81</v>
      </c>
      <c r="K264" s="199">
        <v>44795.418055555558</v>
      </c>
      <c r="L264" s="235">
        <v>13477.32</v>
      </c>
      <c r="M264" s="248">
        <f>ROUND(IF(C264="L",(L264-G264),(G264-L264)),4)</f>
        <v>-29.81</v>
      </c>
      <c r="N264" s="249">
        <f>IFERROR(ROUND((M264/I264),2),"")</f>
        <v>-0.99</v>
      </c>
      <c r="O264" s="250">
        <f>IF(D264="O",IF(N264&lt;0,N264,0),0)</f>
        <v>0</v>
      </c>
      <c r="P264" s="251">
        <f>IF(N264&gt;= 0,N264,0)</f>
        <v>0</v>
      </c>
      <c r="Q264" s="251">
        <f>IF(N264&lt;0,N264,0)</f>
        <v>-0.99</v>
      </c>
      <c r="R2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37947</v>
      </c>
      <c r="T2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4" s="253">
        <f ca="1">IF(Tabla33610673[[#This Row],[Equity]]&lt;Tabla33610673[[#This Row],[Equity Peak]],(Tabla33610673[[#This Row],[Equity Peak]]-Tabla33610673[[#This Row],[Equity]])/Tabla33610673[[#This Row],[Equity Peak]],"")</f>
        <v>5.2769526472129999E-2</v>
      </c>
      <c r="V264" s="254">
        <f>IF(B264="FX",N264,0)</f>
        <v>0</v>
      </c>
      <c r="W264" s="254">
        <f>IF(D264="O",IF(V264&lt;0,V264,0),0)</f>
        <v>0</v>
      </c>
      <c r="X264" s="254">
        <f>IF(B264="COM",N264,0)</f>
        <v>0</v>
      </c>
      <c r="Y264" s="254">
        <f>IF(D264="O",IF(X264&lt;0,X264,0),0)</f>
        <v>0</v>
      </c>
      <c r="Z264" s="254">
        <f>IF(B264="IND",N264,0)</f>
        <v>-0.99</v>
      </c>
      <c r="AA264" s="250">
        <f>IF(D264="O",IF(Z264&lt;0,Z264,0),0)</f>
        <v>0</v>
      </c>
      <c r="AB264" s="254">
        <f>IF(B264="CRYPTO",N264,0)</f>
        <v>0</v>
      </c>
      <c r="AC264" s="250">
        <f>IF(D264="O",IF(AB264&lt;0,AB264,0),0)</f>
        <v>0</v>
      </c>
      <c r="AD264" s="255">
        <f>IF(K264&lt;&gt;"",K264-E264,0)</f>
        <v>3.2638888893416151E-2</v>
      </c>
      <c r="AE264" s="255">
        <f>IF(N264&gt;0,AD264,0)</f>
        <v>0</v>
      </c>
      <c r="AF264" s="255">
        <f>IF(N264&lt;0,AD264,0)</f>
        <v>3.2638888893416151E-2</v>
      </c>
      <c r="AG264" s="255">
        <f>IF(N264=0,AD264,0)</f>
        <v>0</v>
      </c>
    </row>
    <row r="265" spans="2:33" ht="15" customHeight="1" x14ac:dyDescent="0.3">
      <c r="B265" s="196" t="s">
        <v>5</v>
      </c>
      <c r="C265" s="197" t="s">
        <v>13</v>
      </c>
      <c r="D265" s="246" t="str">
        <f>IF(E265&lt;&gt;"",IF(K265&lt;&gt;"","C","O"),"")</f>
        <v>C</v>
      </c>
      <c r="E265" s="199">
        <v>44795.145833333336</v>
      </c>
      <c r="F265" s="200" t="s">
        <v>91</v>
      </c>
      <c r="G265" s="235">
        <v>13486.51</v>
      </c>
      <c r="H265" s="235">
        <v>13517.5</v>
      </c>
      <c r="I265" s="247">
        <f>ABS(G265-H265)</f>
        <v>30.989999999999782</v>
      </c>
      <c r="J265" s="235">
        <v>12908.06</v>
      </c>
      <c r="K265" s="199">
        <v>44795.234027777777</v>
      </c>
      <c r="L265" s="235">
        <v>13517.5</v>
      </c>
      <c r="M265" s="248">
        <f>ROUND(IF(C265="L",(L265-G265),(G265-L265)),4)</f>
        <v>-30.99</v>
      </c>
      <c r="N265" s="249">
        <f>IFERROR(ROUND((M265/I265),2),"")</f>
        <v>-1</v>
      </c>
      <c r="O265" s="250">
        <f>IF(D265="O",IF(N265&lt;0,N265,0),0)</f>
        <v>0</v>
      </c>
      <c r="P265" s="251">
        <f>IF(N265&gt;= 0,N265,0)</f>
        <v>0</v>
      </c>
      <c r="Q265" s="251">
        <f>IF(N265&lt;0,N265,0)</f>
        <v>-1</v>
      </c>
      <c r="R2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38046</v>
      </c>
      <c r="T2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5" s="253">
        <f ca="1">IF(Tabla33610673[[#This Row],[Equity]]&lt;Tabla33610673[[#This Row],[Equity Peak]],(Tabla33610673[[#This Row],[Equity Peak]]-Tabla33610673[[#This Row],[Equity]])/Tabla33610673[[#This Row],[Equity Peak]],"")</f>
        <v>5.0298295099972544E-2</v>
      </c>
      <c r="V265" s="254">
        <f>IF(B265="FX",N265,0)</f>
        <v>0</v>
      </c>
      <c r="W265" s="254">
        <f>IF(D265="O",IF(V265&lt;0,V265,0),0)</f>
        <v>0</v>
      </c>
      <c r="X265" s="254">
        <f>IF(B265="COM",N265,0)</f>
        <v>0</v>
      </c>
      <c r="Y265" s="254">
        <f>IF(D265="O",IF(X265&lt;0,X265,0),0)</f>
        <v>0</v>
      </c>
      <c r="Z265" s="254">
        <f>IF(B265="IND",N265,0)</f>
        <v>-1</v>
      </c>
      <c r="AA265" s="250">
        <f>IF(D265="O",IF(Z265&lt;0,Z265,0),0)</f>
        <v>0</v>
      </c>
      <c r="AB265" s="254">
        <f>IF(B265="CRYPTO",N265,0)</f>
        <v>0</v>
      </c>
      <c r="AC265" s="250">
        <f>IF(D265="O",IF(AB265&lt;0,AB265,0),0)</f>
        <v>0</v>
      </c>
      <c r="AD265" s="255">
        <f>IF(K265&lt;&gt;"",K265-E265,0)</f>
        <v>8.819444444088731E-2</v>
      </c>
      <c r="AE265" s="255">
        <f>IF(N265&gt;0,AD265,0)</f>
        <v>0</v>
      </c>
      <c r="AF265" s="255">
        <f>IF(N265&lt;0,AD265,0)</f>
        <v>8.819444444088731E-2</v>
      </c>
      <c r="AG265" s="255">
        <f>IF(N265=0,AD265,0)</f>
        <v>0</v>
      </c>
    </row>
    <row r="266" spans="2:33" ht="15" customHeight="1" x14ac:dyDescent="0.3">
      <c r="B266" s="196" t="s">
        <v>7</v>
      </c>
      <c r="C266" s="197" t="s">
        <v>15</v>
      </c>
      <c r="D266" s="246" t="str">
        <f>IF(E266&lt;&gt;"",IF(K266&lt;&gt;"","C","O"),"")</f>
        <v>C</v>
      </c>
      <c r="E266" s="199">
        <v>44791.833333333336</v>
      </c>
      <c r="F266" s="200" t="s">
        <v>116</v>
      </c>
      <c r="G266" s="235">
        <v>135.643</v>
      </c>
      <c r="H266" s="235">
        <v>135.363</v>
      </c>
      <c r="I266" s="247">
        <f>ABS(G266-H266)</f>
        <v>0.28000000000000114</v>
      </c>
      <c r="J266" s="235">
        <v>138.559</v>
      </c>
      <c r="K266" s="199">
        <v>44792.837500000001</v>
      </c>
      <c r="L266" s="235">
        <v>136.77600000000001</v>
      </c>
      <c r="M266" s="248">
        <f>ROUND(IF(C266="L",(L266-G266),(G266-L266)),4)</f>
        <v>1.133</v>
      </c>
      <c r="N266" s="249">
        <f>IFERROR(ROUND((M266/I266),2),"")</f>
        <v>4.05</v>
      </c>
      <c r="O266" s="250">
        <f>IF(D266="O",IF(N266&lt;0,N266,0),0)</f>
        <v>0</v>
      </c>
      <c r="P266" s="251">
        <f>IF(N266&gt;= 0,N266,0)</f>
        <v>4.05</v>
      </c>
      <c r="Q266" s="251">
        <f>IF(N266&lt;0,N266,0)</f>
        <v>0</v>
      </c>
      <c r="R2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38146</v>
      </c>
      <c r="T2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6" s="253">
        <f ca="1">IF(Tabla33610673[[#This Row],[Equity]]&lt;Tabla33610673[[#This Row],[Equity Peak]],(Tabla33610673[[#This Row],[Equity Peak]]-Tabla33610673[[#This Row],[Equity]])/Tabla33610673[[#This Row],[Equity Peak]],"")</f>
        <v>4.7802101794762984E-2</v>
      </c>
      <c r="V266" s="254">
        <f>IF(B266="FX",N266,0)</f>
        <v>4.05</v>
      </c>
      <c r="W266" s="254">
        <f>IF(D266="O",IF(V266&lt;0,V266,0),0)</f>
        <v>0</v>
      </c>
      <c r="X266" s="254">
        <f>IF(B266="COM",N266,0)</f>
        <v>0</v>
      </c>
      <c r="Y266" s="254">
        <f>IF(D266="O",IF(X266&lt;0,X266,0),0)</f>
        <v>0</v>
      </c>
      <c r="Z266" s="254">
        <f>IF(B266="IND",N266,0)</f>
        <v>0</v>
      </c>
      <c r="AA266" s="250">
        <f>IF(D266="O",IF(Z266&lt;0,Z266,0),0)</f>
        <v>0</v>
      </c>
      <c r="AB266" s="254">
        <f>IF(B266="CRYPTO",N266,0)</f>
        <v>0</v>
      </c>
      <c r="AC266" s="250">
        <f>IF(D266="O",IF(AB266&lt;0,AB266,0),0)</f>
        <v>0</v>
      </c>
      <c r="AD266" s="255">
        <f>IF(K266&lt;&gt;"",K266-E266,0)</f>
        <v>1.0041666666656965</v>
      </c>
      <c r="AE266" s="255">
        <f>IF(N266&gt;0,AD266,0)</f>
        <v>1.0041666666656965</v>
      </c>
      <c r="AF266" s="255">
        <f>IF(N266&lt;0,AD266,0)</f>
        <v>0</v>
      </c>
      <c r="AG266" s="255">
        <f>IF(N266=0,AD266,0)</f>
        <v>0</v>
      </c>
    </row>
    <row r="267" spans="2:33" ht="15" customHeight="1" x14ac:dyDescent="0.3">
      <c r="B267" s="196" t="s">
        <v>5</v>
      </c>
      <c r="C267" s="197" t="s">
        <v>13</v>
      </c>
      <c r="D267" s="246" t="str">
        <f>IF(E267&lt;&gt;"",IF(K267&lt;&gt;"","C","O"),"")</f>
        <v>C</v>
      </c>
      <c r="E267" s="199">
        <v>44792.760416666664</v>
      </c>
      <c r="F267" s="200" t="s">
        <v>91</v>
      </c>
      <c r="G267" s="235">
        <v>13533.06</v>
      </c>
      <c r="H267" s="235">
        <v>13564.24</v>
      </c>
      <c r="I267" s="247">
        <f>ABS(G267-H267)</f>
        <v>31.180000000000291</v>
      </c>
      <c r="J267" s="235">
        <v>12951.04</v>
      </c>
      <c r="K267" s="199">
        <v>44792.781944444447</v>
      </c>
      <c r="L267" s="235">
        <v>13564.24</v>
      </c>
      <c r="M267" s="248">
        <f>ROUND(IF(C267="L",(L267-G267),(G267-L267)),4)</f>
        <v>-31.18</v>
      </c>
      <c r="N267" s="249">
        <f>IFERROR(ROUND((M267/I267),2),"")</f>
        <v>-1</v>
      </c>
      <c r="O267" s="250">
        <f>IF(D267="O",IF(N267&lt;0,N267,0),0)</f>
        <v>0</v>
      </c>
      <c r="P267" s="251">
        <f>IF(N267&gt;= 0,N267,0)</f>
        <v>0</v>
      </c>
      <c r="Q267" s="251">
        <f>IF(N267&lt;0,N267,0)</f>
        <v>-1</v>
      </c>
      <c r="R2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37741</v>
      </c>
      <c r="T2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7" s="253">
        <f ca="1">IF(Tabla33610673[[#This Row],[Equity]]&lt;Tabla33610673[[#This Row],[Equity Peak]],(Tabla33610673[[#This Row],[Equity Peak]]-Tabla33610673[[#This Row],[Equity]])/Tabla33610673[[#This Row],[Equity Peak]],"")</f>
        <v>5.7911684680861684E-2</v>
      </c>
      <c r="V267" s="254">
        <f>IF(B267="FX",N267,0)</f>
        <v>0</v>
      </c>
      <c r="W267" s="254">
        <f>IF(D267="O",IF(V267&lt;0,V267,0),0)</f>
        <v>0</v>
      </c>
      <c r="X267" s="254">
        <f>IF(B267="COM",N267,0)</f>
        <v>0</v>
      </c>
      <c r="Y267" s="254">
        <f>IF(D267="O",IF(X267&lt;0,X267,0),0)</f>
        <v>0</v>
      </c>
      <c r="Z267" s="254">
        <f>IF(B267="IND",N267,0)</f>
        <v>-1</v>
      </c>
      <c r="AA267" s="250">
        <f>IF(D267="O",IF(Z267&lt;0,Z267,0),0)</f>
        <v>0</v>
      </c>
      <c r="AB267" s="254">
        <f>IF(B267="CRYPTO",N267,0)</f>
        <v>0</v>
      </c>
      <c r="AC267" s="250">
        <f>IF(D267="O",IF(AB267&lt;0,AB267,0),0)</f>
        <v>0</v>
      </c>
      <c r="AD267" s="255">
        <f>IF(K267&lt;&gt;"",K267-E267,0)</f>
        <v>2.1527777782466728E-2</v>
      </c>
      <c r="AE267" s="255">
        <f>IF(N267&gt;0,AD267,0)</f>
        <v>0</v>
      </c>
      <c r="AF267" s="255">
        <f>IF(N267&lt;0,AD267,0)</f>
        <v>2.1527777782466728E-2</v>
      </c>
      <c r="AG267" s="255">
        <f>IF(N267=0,AD267,0)</f>
        <v>0</v>
      </c>
    </row>
    <row r="268" spans="2:33" ht="15" customHeight="1" x14ac:dyDescent="0.3">
      <c r="B268" s="196" t="s">
        <v>19</v>
      </c>
      <c r="C268" s="197" t="s">
        <v>13</v>
      </c>
      <c r="D268" s="246" t="str">
        <f>IF(E268&lt;&gt;"",IF(K268&lt;&gt;"","C","O"),"")</f>
        <v>C</v>
      </c>
      <c r="E268" s="199">
        <v>44792.739583333336</v>
      </c>
      <c r="F268" s="200" t="s">
        <v>88</v>
      </c>
      <c r="G268" s="235">
        <v>1746.97</v>
      </c>
      <c r="H268" s="235">
        <v>1749.7</v>
      </c>
      <c r="I268" s="247">
        <f>ABS(G268-H268)</f>
        <v>2.7300000000000182</v>
      </c>
      <c r="J268" s="235">
        <v>1714.2</v>
      </c>
      <c r="K268" s="199">
        <v>44792.75277777778</v>
      </c>
      <c r="L268" s="235">
        <v>1749.7</v>
      </c>
      <c r="M268" s="248">
        <f>ROUND(IF(C268="L",(L268-G268),(G268-L268)),4)</f>
        <v>-2.73</v>
      </c>
      <c r="N268" s="249">
        <f>IFERROR(ROUND((M268/I268),2),"")</f>
        <v>-1</v>
      </c>
      <c r="O268" s="250">
        <f>IF(D268="O",IF(N268&lt;0,N268,0),0)</f>
        <v>0</v>
      </c>
      <c r="P268" s="251">
        <f>IF(N268&gt;= 0,N268,0)</f>
        <v>0</v>
      </c>
      <c r="Q268" s="251">
        <f>IF(N268&lt;0,N268,0)</f>
        <v>-1</v>
      </c>
      <c r="R2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37841</v>
      </c>
      <c r="T2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8" s="253">
        <f ca="1">IF(Tabla33610673[[#This Row],[Equity]]&lt;Tabla33610673[[#This Row],[Equity Peak]],(Tabla33610673[[#This Row],[Equity Peak]]-Tabla33610673[[#This Row],[Equity]])/Tabla33610673[[#This Row],[Equity Peak]],"")</f>
        <v>5.5415491375652132E-2</v>
      </c>
      <c r="V268" s="254">
        <f>IF(B268="FX",N268,0)</f>
        <v>0</v>
      </c>
      <c r="W268" s="254">
        <f>IF(D268="O",IF(V268&lt;0,V268,0),0)</f>
        <v>0</v>
      </c>
      <c r="X268" s="254">
        <f>IF(B268="COM",N268,0)</f>
        <v>-1</v>
      </c>
      <c r="Y268" s="254">
        <f>IF(D268="O",IF(X268&lt;0,X268,0),0)</f>
        <v>0</v>
      </c>
      <c r="Z268" s="254">
        <f>IF(B268="IND",N268,0)</f>
        <v>0</v>
      </c>
      <c r="AA268" s="250">
        <f>IF(D268="O",IF(Z268&lt;0,Z268,0),0)</f>
        <v>0</v>
      </c>
      <c r="AB268" s="254">
        <f>IF(B268="CRYPTO",N268,0)</f>
        <v>0</v>
      </c>
      <c r="AC268" s="250">
        <f>IF(D268="O",IF(AB268&lt;0,AB268,0),0)</f>
        <v>0</v>
      </c>
      <c r="AD268" s="255">
        <f>IF(K268&lt;&gt;"",K268-E268,0)</f>
        <v>1.3194444443797693E-2</v>
      </c>
      <c r="AE268" s="255">
        <f>IF(N268&gt;0,AD268,0)</f>
        <v>0</v>
      </c>
      <c r="AF268" s="255">
        <f>IF(N268&lt;0,AD268,0)</f>
        <v>1.3194444443797693E-2</v>
      </c>
      <c r="AG268" s="255">
        <f>IF(N268=0,AD268,0)</f>
        <v>0</v>
      </c>
    </row>
    <row r="269" spans="2:33" ht="15" customHeight="1" x14ac:dyDescent="0.3">
      <c r="B269" s="196" t="s">
        <v>19</v>
      </c>
      <c r="C269" s="197" t="s">
        <v>13</v>
      </c>
      <c r="D269" s="246" t="str">
        <f>IF(E269&lt;&gt;"",IF(K269&lt;&gt;"","C","O"),"")</f>
        <v>C</v>
      </c>
      <c r="E269" s="199">
        <v>44792.552083333336</v>
      </c>
      <c r="F269" s="200" t="s">
        <v>88</v>
      </c>
      <c r="G269" s="235">
        <v>1750.03</v>
      </c>
      <c r="H269" s="235">
        <v>1752.32</v>
      </c>
      <c r="I269" s="247">
        <f>ABS(G269-H269)</f>
        <v>2.2899999999999636</v>
      </c>
      <c r="J269" s="235">
        <v>1722.6</v>
      </c>
      <c r="K269" s="199">
        <v>44792.585416666669</v>
      </c>
      <c r="L269" s="235">
        <v>1752.32</v>
      </c>
      <c r="M269" s="248">
        <f>ROUND(IF(C269="L",(L269-G269),(G269-L269)),4)</f>
        <v>-2.29</v>
      </c>
      <c r="N269" s="249">
        <f>IFERROR(ROUND((M269/I269),2),"")</f>
        <v>-1</v>
      </c>
      <c r="O269" s="250">
        <f>IF(D269="O",IF(N269&lt;0,N269,0),0)</f>
        <v>0</v>
      </c>
      <c r="P269" s="251">
        <f>IF(N269&gt;= 0,N269,0)</f>
        <v>0</v>
      </c>
      <c r="Q269" s="251">
        <f>IF(N269&lt;0,N269,0)</f>
        <v>-1</v>
      </c>
      <c r="R2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37941</v>
      </c>
      <c r="T2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69" s="253">
        <f ca="1">IF(Tabla33610673[[#This Row],[Equity]]&lt;Tabla33610673[[#This Row],[Equity Peak]],(Tabla33610673[[#This Row],[Equity Peak]]-Tabla33610673[[#This Row],[Equity]])/Tabla33610673[[#This Row],[Equity Peak]],"")</f>
        <v>5.2919298070442572E-2</v>
      </c>
      <c r="V269" s="254">
        <f>IF(B269="FX",N269,0)</f>
        <v>0</v>
      </c>
      <c r="W269" s="254">
        <f>IF(D269="O",IF(V269&lt;0,V269,0),0)</f>
        <v>0</v>
      </c>
      <c r="X269" s="254">
        <f>IF(B269="COM",N269,0)</f>
        <v>-1</v>
      </c>
      <c r="Y269" s="254">
        <f>IF(D269="O",IF(X269&lt;0,X269,0),0)</f>
        <v>0</v>
      </c>
      <c r="Z269" s="254">
        <f>IF(B269="IND",N269,0)</f>
        <v>0</v>
      </c>
      <c r="AA269" s="250">
        <f>IF(D269="O",IF(Z269&lt;0,Z269,0),0)</f>
        <v>0</v>
      </c>
      <c r="AB269" s="254">
        <f>IF(B269="CRYPTO",N269,0)</f>
        <v>0</v>
      </c>
      <c r="AC269" s="250">
        <f>IF(D269="O",IF(AB269&lt;0,AB269,0),0)</f>
        <v>0</v>
      </c>
      <c r="AD269" s="255">
        <f>IF(K269&lt;&gt;"",K269-E269,0)</f>
        <v>3.3333333332848269E-2</v>
      </c>
      <c r="AE269" s="255">
        <f>IF(N269&gt;0,AD269,0)</f>
        <v>0</v>
      </c>
      <c r="AF269" s="255">
        <f>IF(N269&lt;0,AD269,0)</f>
        <v>3.3333333332848269E-2</v>
      </c>
      <c r="AG269" s="255">
        <f>IF(N269=0,AD269,0)</f>
        <v>0</v>
      </c>
    </row>
    <row r="270" spans="2:33" ht="15" customHeight="1" x14ac:dyDescent="0.3">
      <c r="B270" s="196" t="s">
        <v>7</v>
      </c>
      <c r="C270" s="197" t="s">
        <v>13</v>
      </c>
      <c r="D270" s="246" t="str">
        <f>IF(E270&lt;&gt;"",IF(K270&lt;&gt;"","C","O"),"")</f>
        <v>C</v>
      </c>
      <c r="E270" s="199">
        <v>44791.697916666664</v>
      </c>
      <c r="F270" s="200" t="s">
        <v>115</v>
      </c>
      <c r="G270" s="235">
        <v>162.113</v>
      </c>
      <c r="H270" s="235">
        <v>162.655</v>
      </c>
      <c r="I270" s="247">
        <f>ABS(G270-H270)</f>
        <v>0.54200000000000159</v>
      </c>
      <c r="J270" s="235">
        <v>160.565</v>
      </c>
      <c r="K270" s="199">
        <v>44792.412499999999</v>
      </c>
      <c r="L270" s="235">
        <v>162.499</v>
      </c>
      <c r="M270" s="248">
        <f>ROUND(IF(C270="L",(L270-G270),(G270-L270)),4)</f>
        <v>-0.38600000000000001</v>
      </c>
      <c r="N270" s="249">
        <f>IFERROR(ROUND((M270/I270),2),"")</f>
        <v>-0.71</v>
      </c>
      <c r="O270" s="250">
        <f>IF(D270="O",IF(N270&lt;0,N270,0),0)</f>
        <v>0</v>
      </c>
      <c r="P270" s="251">
        <f>IF(N270&gt;= 0,N270,0)</f>
        <v>0</v>
      </c>
      <c r="Q270" s="251">
        <f>IF(N270&lt;0,N270,0)</f>
        <v>-0.71</v>
      </c>
      <c r="R2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38041</v>
      </c>
      <c r="T2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0" s="253">
        <f ca="1">IF(Tabla33610673[[#This Row],[Equity]]&lt;Tabla33610673[[#This Row],[Equity Peak]],(Tabla33610673[[#This Row],[Equity Peak]]-Tabla33610673[[#This Row],[Equity]])/Tabla33610673[[#This Row],[Equity Peak]],"")</f>
        <v>5.0423104765233019E-2</v>
      </c>
      <c r="V270" s="254">
        <f>IF(B270="FX",N270,0)</f>
        <v>-0.71</v>
      </c>
      <c r="W270" s="254">
        <f>IF(D270="O",IF(V270&lt;0,V270,0),0)</f>
        <v>0</v>
      </c>
      <c r="X270" s="254">
        <f>IF(B270="COM",N270,0)</f>
        <v>0</v>
      </c>
      <c r="Y270" s="254">
        <f>IF(D270="O",IF(X270&lt;0,X270,0),0)</f>
        <v>0</v>
      </c>
      <c r="Z270" s="254">
        <f>IF(B270="IND",N270,0)</f>
        <v>0</v>
      </c>
      <c r="AA270" s="250">
        <f>IF(D270="O",IF(Z270&lt;0,Z270,0),0)</f>
        <v>0</v>
      </c>
      <c r="AB270" s="254">
        <f>IF(B270="CRYPTO",N270,0)</f>
        <v>0</v>
      </c>
      <c r="AC270" s="250">
        <f>IF(D270="O",IF(AB270&lt;0,AB270,0),0)</f>
        <v>0</v>
      </c>
      <c r="AD270" s="255">
        <f>IF(K270&lt;&gt;"",K270-E270,0)</f>
        <v>0.71458333333430346</v>
      </c>
      <c r="AE270" s="255">
        <f>IF(N270&gt;0,AD270,0)</f>
        <v>0</v>
      </c>
      <c r="AF270" s="255">
        <f>IF(N270&lt;0,AD270,0)</f>
        <v>0.71458333333430346</v>
      </c>
      <c r="AG270" s="255">
        <f>IF(N270=0,AD270,0)</f>
        <v>0</v>
      </c>
    </row>
    <row r="271" spans="2:33" ht="15" customHeight="1" x14ac:dyDescent="0.3">
      <c r="B271" s="196" t="s">
        <v>19</v>
      </c>
      <c r="C271" s="197" t="s">
        <v>13</v>
      </c>
      <c r="D271" s="246" t="str">
        <f>IF(E271&lt;&gt;"",IF(K271&lt;&gt;"","C","O"),"")</f>
        <v>C</v>
      </c>
      <c r="E271" s="199">
        <v>44792.302083333336</v>
      </c>
      <c r="F271" s="200" t="s">
        <v>88</v>
      </c>
      <c r="G271" s="235">
        <v>1752.62</v>
      </c>
      <c r="H271" s="235">
        <v>1755.36</v>
      </c>
      <c r="I271" s="247">
        <f>ABS(G271-H271)</f>
        <v>2.7400000000000091</v>
      </c>
      <c r="J271" s="235">
        <v>1719.75</v>
      </c>
      <c r="K271" s="199">
        <v>44792.363888888889</v>
      </c>
      <c r="L271" s="235">
        <v>1755.36</v>
      </c>
      <c r="M271" s="248">
        <f>ROUND(IF(C271="L",(L271-G271),(G271-L271)),4)</f>
        <v>-2.74</v>
      </c>
      <c r="N271" s="249">
        <f>IFERROR(ROUND((M271/I271),2),"")</f>
        <v>-1</v>
      </c>
      <c r="O271" s="250">
        <f>IF(D271="O",IF(N271&lt;0,N271,0),0)</f>
        <v>0</v>
      </c>
      <c r="P271" s="251">
        <f>IF(N271&gt;= 0,N271,0)</f>
        <v>0</v>
      </c>
      <c r="Q271" s="251">
        <f>IF(N271&lt;0,N271,0)</f>
        <v>-1</v>
      </c>
      <c r="R2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38112</v>
      </c>
      <c r="T2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1" s="253">
        <f ca="1">IF(Tabla33610673[[#This Row],[Equity]]&lt;Tabla33610673[[#This Row],[Equity Peak]],(Tabla33610673[[#This Row],[Equity Peak]]-Tabla33610673[[#This Row],[Equity]])/Tabla33610673[[#This Row],[Equity Peak]],"")</f>
        <v>4.8650807518534234E-2</v>
      </c>
      <c r="V271" s="254">
        <f>IF(B271="FX",N271,0)</f>
        <v>0</v>
      </c>
      <c r="W271" s="254">
        <f>IF(D271="O",IF(V271&lt;0,V271,0),0)</f>
        <v>0</v>
      </c>
      <c r="X271" s="254">
        <f>IF(B271="COM",N271,0)</f>
        <v>-1</v>
      </c>
      <c r="Y271" s="254">
        <f>IF(D271="O",IF(X271&lt;0,X271,0),0)</f>
        <v>0</v>
      </c>
      <c r="Z271" s="254">
        <f>IF(B271="IND",N271,0)</f>
        <v>0</v>
      </c>
      <c r="AA271" s="250">
        <f>IF(D271="O",IF(Z271&lt;0,Z271,0),0)</f>
        <v>0</v>
      </c>
      <c r="AB271" s="254">
        <f>IF(B271="CRYPTO",N271,0)</f>
        <v>0</v>
      </c>
      <c r="AC271" s="250">
        <f>IF(D271="O",IF(AB271&lt;0,AB271,0),0)</f>
        <v>0</v>
      </c>
      <c r="AD271" s="255">
        <f>IF(K271&lt;&gt;"",K271-E271,0)</f>
        <v>6.1805555553291924E-2</v>
      </c>
      <c r="AE271" s="255">
        <f>IF(N271&gt;0,AD271,0)</f>
        <v>0</v>
      </c>
      <c r="AF271" s="255">
        <f>IF(N271&lt;0,AD271,0)</f>
        <v>6.1805555553291924E-2</v>
      </c>
      <c r="AG271" s="255">
        <f>IF(N271=0,AD271,0)</f>
        <v>0</v>
      </c>
    </row>
    <row r="272" spans="2:33" ht="15" customHeight="1" x14ac:dyDescent="0.3">
      <c r="B272" s="196" t="s">
        <v>7</v>
      </c>
      <c r="C272" s="197" t="s">
        <v>15</v>
      </c>
      <c r="D272" s="246" t="str">
        <f>IF(E272&lt;&gt;"",IF(K272&lt;&gt;"","C","O"),"")</f>
        <v>C</v>
      </c>
      <c r="E272" s="199">
        <v>44789.645833333336</v>
      </c>
      <c r="F272" s="200" t="s">
        <v>115</v>
      </c>
      <c r="G272" s="235">
        <v>161.76599999999999</v>
      </c>
      <c r="H272" s="235">
        <v>161.245</v>
      </c>
      <c r="I272" s="247">
        <f>ABS(G272-H272)</f>
        <v>0.52099999999998658</v>
      </c>
      <c r="J272" s="235">
        <v>163.255</v>
      </c>
      <c r="K272" s="199">
        <v>44790.477777777778</v>
      </c>
      <c r="L272" s="235">
        <v>163.255</v>
      </c>
      <c r="M272" s="248">
        <f>ROUND(IF(C272="L",(L272-G272),(G272-L272)),4)</f>
        <v>1.4890000000000001</v>
      </c>
      <c r="N272" s="249">
        <f>IFERROR(ROUND((M272/I272),2),"")</f>
        <v>2.86</v>
      </c>
      <c r="O272" s="250">
        <f>IF(D272="O",IF(N272&lt;0,N272,0),0)</f>
        <v>0</v>
      </c>
      <c r="P272" s="251">
        <f>IF(N272&gt;= 0,N272,0)</f>
        <v>2.86</v>
      </c>
      <c r="Q272" s="251">
        <f>IF(N272&lt;0,N272,0)</f>
        <v>0</v>
      </c>
      <c r="R2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38212</v>
      </c>
      <c r="T2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2" s="253">
        <f ca="1">IF(Tabla33610673[[#This Row],[Equity]]&lt;Tabla33610673[[#This Row],[Equity Peak]],(Tabla33610673[[#This Row],[Equity Peak]]-Tabla33610673[[#This Row],[Equity]])/Tabla33610673[[#This Row],[Equity Peak]],"")</f>
        <v>4.6154614213324681E-2</v>
      </c>
      <c r="V272" s="254">
        <f>IF(B272="FX",N272,0)</f>
        <v>2.86</v>
      </c>
      <c r="W272" s="254">
        <f>IF(D272="O",IF(V272&lt;0,V272,0),0)</f>
        <v>0</v>
      </c>
      <c r="X272" s="254">
        <f>IF(B272="COM",N272,0)</f>
        <v>0</v>
      </c>
      <c r="Y272" s="254">
        <f>IF(D272="O",IF(X272&lt;0,X272,0),0)</f>
        <v>0</v>
      </c>
      <c r="Z272" s="254">
        <f>IF(B272="IND",N272,0)</f>
        <v>0</v>
      </c>
      <c r="AA272" s="250">
        <f>IF(D272="O",IF(Z272&lt;0,Z272,0),0)</f>
        <v>0</v>
      </c>
      <c r="AB272" s="254">
        <f>IF(B272="CRYPTO",N272,0)</f>
        <v>0</v>
      </c>
      <c r="AC272" s="250">
        <f>IF(D272="O",IF(AB272&lt;0,AB272,0),0)</f>
        <v>0</v>
      </c>
      <c r="AD272" s="255">
        <f>IF(K272&lt;&gt;"",K272-E272,0)</f>
        <v>0.8319444444423425</v>
      </c>
      <c r="AE272" s="255">
        <f>IF(N272&gt;0,AD272,0)</f>
        <v>0.8319444444423425</v>
      </c>
      <c r="AF272" s="255">
        <f>IF(N272&lt;0,AD272,0)</f>
        <v>0</v>
      </c>
      <c r="AG272" s="255">
        <f>IF(N272=0,AD272,0)</f>
        <v>0</v>
      </c>
    </row>
    <row r="273" spans="2:33" ht="15" customHeight="1" x14ac:dyDescent="0.3">
      <c r="B273" s="196" t="s">
        <v>5</v>
      </c>
      <c r="C273" s="197" t="s">
        <v>15</v>
      </c>
      <c r="D273" s="246" t="str">
        <f>IF(E273&lt;&gt;"",IF(K273&lt;&gt;"","C","O"),"")</f>
        <v>C</v>
      </c>
      <c r="E273" s="199">
        <v>44789.875</v>
      </c>
      <c r="F273" s="200" t="s">
        <v>91</v>
      </c>
      <c r="G273" s="235">
        <v>13958.4</v>
      </c>
      <c r="H273" s="235">
        <v>13931.31</v>
      </c>
      <c r="I273" s="247">
        <f>ABS(G273-H273)</f>
        <v>27.090000000000146</v>
      </c>
      <c r="J273" s="235">
        <v>14464.16</v>
      </c>
      <c r="K273" s="199">
        <v>44789.901388888888</v>
      </c>
      <c r="L273" s="235">
        <v>13931.31</v>
      </c>
      <c r="M273" s="248">
        <f>ROUND(IF(C273="L",(L273-G273),(G273-L273)),4)</f>
        <v>-27.09</v>
      </c>
      <c r="N273" s="249">
        <f>IFERROR(ROUND((M273/I273),2),"")</f>
        <v>-1</v>
      </c>
      <c r="O273" s="250">
        <f>IF(D273="O",IF(N273&lt;0,N273,0),0)</f>
        <v>0</v>
      </c>
      <c r="P273" s="251">
        <f>IF(N273&gt;= 0,N273,0)</f>
        <v>0</v>
      </c>
      <c r="Q273" s="251">
        <f>IF(N273&lt;0,N273,0)</f>
        <v>-1</v>
      </c>
      <c r="R2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37926</v>
      </c>
      <c r="T2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3" s="253">
        <f ca="1">IF(Tabla33610673[[#This Row],[Equity]]&lt;Tabla33610673[[#This Row],[Equity Peak]],(Tabla33610673[[#This Row],[Equity Peak]]-Tabla33610673[[#This Row],[Equity]])/Tabla33610673[[#This Row],[Equity Peak]],"")</f>
        <v>5.3293727066224011E-2</v>
      </c>
      <c r="V273" s="254">
        <f>IF(B273="FX",N273,0)</f>
        <v>0</v>
      </c>
      <c r="W273" s="254">
        <f>IF(D273="O",IF(V273&lt;0,V273,0),0)</f>
        <v>0</v>
      </c>
      <c r="X273" s="254">
        <f>IF(B273="COM",N273,0)</f>
        <v>0</v>
      </c>
      <c r="Y273" s="254">
        <f>IF(D273="O",IF(X273&lt;0,X273,0),0)</f>
        <v>0</v>
      </c>
      <c r="Z273" s="254">
        <f>IF(B273="IND",N273,0)</f>
        <v>-1</v>
      </c>
      <c r="AA273" s="250">
        <f>IF(D273="O",IF(Z273&lt;0,Z273,0),0)</f>
        <v>0</v>
      </c>
      <c r="AB273" s="254">
        <f>IF(B273="CRYPTO",N273,0)</f>
        <v>0</v>
      </c>
      <c r="AC273" s="250">
        <f>IF(D273="O",IF(AB273&lt;0,AB273,0),0)</f>
        <v>0</v>
      </c>
      <c r="AD273" s="255">
        <f>IF(K273&lt;&gt;"",K273-E273,0)</f>
        <v>2.6388888887595385E-2</v>
      </c>
      <c r="AE273" s="255">
        <f>IF(N273&gt;0,AD273,0)</f>
        <v>0</v>
      </c>
      <c r="AF273" s="255">
        <f>IF(N273&lt;0,AD273,0)</f>
        <v>2.6388888887595385E-2</v>
      </c>
      <c r="AG273" s="255">
        <f>IF(N273=0,AD273,0)</f>
        <v>0</v>
      </c>
    </row>
    <row r="274" spans="2:33" ht="15" customHeight="1" x14ac:dyDescent="0.3">
      <c r="B274" s="196" t="s">
        <v>5</v>
      </c>
      <c r="C274" s="197" t="s">
        <v>15</v>
      </c>
      <c r="D274" s="246" t="str">
        <f>IF(E274&lt;&gt;"",IF(K274&lt;&gt;"","C","O"),"")</f>
        <v>C</v>
      </c>
      <c r="E274" s="199">
        <v>44789.885416666664</v>
      </c>
      <c r="F274" s="200" t="s">
        <v>92</v>
      </c>
      <c r="G274" s="235">
        <v>13708.62</v>
      </c>
      <c r="H274" s="235">
        <v>13683.15</v>
      </c>
      <c r="I274" s="247">
        <f>ABS(G274-H274)</f>
        <v>25.470000000001164</v>
      </c>
      <c r="J274" s="235">
        <v>14183.99</v>
      </c>
      <c r="K274" s="199">
        <v>44789.895138888889</v>
      </c>
      <c r="L274" s="235">
        <v>13683.15</v>
      </c>
      <c r="M274" s="248">
        <f>ROUND(IF(C274="L",(L274-G274),(G274-L274)),4)</f>
        <v>-25.47</v>
      </c>
      <c r="N274" s="249">
        <f>IFERROR(ROUND((M274/I274),2),"")</f>
        <v>-1</v>
      </c>
      <c r="O274" s="250">
        <f>IF(D274="O",IF(N274&lt;0,N274,0),0)</f>
        <v>0</v>
      </c>
      <c r="P274" s="251">
        <f>IF(N274&gt;= 0,N274,0)</f>
        <v>0</v>
      </c>
      <c r="Q274" s="251">
        <f>IF(N274&lt;0,N274,0)</f>
        <v>-1</v>
      </c>
      <c r="R2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38026</v>
      </c>
      <c r="T2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4" s="253">
        <f ca="1">IF(Tabla33610673[[#This Row],[Equity]]&lt;Tabla33610673[[#This Row],[Equity Peak]],(Tabla33610673[[#This Row],[Equity Peak]]-Tabla33610673[[#This Row],[Equity]])/Tabla33610673[[#This Row],[Equity Peak]],"")</f>
        <v>5.0797533761014452E-2</v>
      </c>
      <c r="V274" s="254">
        <f>IF(B274="FX",N274,0)</f>
        <v>0</v>
      </c>
      <c r="W274" s="254">
        <f>IF(D274="O",IF(V274&lt;0,V274,0),0)</f>
        <v>0</v>
      </c>
      <c r="X274" s="254">
        <f>IF(B274="COM",N274,0)</f>
        <v>0</v>
      </c>
      <c r="Y274" s="254">
        <f>IF(D274="O",IF(X274&lt;0,X274,0),0)</f>
        <v>0</v>
      </c>
      <c r="Z274" s="254">
        <f>IF(B274="IND",N274,0)</f>
        <v>-1</v>
      </c>
      <c r="AA274" s="250">
        <f>IF(D274="O",IF(Z274&lt;0,Z274,0),0)</f>
        <v>0</v>
      </c>
      <c r="AB274" s="254">
        <f>IF(B274="CRYPTO",N274,0)</f>
        <v>0</v>
      </c>
      <c r="AC274" s="250">
        <f>IF(D274="O",IF(AB274&lt;0,AB274,0),0)</f>
        <v>0</v>
      </c>
      <c r="AD274" s="255">
        <f>IF(K274&lt;&gt;"",K274-E274,0)</f>
        <v>9.7222222248092294E-3</v>
      </c>
      <c r="AE274" s="255">
        <f>IF(N274&gt;0,AD274,0)</f>
        <v>0</v>
      </c>
      <c r="AF274" s="255">
        <f>IF(N274&lt;0,AD274,0)</f>
        <v>9.7222222248092294E-3</v>
      </c>
      <c r="AG274" s="255">
        <f>IF(N274=0,AD274,0)</f>
        <v>0</v>
      </c>
    </row>
    <row r="275" spans="2:33" ht="15" customHeight="1" x14ac:dyDescent="0.3">
      <c r="B275" s="196" t="s">
        <v>5</v>
      </c>
      <c r="C275" s="197" t="s">
        <v>15</v>
      </c>
      <c r="D275" s="246" t="str">
        <f>IF(E275&lt;&gt;"",IF(K275&lt;&gt;"","C","O"),"")</f>
        <v>C</v>
      </c>
      <c r="E275" s="199">
        <v>44789.885416666664</v>
      </c>
      <c r="F275" s="200" t="s">
        <v>93</v>
      </c>
      <c r="G275" s="235">
        <v>13708.62</v>
      </c>
      <c r="H275" s="235">
        <v>13683.31</v>
      </c>
      <c r="I275" s="247">
        <f>ABS(G275-H275)</f>
        <v>25.31000000000131</v>
      </c>
      <c r="J275" s="235">
        <v>13978.64</v>
      </c>
      <c r="K275" s="199">
        <v>44789.895138888889</v>
      </c>
      <c r="L275" s="235">
        <v>13683.31</v>
      </c>
      <c r="M275" s="248">
        <f>ROUND(IF(C275="L",(L275-G275),(G275-L275)),4)</f>
        <v>-25.31</v>
      </c>
      <c r="N275" s="249">
        <f>IFERROR(ROUND((M275/I275),2),"")</f>
        <v>-1</v>
      </c>
      <c r="O275" s="250">
        <f>IF(D275="O",IF(N275&lt;0,N275,0),0)</f>
        <v>0</v>
      </c>
      <c r="P275" s="251">
        <f>IF(N275&gt;= 0,N275,0)</f>
        <v>0</v>
      </c>
      <c r="Q275" s="251">
        <f>IF(N275&lt;0,N275,0)</f>
        <v>-1</v>
      </c>
      <c r="R2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38126</v>
      </c>
      <c r="T2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5" s="253">
        <f ca="1">IF(Tabla33610673[[#This Row],[Equity]]&lt;Tabla33610673[[#This Row],[Equity Peak]],(Tabla33610673[[#This Row],[Equity Peak]]-Tabla33610673[[#This Row],[Equity]])/Tabla33610673[[#This Row],[Equity Peak]],"")</f>
        <v>4.8301340455804899E-2</v>
      </c>
      <c r="V275" s="254">
        <f>IF(B275="FX",N275,0)</f>
        <v>0</v>
      </c>
      <c r="W275" s="254">
        <f>IF(D275="O",IF(V275&lt;0,V275,0),0)</f>
        <v>0</v>
      </c>
      <c r="X275" s="254">
        <f>IF(B275="COM",N275,0)</f>
        <v>0</v>
      </c>
      <c r="Y275" s="254">
        <f>IF(D275="O",IF(X275&lt;0,X275,0),0)</f>
        <v>0</v>
      </c>
      <c r="Z275" s="254">
        <f>IF(B275="IND",N275,0)</f>
        <v>-1</v>
      </c>
      <c r="AA275" s="250">
        <f>IF(D275="O",IF(Z275&lt;0,Z275,0),0)</f>
        <v>0</v>
      </c>
      <c r="AB275" s="254">
        <f>IF(B275="CRYPTO",N275,0)</f>
        <v>0</v>
      </c>
      <c r="AC275" s="250">
        <f>IF(D275="O",IF(AB275&lt;0,AB275,0),0)</f>
        <v>0</v>
      </c>
      <c r="AD275" s="255">
        <f>IF(K275&lt;&gt;"",K275-E275,0)</f>
        <v>9.7222222248092294E-3</v>
      </c>
      <c r="AE275" s="255">
        <f>IF(N275&gt;0,AD275,0)</f>
        <v>0</v>
      </c>
      <c r="AF275" s="255">
        <f>IF(N275&lt;0,AD275,0)</f>
        <v>9.7222222248092294E-3</v>
      </c>
      <c r="AG275" s="255">
        <f>IF(N275=0,AD275,0)</f>
        <v>0</v>
      </c>
    </row>
    <row r="276" spans="2:33" ht="15" customHeight="1" x14ac:dyDescent="0.3">
      <c r="B276" s="196" t="s">
        <v>5</v>
      </c>
      <c r="C276" s="197" t="s">
        <v>15</v>
      </c>
      <c r="D276" s="246" t="str">
        <f>IF(E276&lt;&gt;"",IF(K276&lt;&gt;"","C","O"),"")</f>
        <v>C</v>
      </c>
      <c r="E276" s="199">
        <v>44788.78125</v>
      </c>
      <c r="F276" s="200" t="s">
        <v>92</v>
      </c>
      <c r="G276" s="235">
        <v>13611.85</v>
      </c>
      <c r="H276" s="235">
        <v>13586.51</v>
      </c>
      <c r="I276" s="247">
        <f>ABS(G276-H276)</f>
        <v>25.340000000000146</v>
      </c>
      <c r="J276" s="235">
        <v>14084.77</v>
      </c>
      <c r="K276" s="199">
        <v>44789.692361111112</v>
      </c>
      <c r="L276" s="235">
        <v>13594.69</v>
      </c>
      <c r="M276" s="248">
        <f>ROUND(IF(C276="L",(L276-G276),(G276-L276)),4)</f>
        <v>-17.16</v>
      </c>
      <c r="N276" s="249">
        <f>IFERROR(ROUND((M276/I276),2),"")</f>
        <v>-0.68</v>
      </c>
      <c r="O276" s="250">
        <f>IF(D276="O",IF(N276&lt;0,N276,0),0)</f>
        <v>0</v>
      </c>
      <c r="P276" s="251">
        <f>IF(N276&gt;= 0,N276,0)</f>
        <v>0</v>
      </c>
      <c r="Q276" s="251">
        <f>IF(N276&lt;0,N276,0)</f>
        <v>-0.68</v>
      </c>
      <c r="R2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38226</v>
      </c>
      <c r="T2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6" s="253">
        <f ca="1">IF(Tabla33610673[[#This Row],[Equity]]&lt;Tabla33610673[[#This Row],[Equity Peak]],(Tabla33610673[[#This Row],[Equity Peak]]-Tabla33610673[[#This Row],[Equity]])/Tabla33610673[[#This Row],[Equity Peak]],"")</f>
        <v>4.5805147150595339E-2</v>
      </c>
      <c r="V276" s="254">
        <f>IF(B276="FX",N276,0)</f>
        <v>0</v>
      </c>
      <c r="W276" s="254">
        <f>IF(D276="O",IF(V276&lt;0,V276,0),0)</f>
        <v>0</v>
      </c>
      <c r="X276" s="254">
        <f>IF(B276="COM",N276,0)</f>
        <v>0</v>
      </c>
      <c r="Y276" s="254">
        <f>IF(D276="O",IF(X276&lt;0,X276,0),0)</f>
        <v>0</v>
      </c>
      <c r="Z276" s="254">
        <f>IF(B276="IND",N276,0)</f>
        <v>-0.68</v>
      </c>
      <c r="AA276" s="250">
        <f>IF(D276="O",IF(Z276&lt;0,Z276,0),0)</f>
        <v>0</v>
      </c>
      <c r="AB276" s="254">
        <f>IF(B276="CRYPTO",N276,0)</f>
        <v>0</v>
      </c>
      <c r="AC276" s="250">
        <f>IF(D276="O",IF(AB276&lt;0,AB276,0),0)</f>
        <v>0</v>
      </c>
      <c r="AD276" s="255">
        <f>IF(K276&lt;&gt;"",K276-E276,0)</f>
        <v>0.91111111111240461</v>
      </c>
      <c r="AE276" s="255">
        <f>IF(N276&gt;0,AD276,0)</f>
        <v>0</v>
      </c>
      <c r="AF276" s="255">
        <f>IF(N276&lt;0,AD276,0)</f>
        <v>0.91111111111240461</v>
      </c>
      <c r="AG276" s="255">
        <f>IF(N276=0,AD276,0)</f>
        <v>0</v>
      </c>
    </row>
    <row r="277" spans="2:33" ht="15" customHeight="1" x14ac:dyDescent="0.3">
      <c r="B277" s="196" t="s">
        <v>7</v>
      </c>
      <c r="C277" s="197" t="s">
        <v>13</v>
      </c>
      <c r="D277" s="246" t="str">
        <f>IF(E277&lt;&gt;"",IF(K277&lt;&gt;"","C","O"),"")</f>
        <v>C</v>
      </c>
      <c r="E277" s="199">
        <v>44789.510416666664</v>
      </c>
      <c r="F277" s="200" t="s">
        <v>114</v>
      </c>
      <c r="G277" s="235">
        <v>1.0132099999999999</v>
      </c>
      <c r="H277" s="235">
        <v>1.0150600000000001</v>
      </c>
      <c r="I277" s="247">
        <f>ABS(G277-H277)</f>
        <v>1.8500000000001293E-3</v>
      </c>
      <c r="J277" s="235">
        <v>0.99658000000000002</v>
      </c>
      <c r="K277" s="199">
        <v>44789.668055555558</v>
      </c>
      <c r="L277" s="235">
        <v>1.0150600000000001</v>
      </c>
      <c r="M277" s="248">
        <f>ROUND(IF(C277="L",(L277-G277),(G277-L277)),4)</f>
        <v>-1.9E-3</v>
      </c>
      <c r="N277" s="249">
        <f>IFERROR(ROUND((M277/I277),2),"")</f>
        <v>-1.03</v>
      </c>
      <c r="O277" s="250">
        <f>IF(D277="O",IF(N277&lt;0,N277,0),0)</f>
        <v>0</v>
      </c>
      <c r="P277" s="251">
        <f>IF(N277&gt;= 0,N277,0)</f>
        <v>0</v>
      </c>
      <c r="Q277" s="251">
        <f>IF(N277&lt;0,N277,0)</f>
        <v>-1.03</v>
      </c>
      <c r="R2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38294</v>
      </c>
      <c r="T2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7" s="253">
        <f ca="1">IF(Tabla33610673[[#This Row],[Equity]]&lt;Tabla33610673[[#This Row],[Equity Peak]],(Tabla33610673[[#This Row],[Equity Peak]]-Tabla33610673[[#This Row],[Equity]])/Tabla33610673[[#This Row],[Equity Peak]],"")</f>
        <v>4.4107735703052847E-2</v>
      </c>
      <c r="V277" s="254">
        <f>IF(B277="FX",N277,0)</f>
        <v>-1.03</v>
      </c>
      <c r="W277" s="254">
        <f>IF(D277="O",IF(V277&lt;0,V277,0),0)</f>
        <v>0</v>
      </c>
      <c r="X277" s="254">
        <f>IF(B277="COM",N277,0)</f>
        <v>0</v>
      </c>
      <c r="Y277" s="254">
        <f>IF(D277="O",IF(X277&lt;0,X277,0),0)</f>
        <v>0</v>
      </c>
      <c r="Z277" s="254">
        <f>IF(B277="IND",N277,0)</f>
        <v>0</v>
      </c>
      <c r="AA277" s="250">
        <f>IF(D277="O",IF(Z277&lt;0,Z277,0),0)</f>
        <v>0</v>
      </c>
      <c r="AB277" s="254">
        <f>IF(B277="CRYPTO",N277,0)</f>
        <v>0</v>
      </c>
      <c r="AC277" s="250">
        <f>IF(D277="O",IF(AB277&lt;0,AB277,0),0)</f>
        <v>0</v>
      </c>
      <c r="AD277" s="255">
        <f>IF(K277&lt;&gt;"",K277-E277,0)</f>
        <v>0.15763888889341615</v>
      </c>
      <c r="AE277" s="255">
        <f>IF(N277&gt;0,AD277,0)</f>
        <v>0</v>
      </c>
      <c r="AF277" s="255">
        <f>IF(N277&lt;0,AD277,0)</f>
        <v>0.15763888889341615</v>
      </c>
      <c r="AG277" s="255">
        <f>IF(N277=0,AD277,0)</f>
        <v>0</v>
      </c>
    </row>
    <row r="278" spans="2:33" ht="15" customHeight="1" x14ac:dyDescent="0.3">
      <c r="B278" s="196" t="s">
        <v>5</v>
      </c>
      <c r="C278" s="197" t="s">
        <v>15</v>
      </c>
      <c r="D278" s="246" t="str">
        <f>IF(E278&lt;&gt;"",IF(K278&lt;&gt;"","C","O"),"")</f>
        <v>C</v>
      </c>
      <c r="E278" s="199">
        <v>44789.46875</v>
      </c>
      <c r="F278" s="200" t="s">
        <v>91</v>
      </c>
      <c r="G278" s="235">
        <v>13905.05</v>
      </c>
      <c r="H278" s="235">
        <v>13879.33</v>
      </c>
      <c r="I278" s="247">
        <f>ABS(G278-H278)</f>
        <v>25.719999999999345</v>
      </c>
      <c r="J278" s="235">
        <v>14385.16</v>
      </c>
      <c r="K278" s="199">
        <v>44789.506944444445</v>
      </c>
      <c r="L278" s="235">
        <v>13898.26</v>
      </c>
      <c r="M278" s="248">
        <f>ROUND(IF(C278="L",(L278-G278),(G278-L278)),4)</f>
        <v>-6.79</v>
      </c>
      <c r="N278" s="249">
        <f>IFERROR(ROUND((M278/I278),2),"")</f>
        <v>-0.26</v>
      </c>
      <c r="O278" s="250">
        <f>IF(D278="O",IF(N278&lt;0,N278,0),0)</f>
        <v>0</v>
      </c>
      <c r="P278" s="251">
        <f>IF(N278&gt;= 0,N278,0)</f>
        <v>0</v>
      </c>
      <c r="Q278" s="251">
        <f>IF(N278&lt;0,N278,0)</f>
        <v>-0.26</v>
      </c>
      <c r="R2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38397</v>
      </c>
      <c r="T2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8" s="253">
        <f ca="1">IF(Tabla33610673[[#This Row],[Equity]]&lt;Tabla33610673[[#This Row],[Equity Peak]],(Tabla33610673[[#This Row],[Equity Peak]]-Tabla33610673[[#This Row],[Equity]])/Tabla33610673[[#This Row],[Equity Peak]],"")</f>
        <v>4.1536656598687001E-2</v>
      </c>
      <c r="V278" s="254">
        <f>IF(B278="FX",N278,0)</f>
        <v>0</v>
      </c>
      <c r="W278" s="254">
        <f>IF(D278="O",IF(V278&lt;0,V278,0),0)</f>
        <v>0</v>
      </c>
      <c r="X278" s="254">
        <f>IF(B278="COM",N278,0)</f>
        <v>0</v>
      </c>
      <c r="Y278" s="254">
        <f>IF(D278="O",IF(X278&lt;0,X278,0),0)</f>
        <v>0</v>
      </c>
      <c r="Z278" s="254">
        <f>IF(B278="IND",N278,0)</f>
        <v>-0.26</v>
      </c>
      <c r="AA278" s="250">
        <f>IF(D278="O",IF(Z278&lt;0,Z278,0),0)</f>
        <v>0</v>
      </c>
      <c r="AB278" s="254">
        <f>IF(B278="CRYPTO",N278,0)</f>
        <v>0</v>
      </c>
      <c r="AC278" s="250">
        <f>IF(D278="O",IF(AB278&lt;0,AB278,0),0)</f>
        <v>0</v>
      </c>
      <c r="AD278" s="255">
        <f>IF(K278&lt;&gt;"",K278-E278,0)</f>
        <v>3.8194444445252884E-2</v>
      </c>
      <c r="AE278" s="255">
        <f>IF(N278&gt;0,AD278,0)</f>
        <v>0</v>
      </c>
      <c r="AF278" s="255">
        <f>IF(N278&lt;0,AD278,0)</f>
        <v>3.8194444445252884E-2</v>
      </c>
      <c r="AG278" s="255">
        <f>IF(N278=0,AD278,0)</f>
        <v>0</v>
      </c>
    </row>
    <row r="279" spans="2:33" ht="15" customHeight="1" x14ac:dyDescent="0.3">
      <c r="B279" s="196" t="s">
        <v>7</v>
      </c>
      <c r="C279" s="197" t="s">
        <v>13</v>
      </c>
      <c r="D279" s="246" t="str">
        <f>IF(E279&lt;&gt;"",IF(K279&lt;&gt;"","C","O"),"")</f>
        <v>C</v>
      </c>
      <c r="E279" s="199">
        <v>44789.427083333336</v>
      </c>
      <c r="F279" s="200" t="s">
        <v>114</v>
      </c>
      <c r="G279" s="235">
        <v>1.0142500000000001</v>
      </c>
      <c r="H279" s="235">
        <v>1.01539</v>
      </c>
      <c r="I279" s="247">
        <f>ABS(G279-H279)</f>
        <v>1.1399999999999189E-3</v>
      </c>
      <c r="J279" s="235">
        <v>1.0040199999999999</v>
      </c>
      <c r="K279" s="199">
        <v>44789.450694444444</v>
      </c>
      <c r="L279" s="235">
        <v>1.01539</v>
      </c>
      <c r="M279" s="248">
        <f>ROUND(IF(C279="L",(L279-G279),(G279-L279)),4)</f>
        <v>-1.1000000000000001E-3</v>
      </c>
      <c r="N279" s="249">
        <f>IFERROR(ROUND((M279/I279),2),"")</f>
        <v>-0.96</v>
      </c>
      <c r="O279" s="250">
        <f>IF(D279="O",IF(N279&lt;0,N279,0),0)</f>
        <v>0</v>
      </c>
      <c r="P279" s="251">
        <f>IF(N279&gt;= 0,N279,0)</f>
        <v>0</v>
      </c>
      <c r="Q279" s="251">
        <f>IF(N279&lt;0,N279,0)</f>
        <v>-0.96</v>
      </c>
      <c r="R2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38423</v>
      </c>
      <c r="T2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79" s="253">
        <f ca="1">IF(Tabla33610673[[#This Row],[Equity]]&lt;Tabla33610673[[#This Row],[Equity Peak]],(Tabla33610673[[#This Row],[Equity Peak]]-Tabla33610673[[#This Row],[Equity]])/Tabla33610673[[#This Row],[Equity Peak]],"")</f>
        <v>4.088764633933252E-2</v>
      </c>
      <c r="V279" s="254">
        <f>IF(B279="FX",N279,0)</f>
        <v>-0.96</v>
      </c>
      <c r="W279" s="254">
        <f>IF(D279="O",IF(V279&lt;0,V279,0),0)</f>
        <v>0</v>
      </c>
      <c r="X279" s="254">
        <f>IF(B279="COM",N279,0)</f>
        <v>0</v>
      </c>
      <c r="Y279" s="254">
        <f>IF(D279="O",IF(X279&lt;0,X279,0),0)</f>
        <v>0</v>
      </c>
      <c r="Z279" s="254">
        <f>IF(B279="IND",N279,0)</f>
        <v>0</v>
      </c>
      <c r="AA279" s="250">
        <f>IF(D279="O",IF(Z279&lt;0,Z279,0),0)</f>
        <v>0</v>
      </c>
      <c r="AB279" s="254">
        <f>IF(B279="CRYPTO",N279,0)</f>
        <v>0</v>
      </c>
      <c r="AC279" s="250">
        <f>IF(D279="O",IF(AB279&lt;0,AB279,0),0)</f>
        <v>0</v>
      </c>
      <c r="AD279" s="255">
        <f>IF(K279&lt;&gt;"",K279-E279,0)</f>
        <v>2.361111110803904E-2</v>
      </c>
      <c r="AE279" s="255">
        <f>IF(N279&gt;0,AD279,0)</f>
        <v>0</v>
      </c>
      <c r="AF279" s="255">
        <f>IF(N279&lt;0,AD279,0)</f>
        <v>2.361111110803904E-2</v>
      </c>
      <c r="AG279" s="255">
        <f>IF(N279=0,AD279,0)</f>
        <v>0</v>
      </c>
    </row>
    <row r="280" spans="2:33" ht="15" customHeight="1" x14ac:dyDescent="0.3">
      <c r="B280" s="196" t="s">
        <v>5</v>
      </c>
      <c r="C280" s="197" t="s">
        <v>15</v>
      </c>
      <c r="D280" s="246" t="str">
        <f>IF(E280&lt;&gt;"",IF(K280&lt;&gt;"","C","O"),"")</f>
        <v>C</v>
      </c>
      <c r="E280" s="199">
        <v>44788.78125</v>
      </c>
      <c r="F280" s="200" t="s">
        <v>93</v>
      </c>
      <c r="G280" s="235">
        <v>13611.85</v>
      </c>
      <c r="H280" s="235">
        <v>13586.71</v>
      </c>
      <c r="I280" s="247">
        <f>ABS(G280-H280)</f>
        <v>25.140000000001237</v>
      </c>
      <c r="J280" s="235">
        <v>13879.98</v>
      </c>
      <c r="K280" s="199">
        <v>44789.417361111111</v>
      </c>
      <c r="L280" s="235">
        <v>13615.35</v>
      </c>
      <c r="M280" s="248">
        <f>ROUND(IF(C280="L",(L280-G280),(G280-L280)),4)</f>
        <v>3.5</v>
      </c>
      <c r="N280" s="249">
        <f>IFERROR(ROUND((M280/I280),2),"")</f>
        <v>0.14000000000000001</v>
      </c>
      <c r="O280" s="250">
        <f>IF(D280="O",IF(N280&lt;0,N280,0),0)</f>
        <v>0</v>
      </c>
      <c r="P280" s="251">
        <f>IF(N280&gt;= 0,N280,0)</f>
        <v>0.14000000000000001</v>
      </c>
      <c r="Q280" s="251">
        <f>IF(N280&lt;0,N280,0)</f>
        <v>0</v>
      </c>
      <c r="R2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38519</v>
      </c>
      <c r="T2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0" s="253">
        <f ca="1">IF(Tabla33610673[[#This Row],[Equity]]&lt;Tabla33610673[[#This Row],[Equity Peak]],(Tabla33610673[[#This Row],[Equity Peak]]-Tabla33610673[[#This Row],[Equity]])/Tabla33610673[[#This Row],[Equity Peak]],"")</f>
        <v>3.8491300766331345E-2</v>
      </c>
      <c r="V280" s="254">
        <f>IF(B280="FX",N280,0)</f>
        <v>0</v>
      </c>
      <c r="W280" s="254">
        <f>IF(D280="O",IF(V280&lt;0,V280,0),0)</f>
        <v>0</v>
      </c>
      <c r="X280" s="254">
        <f>IF(B280="COM",N280,0)</f>
        <v>0</v>
      </c>
      <c r="Y280" s="254">
        <f>IF(D280="O",IF(X280&lt;0,X280,0),0)</f>
        <v>0</v>
      </c>
      <c r="Z280" s="254">
        <f>IF(B280="IND",N280,0)</f>
        <v>0.14000000000000001</v>
      </c>
      <c r="AA280" s="250">
        <f>IF(D280="O",IF(Z280&lt;0,Z280,0),0)</f>
        <v>0</v>
      </c>
      <c r="AB280" s="254">
        <f>IF(B280="CRYPTO",N280,0)</f>
        <v>0</v>
      </c>
      <c r="AC280" s="250">
        <f>IF(D280="O",IF(AB280&lt;0,AB280,0),0)</f>
        <v>0</v>
      </c>
      <c r="AD280" s="255">
        <f>IF(K280&lt;&gt;"",K280-E280,0)</f>
        <v>0.63611111111094942</v>
      </c>
      <c r="AE280" s="255">
        <f>IF(N280&gt;0,AD280,0)</f>
        <v>0.63611111111094942</v>
      </c>
      <c r="AF280" s="255">
        <f>IF(N280&lt;0,AD280,0)</f>
        <v>0</v>
      </c>
      <c r="AG280" s="255">
        <f>IF(N280=0,AD280,0)</f>
        <v>0</v>
      </c>
    </row>
    <row r="281" spans="2:33" ht="15" customHeight="1" x14ac:dyDescent="0.3">
      <c r="B281" s="196" t="s">
        <v>7</v>
      </c>
      <c r="C281" s="197" t="s">
        <v>13</v>
      </c>
      <c r="D281" s="246" t="str">
        <f>IF(E281&lt;&gt;"",IF(K281&lt;&gt;"","C","O"),"")</f>
        <v>C</v>
      </c>
      <c r="E281" s="199">
        <v>44788.885416666664</v>
      </c>
      <c r="F281" s="200" t="s">
        <v>114</v>
      </c>
      <c r="G281" s="235">
        <v>1.0158199999999999</v>
      </c>
      <c r="H281" s="235">
        <v>1.01759</v>
      </c>
      <c r="I281" s="247">
        <f>ABS(G281-H281)</f>
        <v>1.7700000000000493E-3</v>
      </c>
      <c r="J281" s="235">
        <v>0.99990999999999997</v>
      </c>
      <c r="K281" s="199">
        <v>44789.214583333334</v>
      </c>
      <c r="L281" s="235">
        <v>1.0163899999999999</v>
      </c>
      <c r="M281" s="248">
        <f>ROUND(IF(C281="L",(L281-G281),(G281-L281)),4)</f>
        <v>-5.9999999999999995E-4</v>
      </c>
      <c r="N281" s="249">
        <f>IFERROR(ROUND((M281/I281),2),"")</f>
        <v>-0.34</v>
      </c>
      <c r="O281" s="250">
        <f>IF(D281="O",IF(N281&lt;0,N281,0),0)</f>
        <v>0</v>
      </c>
      <c r="P281" s="251">
        <f>IF(N281&gt;= 0,N281,0)</f>
        <v>0</v>
      </c>
      <c r="Q281" s="251">
        <f>IF(N281&lt;0,N281,0)</f>
        <v>-0.34</v>
      </c>
      <c r="R2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38505</v>
      </c>
      <c r="T2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1" s="253">
        <f ca="1">IF(Tabla33610673[[#This Row],[Equity]]&lt;Tabla33610673[[#This Row],[Equity Peak]],(Tabla33610673[[#This Row],[Equity Peak]]-Tabla33610673[[#This Row],[Equity]])/Tabla33610673[[#This Row],[Equity Peak]],"")</f>
        <v>3.8840767829060679E-2</v>
      </c>
      <c r="V281" s="254">
        <f>IF(B281="FX",N281,0)</f>
        <v>-0.34</v>
      </c>
      <c r="W281" s="254">
        <f>IF(D281="O",IF(V281&lt;0,V281,0),0)</f>
        <v>0</v>
      </c>
      <c r="X281" s="254">
        <f>IF(B281="COM",N281,0)</f>
        <v>0</v>
      </c>
      <c r="Y281" s="254">
        <f>IF(D281="O",IF(X281&lt;0,X281,0),0)</f>
        <v>0</v>
      </c>
      <c r="Z281" s="254">
        <f>IF(B281="IND",N281,0)</f>
        <v>0</v>
      </c>
      <c r="AA281" s="250">
        <f>IF(D281="O",IF(Z281&lt;0,Z281,0),0)</f>
        <v>0</v>
      </c>
      <c r="AB281" s="254">
        <f>IF(B281="CRYPTO",N281,0)</f>
        <v>0</v>
      </c>
      <c r="AC281" s="250">
        <f>IF(D281="O",IF(AB281&lt;0,AB281,0),0)</f>
        <v>0</v>
      </c>
      <c r="AD281" s="255">
        <f>IF(K281&lt;&gt;"",K281-E281,0)</f>
        <v>0.32916666667006211</v>
      </c>
      <c r="AE281" s="255">
        <f>IF(N281&gt;0,AD281,0)</f>
        <v>0</v>
      </c>
      <c r="AF281" s="255">
        <f>IF(N281&lt;0,AD281,0)</f>
        <v>0.32916666667006211</v>
      </c>
      <c r="AG281" s="255">
        <f>IF(N281=0,AD281,0)</f>
        <v>0</v>
      </c>
    </row>
    <row r="282" spans="2:33" ht="15" customHeight="1" x14ac:dyDescent="0.3">
      <c r="B282" s="196" t="s">
        <v>7</v>
      </c>
      <c r="C282" s="197" t="s">
        <v>13</v>
      </c>
      <c r="D282" s="246" t="str">
        <f>IF(E282&lt;&gt;"",IF(K282&lt;&gt;"","C","O"),"")</f>
        <v>C</v>
      </c>
      <c r="E282" s="199">
        <v>44788.125</v>
      </c>
      <c r="F282" s="200" t="s">
        <v>115</v>
      </c>
      <c r="G282" s="235">
        <v>161.678</v>
      </c>
      <c r="H282" s="235">
        <v>162.185</v>
      </c>
      <c r="I282" s="247">
        <f>ABS(G282-H282)</f>
        <v>0.507000000000005</v>
      </c>
      <c r="J282" s="235">
        <v>160.23099999999999</v>
      </c>
      <c r="K282" s="199">
        <v>44789.138194444444</v>
      </c>
      <c r="L282" s="235">
        <v>160.23099999999999</v>
      </c>
      <c r="M282" s="248">
        <f>ROUND(IF(C282="L",(L282-G282),(G282-L282)),4)</f>
        <v>1.4470000000000001</v>
      </c>
      <c r="N282" s="249">
        <f>IFERROR(ROUND((M282/I282),2),"")</f>
        <v>2.85</v>
      </c>
      <c r="O282" s="250">
        <f>IF(D282="O",IF(N282&lt;0,N282,0),0)</f>
        <v>0</v>
      </c>
      <c r="P282" s="251">
        <f>IF(N282&gt;= 0,N282,0)</f>
        <v>2.85</v>
      </c>
      <c r="Q282" s="251">
        <f>IF(N282&lt;0,N282,0)</f>
        <v>0</v>
      </c>
      <c r="R2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38539</v>
      </c>
      <c r="T2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2" s="253">
        <f ca="1">IF(Tabla33610673[[#This Row],[Equity]]&lt;Tabla33610673[[#This Row],[Equity Peak]],(Tabla33610673[[#This Row],[Equity Peak]]-Tabla33610673[[#This Row],[Equity]])/Tabla33610673[[#This Row],[Equity Peak]],"")</f>
        <v>3.7992062105289437E-2</v>
      </c>
      <c r="V282" s="254">
        <f>IF(B282="FX",N282,0)</f>
        <v>2.85</v>
      </c>
      <c r="W282" s="254">
        <f>IF(D282="O",IF(V282&lt;0,V282,0),0)</f>
        <v>0</v>
      </c>
      <c r="X282" s="254">
        <f>IF(B282="COM",N282,0)</f>
        <v>0</v>
      </c>
      <c r="Y282" s="254">
        <f>IF(D282="O",IF(X282&lt;0,X282,0),0)</f>
        <v>0</v>
      </c>
      <c r="Z282" s="254">
        <f>IF(B282="IND",N282,0)</f>
        <v>0</v>
      </c>
      <c r="AA282" s="250">
        <f>IF(D282="O",IF(Z282&lt;0,Z282,0),0)</f>
        <v>0</v>
      </c>
      <c r="AB282" s="254">
        <f>IF(B282="CRYPTO",N282,0)</f>
        <v>0</v>
      </c>
      <c r="AC282" s="250">
        <f>IF(D282="O",IF(AB282&lt;0,AB282,0),0)</f>
        <v>0</v>
      </c>
      <c r="AD282" s="255">
        <f>IF(K282&lt;&gt;"",K282-E282,0)</f>
        <v>1.0131944444437977</v>
      </c>
      <c r="AE282" s="255">
        <f>IF(N282&gt;0,AD282,0)</f>
        <v>1.0131944444437977</v>
      </c>
      <c r="AF282" s="255">
        <f>IF(N282&lt;0,AD282,0)</f>
        <v>0</v>
      </c>
      <c r="AG282" s="255">
        <f>IF(N282=0,AD282,0)</f>
        <v>0</v>
      </c>
    </row>
    <row r="283" spans="2:33" ht="15" customHeight="1" x14ac:dyDescent="0.3">
      <c r="B283" s="196" t="s">
        <v>5</v>
      </c>
      <c r="C283" s="197" t="s">
        <v>15</v>
      </c>
      <c r="D283" s="246" t="str">
        <f>IF(E283&lt;&gt;"",IF(K283&lt;&gt;"","C","O"),"")</f>
        <v>C</v>
      </c>
      <c r="E283" s="199">
        <v>44788.708333333336</v>
      </c>
      <c r="F283" s="200" t="s">
        <v>92</v>
      </c>
      <c r="G283" s="235">
        <v>13593.35</v>
      </c>
      <c r="H283" s="235">
        <v>13571.45</v>
      </c>
      <c r="I283" s="247">
        <f>ABS(G283-H283)</f>
        <v>21.899999999999636</v>
      </c>
      <c r="J283" s="235">
        <v>14002.22</v>
      </c>
      <c r="K283" s="199">
        <v>44788.709722222222</v>
      </c>
      <c r="L283" s="235">
        <v>13571.45</v>
      </c>
      <c r="M283" s="248">
        <f>ROUND(IF(C283="L",(L283-G283),(G283-L283)),4)</f>
        <v>-21.9</v>
      </c>
      <c r="N283" s="249">
        <f>IFERROR(ROUND((M283/I283),2),"")</f>
        <v>-1</v>
      </c>
      <c r="O283" s="250">
        <f>IF(D283="O",IF(N283&lt;0,N283,0),0)</f>
        <v>0</v>
      </c>
      <c r="P283" s="251">
        <f>IF(N283&gt;= 0,N283,0)</f>
        <v>0</v>
      </c>
      <c r="Q283" s="251">
        <f>IF(N283&lt;0,N283,0)</f>
        <v>-1</v>
      </c>
      <c r="R2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38254</v>
      </c>
      <c r="T2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3" s="253">
        <f ca="1">IF(Tabla33610673[[#This Row],[Equity]]&lt;Tabla33610673[[#This Row],[Equity Peak]],(Tabla33610673[[#This Row],[Equity Peak]]-Tabla33610673[[#This Row],[Equity]])/Tabla33610673[[#This Row],[Equity Peak]],"")</f>
        <v>4.510621302513667E-2</v>
      </c>
      <c r="V283" s="254">
        <f>IF(B283="FX",N283,0)</f>
        <v>0</v>
      </c>
      <c r="W283" s="254">
        <f>IF(D283="O",IF(V283&lt;0,V283,0),0)</f>
        <v>0</v>
      </c>
      <c r="X283" s="254">
        <f>IF(B283="COM",N283,0)</f>
        <v>0</v>
      </c>
      <c r="Y283" s="254">
        <f>IF(D283="O",IF(X283&lt;0,X283,0),0)</f>
        <v>0</v>
      </c>
      <c r="Z283" s="254">
        <f>IF(B283="IND",N283,0)</f>
        <v>-1</v>
      </c>
      <c r="AA283" s="250">
        <f>IF(D283="O",IF(Z283&lt;0,Z283,0),0)</f>
        <v>0</v>
      </c>
      <c r="AB283" s="254">
        <f>IF(B283="CRYPTO",N283,0)</f>
        <v>0</v>
      </c>
      <c r="AC283" s="250">
        <f>IF(D283="O",IF(AB283&lt;0,AB283,0),0)</f>
        <v>0</v>
      </c>
      <c r="AD283" s="255">
        <f>IF(K283&lt;&gt;"",K283-E283,0)</f>
        <v>1.3888888861401938E-3</v>
      </c>
      <c r="AE283" s="255">
        <f>IF(N283&gt;0,AD283,0)</f>
        <v>0</v>
      </c>
      <c r="AF283" s="255">
        <f>IF(N283&lt;0,AD283,0)</f>
        <v>1.3888888861401938E-3</v>
      </c>
      <c r="AG283" s="255">
        <f>IF(N283=0,AD283,0)</f>
        <v>0</v>
      </c>
    </row>
    <row r="284" spans="2:33" ht="15" customHeight="1" x14ac:dyDescent="0.3">
      <c r="B284" s="196" t="s">
        <v>5</v>
      </c>
      <c r="C284" s="197" t="s">
        <v>15</v>
      </c>
      <c r="D284" s="246" t="str">
        <f>IF(E284&lt;&gt;"",IF(K284&lt;&gt;"","C","O"),"")</f>
        <v>C</v>
      </c>
      <c r="E284" s="199">
        <v>44788.708333333336</v>
      </c>
      <c r="F284" s="200" t="s">
        <v>93</v>
      </c>
      <c r="G284" s="235">
        <v>13593.35</v>
      </c>
      <c r="H284" s="235">
        <v>13568.62</v>
      </c>
      <c r="I284" s="247">
        <f>ABS(G284-H284)</f>
        <v>24.729999999999563</v>
      </c>
      <c r="J284" s="235">
        <v>13857.14</v>
      </c>
      <c r="K284" s="199">
        <v>44788.709722222222</v>
      </c>
      <c r="L284" s="235">
        <v>13568.62</v>
      </c>
      <c r="M284" s="248">
        <f>ROUND(IF(C284="L",(L284-G284),(G284-L284)),4)</f>
        <v>-24.73</v>
      </c>
      <c r="N284" s="249">
        <f>IFERROR(ROUND((M284/I284),2),"")</f>
        <v>-1</v>
      </c>
      <c r="O284" s="250">
        <f>IF(D284="O",IF(N284&lt;0,N284,0),0)</f>
        <v>0</v>
      </c>
      <c r="P284" s="251">
        <f>IF(N284&gt;= 0,N284,0)</f>
        <v>0</v>
      </c>
      <c r="Q284" s="251">
        <f>IF(N284&lt;0,N284,0)</f>
        <v>-1</v>
      </c>
      <c r="R2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38354</v>
      </c>
      <c r="T2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4" s="253">
        <f ca="1">IF(Tabla33610673[[#This Row],[Equity]]&lt;Tabla33610673[[#This Row],[Equity Peak]],(Tabla33610673[[#This Row],[Equity Peak]]-Tabla33610673[[#This Row],[Equity]])/Tabla33610673[[#This Row],[Equity Peak]],"")</f>
        <v>4.261001971992711E-2</v>
      </c>
      <c r="V284" s="254">
        <f>IF(B284="FX",N284,0)</f>
        <v>0</v>
      </c>
      <c r="W284" s="254">
        <f>IF(D284="O",IF(V284&lt;0,V284,0),0)</f>
        <v>0</v>
      </c>
      <c r="X284" s="254">
        <f>IF(B284="COM",N284,0)</f>
        <v>0</v>
      </c>
      <c r="Y284" s="254">
        <f>IF(D284="O",IF(X284&lt;0,X284,0),0)</f>
        <v>0</v>
      </c>
      <c r="Z284" s="254">
        <f>IF(B284="IND",N284,0)</f>
        <v>-1</v>
      </c>
      <c r="AA284" s="250">
        <f>IF(D284="O",IF(Z284&lt;0,Z284,0),0)</f>
        <v>0</v>
      </c>
      <c r="AB284" s="254">
        <f>IF(B284="CRYPTO",N284,0)</f>
        <v>0</v>
      </c>
      <c r="AC284" s="250">
        <f>IF(D284="O",IF(AB284&lt;0,AB284,0),0)</f>
        <v>0</v>
      </c>
      <c r="AD284" s="255">
        <f>IF(K284&lt;&gt;"",K284-E284,0)</f>
        <v>1.3888888861401938E-3</v>
      </c>
      <c r="AE284" s="255">
        <f>IF(N284&gt;0,AD284,0)</f>
        <v>0</v>
      </c>
      <c r="AF284" s="255">
        <f>IF(N284&lt;0,AD284,0)</f>
        <v>1.3888888861401938E-3</v>
      </c>
      <c r="AG284" s="255">
        <f>IF(N284=0,AD284,0)</f>
        <v>0</v>
      </c>
    </row>
    <row r="285" spans="2:33" ht="15" customHeight="1" x14ac:dyDescent="0.3">
      <c r="B285" s="196" t="s">
        <v>5</v>
      </c>
      <c r="C285" s="197" t="s">
        <v>15</v>
      </c>
      <c r="D285" s="246" t="str">
        <f>IF(E285&lt;&gt;"",IF(K285&lt;&gt;"","C","O"),"")</f>
        <v>C</v>
      </c>
      <c r="E285" s="199">
        <v>44785.802083333336</v>
      </c>
      <c r="F285" s="200" t="s">
        <v>91</v>
      </c>
      <c r="G285" s="235">
        <v>13821.21</v>
      </c>
      <c r="H285" s="235">
        <v>13791.83</v>
      </c>
      <c r="I285" s="247">
        <f>ABS(G285-H285)</f>
        <v>29.3799999999992</v>
      </c>
      <c r="J285" s="235">
        <v>14369.72</v>
      </c>
      <c r="K285" s="199">
        <v>44788.423611111109</v>
      </c>
      <c r="L285" s="235">
        <v>13820.2</v>
      </c>
      <c r="M285" s="248">
        <f>ROUND(IF(C285="L",(L285-G285),(G285-L285)),4)</f>
        <v>-1.01</v>
      </c>
      <c r="N285" s="249">
        <f>IFERROR(ROUND((M285/I285),2),"")</f>
        <v>-0.03</v>
      </c>
      <c r="O285" s="250">
        <f>IF(D285="O",IF(N285&lt;0,N285,0),0)</f>
        <v>0</v>
      </c>
      <c r="P285" s="251">
        <f>IF(N285&gt;= 0,N285,0)</f>
        <v>0</v>
      </c>
      <c r="Q285" s="251">
        <f>IF(N285&lt;0,N285,0)</f>
        <v>-0.03</v>
      </c>
      <c r="R2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38454</v>
      </c>
      <c r="T2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5" s="253">
        <f ca="1">IF(Tabla33610673[[#This Row],[Equity]]&lt;Tabla33610673[[#This Row],[Equity Peak]],(Tabla33610673[[#This Row],[Equity Peak]]-Tabla33610673[[#This Row],[Equity]])/Tabla33610673[[#This Row],[Equity Peak]],"")</f>
        <v>4.0113826414717557E-2</v>
      </c>
      <c r="V285" s="254">
        <f>IF(B285="FX",N285,0)</f>
        <v>0</v>
      </c>
      <c r="W285" s="254">
        <f>IF(D285="O",IF(V285&lt;0,V285,0),0)</f>
        <v>0</v>
      </c>
      <c r="X285" s="254">
        <f>IF(B285="COM",N285,0)</f>
        <v>0</v>
      </c>
      <c r="Y285" s="254">
        <f>IF(D285="O",IF(X285&lt;0,X285,0),0)</f>
        <v>0</v>
      </c>
      <c r="Z285" s="254">
        <f>IF(B285="IND",N285,0)</f>
        <v>-0.03</v>
      </c>
      <c r="AA285" s="250">
        <f>IF(D285="O",IF(Z285&lt;0,Z285,0),0)</f>
        <v>0</v>
      </c>
      <c r="AB285" s="254">
        <f>IF(B285="CRYPTO",N285,0)</f>
        <v>0</v>
      </c>
      <c r="AC285" s="250">
        <f>IF(D285="O",IF(AB285&lt;0,AB285,0),0)</f>
        <v>0</v>
      </c>
      <c r="AD285" s="255">
        <f>IF(K285&lt;&gt;"",K285-E285,0)</f>
        <v>2.6215277777737356</v>
      </c>
      <c r="AE285" s="255">
        <f>IF(N285&gt;0,AD285,0)</f>
        <v>0</v>
      </c>
      <c r="AF285" s="255">
        <f>IF(N285&lt;0,AD285,0)</f>
        <v>2.6215277777737356</v>
      </c>
      <c r="AG285" s="255">
        <f>IF(N285=0,AD285,0)</f>
        <v>0</v>
      </c>
    </row>
    <row r="286" spans="2:33" ht="15" customHeight="1" x14ac:dyDescent="0.3">
      <c r="B286" s="196" t="s">
        <v>5</v>
      </c>
      <c r="C286" s="197" t="s">
        <v>15</v>
      </c>
      <c r="D286" s="246" t="str">
        <f>IF(E286&lt;&gt;"",IF(K286&lt;&gt;"","C","O"),"")</f>
        <v>C</v>
      </c>
      <c r="E286" s="199">
        <v>44785.958333333336</v>
      </c>
      <c r="F286" s="200" t="s">
        <v>92</v>
      </c>
      <c r="G286" s="235">
        <v>13552.12</v>
      </c>
      <c r="H286" s="235">
        <v>13522.88</v>
      </c>
      <c r="I286" s="247">
        <f>ABS(G286-H286)</f>
        <v>29.240000000001601</v>
      </c>
      <c r="J286" s="235">
        <v>14097.91</v>
      </c>
      <c r="K286" s="199">
        <v>44788.04583333333</v>
      </c>
      <c r="L286" s="235">
        <v>13522.88</v>
      </c>
      <c r="M286" s="248">
        <f>ROUND(IF(C286="L",(L286-G286),(G286-L286)),4)</f>
        <v>-29.24</v>
      </c>
      <c r="N286" s="249">
        <f>IFERROR(ROUND((M286/I286),2),"")</f>
        <v>-1</v>
      </c>
      <c r="O286" s="250">
        <f>IF(D286="O",IF(N286&lt;0,N286,0),0)</f>
        <v>0</v>
      </c>
      <c r="P286" s="251">
        <f>IF(N286&gt;= 0,N286,0)</f>
        <v>0</v>
      </c>
      <c r="Q286" s="251">
        <f>IF(N286&lt;0,N286,0)</f>
        <v>-1</v>
      </c>
      <c r="R2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38457</v>
      </c>
      <c r="T2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6" s="253">
        <f ca="1">IF(Tabla33610673[[#This Row],[Equity]]&lt;Tabla33610673[[#This Row],[Equity Peak]],(Tabla33610673[[#This Row],[Equity Peak]]-Tabla33610673[[#This Row],[Equity]])/Tabla33610673[[#This Row],[Equity Peak]],"")</f>
        <v>4.0038940615561271E-2</v>
      </c>
      <c r="V286" s="254">
        <f>IF(B286="FX",N286,0)</f>
        <v>0</v>
      </c>
      <c r="W286" s="254">
        <f>IF(D286="O",IF(V286&lt;0,V286,0),0)</f>
        <v>0</v>
      </c>
      <c r="X286" s="254">
        <f>IF(B286="COM",N286,0)</f>
        <v>0</v>
      </c>
      <c r="Y286" s="254">
        <f>IF(D286="O",IF(X286&lt;0,X286,0),0)</f>
        <v>0</v>
      </c>
      <c r="Z286" s="254">
        <f>IF(B286="IND",N286,0)</f>
        <v>-1</v>
      </c>
      <c r="AA286" s="250">
        <f>IF(D286="O",IF(Z286&lt;0,Z286,0),0)</f>
        <v>0</v>
      </c>
      <c r="AB286" s="254">
        <f>IF(B286="CRYPTO",N286,0)</f>
        <v>0</v>
      </c>
      <c r="AC286" s="250">
        <f>IF(D286="O",IF(AB286&lt;0,AB286,0),0)</f>
        <v>0</v>
      </c>
      <c r="AD286" s="255">
        <f>IF(K286&lt;&gt;"",K286-E286,0)</f>
        <v>2.0874999999941792</v>
      </c>
      <c r="AE286" s="255">
        <f>IF(N286&gt;0,AD286,0)</f>
        <v>0</v>
      </c>
      <c r="AF286" s="255">
        <f>IF(N286&lt;0,AD286,0)</f>
        <v>2.0874999999941792</v>
      </c>
      <c r="AG286" s="255">
        <f>IF(N286=0,AD286,0)</f>
        <v>0</v>
      </c>
    </row>
    <row r="287" spans="2:33" ht="15" customHeight="1" x14ac:dyDescent="0.3">
      <c r="B287" s="196" t="s">
        <v>5</v>
      </c>
      <c r="C287" s="197" t="s">
        <v>15</v>
      </c>
      <c r="D287" s="246" t="str">
        <f>IF(E287&lt;&gt;"",IF(K287&lt;&gt;"","C","O"),"")</f>
        <v>C</v>
      </c>
      <c r="E287" s="199">
        <v>44785.958333333336</v>
      </c>
      <c r="F287" s="200" t="s">
        <v>93</v>
      </c>
      <c r="G287" s="235">
        <v>13552.12</v>
      </c>
      <c r="H287" s="235">
        <v>13524.58</v>
      </c>
      <c r="I287" s="247">
        <f>ABS(G287-H287)</f>
        <v>27.540000000000873</v>
      </c>
      <c r="J287" s="235">
        <v>13845.89</v>
      </c>
      <c r="K287" s="199">
        <v>44788.045138888891</v>
      </c>
      <c r="L287" s="235">
        <v>13524.58</v>
      </c>
      <c r="M287" s="248">
        <f>ROUND(IF(C287="L",(L287-G287),(G287-L287)),4)</f>
        <v>-27.54</v>
      </c>
      <c r="N287" s="249">
        <f>IFERROR(ROUND((M287/I287),2),"")</f>
        <v>-1</v>
      </c>
      <c r="O287" s="250">
        <f>IF(D287="O",IF(N287&lt;0,N287,0),0)</f>
        <v>0</v>
      </c>
      <c r="P287" s="251">
        <f>IF(N287&gt;= 0,N287,0)</f>
        <v>0</v>
      </c>
      <c r="Q287" s="251">
        <f>IF(N287&lt;0,N287,0)</f>
        <v>-1</v>
      </c>
      <c r="R2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38557</v>
      </c>
      <c r="T2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7" s="253">
        <f ca="1">IF(Tabla33610673[[#This Row],[Equity]]&lt;Tabla33610673[[#This Row],[Equity Peak]],(Tabla33610673[[#This Row],[Equity Peak]]-Tabla33610673[[#This Row],[Equity]])/Tabla33610673[[#This Row],[Equity Peak]],"")</f>
        <v>3.7542747310351711E-2</v>
      </c>
      <c r="V287" s="254">
        <f>IF(B287="FX",N287,0)</f>
        <v>0</v>
      </c>
      <c r="W287" s="254">
        <f>IF(D287="O",IF(V287&lt;0,V287,0),0)</f>
        <v>0</v>
      </c>
      <c r="X287" s="254">
        <f>IF(B287="COM",N287,0)</f>
        <v>0</v>
      </c>
      <c r="Y287" s="254">
        <f>IF(D287="O",IF(X287&lt;0,X287,0),0)</f>
        <v>0</v>
      </c>
      <c r="Z287" s="254">
        <f>IF(B287="IND",N287,0)</f>
        <v>-1</v>
      </c>
      <c r="AA287" s="250">
        <f>IF(D287="O",IF(Z287&lt;0,Z287,0),0)</f>
        <v>0</v>
      </c>
      <c r="AB287" s="254">
        <f>IF(B287="CRYPTO",N287,0)</f>
        <v>0</v>
      </c>
      <c r="AC287" s="250">
        <f>IF(D287="O",IF(AB287&lt;0,AB287,0),0)</f>
        <v>0</v>
      </c>
      <c r="AD287" s="255">
        <f>IF(K287&lt;&gt;"",K287-E287,0)</f>
        <v>2.0868055555547471</v>
      </c>
      <c r="AE287" s="255">
        <f>IF(N287&gt;0,AD287,0)</f>
        <v>0</v>
      </c>
      <c r="AF287" s="255">
        <f>IF(N287&lt;0,AD287,0)</f>
        <v>2.0868055555547471</v>
      </c>
      <c r="AG287" s="255">
        <f>IF(N287=0,AD287,0)</f>
        <v>0</v>
      </c>
    </row>
    <row r="288" spans="2:33" ht="15" customHeight="1" x14ac:dyDescent="0.3">
      <c r="B288" s="196" t="s">
        <v>5</v>
      </c>
      <c r="C288" s="197" t="s">
        <v>15</v>
      </c>
      <c r="D288" s="246" t="str">
        <f>IF(E288&lt;&gt;"",IF(K288&lt;&gt;"","C","O"),"")</f>
        <v>C</v>
      </c>
      <c r="E288" s="199">
        <v>44785.541666666664</v>
      </c>
      <c r="F288" s="200" t="s">
        <v>91</v>
      </c>
      <c r="G288" s="235">
        <v>13805.21</v>
      </c>
      <c r="H288" s="235">
        <v>13777.36</v>
      </c>
      <c r="I288" s="247">
        <f>ABS(G288-H288)</f>
        <v>27.849999999998545</v>
      </c>
      <c r="J288" s="235">
        <v>14325.12</v>
      </c>
      <c r="K288" s="199">
        <v>44785.543749999997</v>
      </c>
      <c r="L288" s="235">
        <v>13777.36</v>
      </c>
      <c r="M288" s="248">
        <f>ROUND(IF(C288="L",(L288-G288),(G288-L288)),4)</f>
        <v>-27.85</v>
      </c>
      <c r="N288" s="249">
        <f>IFERROR(ROUND((M288/I288),2),"")</f>
        <v>-1</v>
      </c>
      <c r="O288" s="250">
        <f>IF(D288="O",IF(N288&lt;0,N288,0),0)</f>
        <v>0</v>
      </c>
      <c r="P288" s="251">
        <f>IF(N288&gt;= 0,N288,0)</f>
        <v>0</v>
      </c>
      <c r="Q288" s="251">
        <f>IF(N288&lt;0,N288,0)</f>
        <v>-1</v>
      </c>
      <c r="R2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38657</v>
      </c>
      <c r="T2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8" s="253">
        <f ca="1">IF(Tabla33610673[[#This Row],[Equity]]&lt;Tabla33610673[[#This Row],[Equity Peak]],(Tabla33610673[[#This Row],[Equity Peak]]-Tabla33610673[[#This Row],[Equity]])/Tabla33610673[[#This Row],[Equity Peak]],"")</f>
        <v>3.5046554005142158E-2</v>
      </c>
      <c r="V288" s="254">
        <f>IF(B288="FX",N288,0)</f>
        <v>0</v>
      </c>
      <c r="W288" s="254">
        <f>IF(D288="O",IF(V288&lt;0,V288,0),0)</f>
        <v>0</v>
      </c>
      <c r="X288" s="254">
        <f>IF(B288="COM",N288,0)</f>
        <v>0</v>
      </c>
      <c r="Y288" s="254">
        <f>IF(D288="O",IF(X288&lt;0,X288,0),0)</f>
        <v>0</v>
      </c>
      <c r="Z288" s="254">
        <f>IF(B288="IND",N288,0)</f>
        <v>-1</v>
      </c>
      <c r="AA288" s="250">
        <f>IF(D288="O",IF(Z288&lt;0,Z288,0),0)</f>
        <v>0</v>
      </c>
      <c r="AB288" s="254">
        <f>IF(B288="CRYPTO",N288,0)</f>
        <v>0</v>
      </c>
      <c r="AC288" s="250">
        <f>IF(D288="O",IF(AB288&lt;0,AB288,0),0)</f>
        <v>0</v>
      </c>
      <c r="AD288" s="255">
        <f>IF(K288&lt;&gt;"",K288-E288,0)</f>
        <v>2.0833333328482695E-3</v>
      </c>
      <c r="AE288" s="255">
        <f>IF(N288&gt;0,AD288,0)</f>
        <v>0</v>
      </c>
      <c r="AF288" s="255">
        <f>IF(N288&lt;0,AD288,0)</f>
        <v>2.0833333328482695E-3</v>
      </c>
      <c r="AG288" s="255">
        <f>IF(N288=0,AD288,0)</f>
        <v>0</v>
      </c>
    </row>
    <row r="289" spans="2:33" ht="15" customHeight="1" x14ac:dyDescent="0.3">
      <c r="B289" s="196" t="s">
        <v>7</v>
      </c>
      <c r="C289" s="197" t="s">
        <v>15</v>
      </c>
      <c r="D289" s="246" t="str">
        <f>IF(E289&lt;&gt;"",IF(K289&lt;&gt;"","C","O"),"")</f>
        <v>C</v>
      </c>
      <c r="E289" s="199">
        <v>44785.40625</v>
      </c>
      <c r="F289" s="200" t="s">
        <v>115</v>
      </c>
      <c r="G289" s="235">
        <v>162.70699999999999</v>
      </c>
      <c r="H289" s="235">
        <v>162.214</v>
      </c>
      <c r="I289" s="247">
        <f>ABS(G289-H289)</f>
        <v>0.492999999999995</v>
      </c>
      <c r="J289" s="235">
        <v>164.11600000000001</v>
      </c>
      <c r="K289" s="199">
        <v>44785.452777777777</v>
      </c>
      <c r="L289" s="235">
        <v>162.214</v>
      </c>
      <c r="M289" s="248">
        <f>ROUND(IF(C289="L",(L289-G289),(G289-L289)),4)</f>
        <v>-0.49299999999999999</v>
      </c>
      <c r="N289" s="249">
        <f>IFERROR(ROUND((M289/I289),2),"")</f>
        <v>-1</v>
      </c>
      <c r="O289" s="250">
        <f>IF(D289="O",IF(N289&lt;0,N289,0),0)</f>
        <v>0</v>
      </c>
      <c r="P289" s="251">
        <f>IF(N289&gt;= 0,N289,0)</f>
        <v>0</v>
      </c>
      <c r="Q289" s="251">
        <f>IF(N289&lt;0,N289,0)</f>
        <v>-1</v>
      </c>
      <c r="R2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38757</v>
      </c>
      <c r="T2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89" s="253">
        <f ca="1">IF(Tabla33610673[[#This Row],[Equity]]&lt;Tabla33610673[[#This Row],[Equity Peak]],(Tabla33610673[[#This Row],[Equity Peak]]-Tabla33610673[[#This Row],[Equity]])/Tabla33610673[[#This Row],[Equity Peak]],"")</f>
        <v>3.2550360699932605E-2</v>
      </c>
      <c r="V289" s="254">
        <f>IF(B289="FX",N289,0)</f>
        <v>-1</v>
      </c>
      <c r="W289" s="254">
        <f>IF(D289="O",IF(V289&lt;0,V289,0),0)</f>
        <v>0</v>
      </c>
      <c r="X289" s="254">
        <f>IF(B289="COM",N289,0)</f>
        <v>0</v>
      </c>
      <c r="Y289" s="254">
        <f>IF(D289="O",IF(X289&lt;0,X289,0),0)</f>
        <v>0</v>
      </c>
      <c r="Z289" s="254">
        <f>IF(B289="IND",N289,0)</f>
        <v>0</v>
      </c>
      <c r="AA289" s="250">
        <f>IF(D289="O",IF(Z289&lt;0,Z289,0),0)</f>
        <v>0</v>
      </c>
      <c r="AB289" s="254">
        <f>IF(B289="CRYPTO",N289,0)</f>
        <v>0</v>
      </c>
      <c r="AC289" s="250">
        <f>IF(D289="O",IF(AB289&lt;0,AB289,0),0)</f>
        <v>0</v>
      </c>
      <c r="AD289" s="255">
        <f>IF(K289&lt;&gt;"",K289-E289,0)</f>
        <v>4.6527777776645962E-2</v>
      </c>
      <c r="AE289" s="255">
        <f>IF(N289&gt;0,AD289,0)</f>
        <v>0</v>
      </c>
      <c r="AF289" s="255">
        <f>IF(N289&lt;0,AD289,0)</f>
        <v>4.6527777776645962E-2</v>
      </c>
      <c r="AG289" s="255">
        <f>IF(N289=0,AD289,0)</f>
        <v>0</v>
      </c>
    </row>
    <row r="290" spans="2:33" ht="15" customHeight="1" x14ac:dyDescent="0.3">
      <c r="B290" s="196" t="s">
        <v>5</v>
      </c>
      <c r="C290" s="197" t="s">
        <v>15</v>
      </c>
      <c r="D290" s="246" t="str">
        <f>IF(E290&lt;&gt;"",IF(K290&lt;&gt;"","C","O"),"")</f>
        <v>C</v>
      </c>
      <c r="E290" s="199">
        <v>44783.947916666664</v>
      </c>
      <c r="F290" s="200" t="s">
        <v>92</v>
      </c>
      <c r="G290" s="235">
        <v>13371.43</v>
      </c>
      <c r="H290" s="235">
        <v>13333.8</v>
      </c>
      <c r="I290" s="247">
        <f>ABS(G290-H290)</f>
        <v>37.630000000001019</v>
      </c>
      <c r="J290" s="235">
        <v>14073.93</v>
      </c>
      <c r="K290" s="199">
        <v>44784.752083333333</v>
      </c>
      <c r="L290" s="235">
        <v>13433.53</v>
      </c>
      <c r="M290" s="248">
        <f>ROUND(IF(C290="L",(L290-G290),(G290-L290)),4)</f>
        <v>62.1</v>
      </c>
      <c r="N290" s="249">
        <f>IFERROR(ROUND((M290/I290),2),"")</f>
        <v>1.65</v>
      </c>
      <c r="O290" s="250">
        <f>IF(D290="O",IF(N290&lt;0,N290,0),0)</f>
        <v>0</v>
      </c>
      <c r="P290" s="251">
        <f>IF(N290&gt;= 0,N290,0)</f>
        <v>1.65</v>
      </c>
      <c r="Q290" s="251">
        <f>IF(N290&lt;0,N290,0)</f>
        <v>0</v>
      </c>
      <c r="R2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38857</v>
      </c>
      <c r="T2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0" s="253">
        <f ca="1">IF(Tabla33610673[[#This Row],[Equity]]&lt;Tabla33610673[[#This Row],[Equity Peak]],(Tabla33610673[[#This Row],[Equity Peak]]-Tabla33610673[[#This Row],[Equity]])/Tabla33610673[[#This Row],[Equity Peak]],"")</f>
        <v>3.0054167394723049E-2</v>
      </c>
      <c r="V290" s="254">
        <f>IF(B290="FX",N290,0)</f>
        <v>0</v>
      </c>
      <c r="W290" s="254">
        <f>IF(D290="O",IF(V290&lt;0,V290,0),0)</f>
        <v>0</v>
      </c>
      <c r="X290" s="254">
        <f>IF(B290="COM",N290,0)</f>
        <v>0</v>
      </c>
      <c r="Y290" s="254">
        <f>IF(D290="O",IF(X290&lt;0,X290,0),0)</f>
        <v>0</v>
      </c>
      <c r="Z290" s="254">
        <f>IF(B290="IND",N290,0)</f>
        <v>1.65</v>
      </c>
      <c r="AA290" s="250">
        <f>IF(D290="O",IF(Z290&lt;0,Z290,0),0)</f>
        <v>0</v>
      </c>
      <c r="AB290" s="254">
        <f>IF(B290="CRYPTO",N290,0)</f>
        <v>0</v>
      </c>
      <c r="AC290" s="250">
        <f>IF(D290="O",IF(AB290&lt;0,AB290,0),0)</f>
        <v>0</v>
      </c>
      <c r="AD290" s="255">
        <f>IF(K290&lt;&gt;"",K290-E290,0)</f>
        <v>0.80416666666860692</v>
      </c>
      <c r="AE290" s="255">
        <f>IF(N290&gt;0,AD290,0)</f>
        <v>0.80416666666860692</v>
      </c>
      <c r="AF290" s="255">
        <f>IF(N290&lt;0,AD290,0)</f>
        <v>0</v>
      </c>
      <c r="AG290" s="255">
        <f>IF(N290=0,AD290,0)</f>
        <v>0</v>
      </c>
    </row>
    <row r="291" spans="2:33" ht="15" customHeight="1" x14ac:dyDescent="0.3">
      <c r="B291" s="196" t="s">
        <v>5</v>
      </c>
      <c r="C291" s="197" t="s">
        <v>15</v>
      </c>
      <c r="D291" s="246" t="str">
        <f>IF(E291&lt;&gt;"",IF(K291&lt;&gt;"","C","O"),"")</f>
        <v>C</v>
      </c>
      <c r="E291" s="199">
        <v>44783.947916666664</v>
      </c>
      <c r="F291" s="200" t="s">
        <v>93</v>
      </c>
      <c r="G291" s="235">
        <v>13371.43</v>
      </c>
      <c r="H291" s="235">
        <v>13336.57</v>
      </c>
      <c r="I291" s="247">
        <f>ABS(G291-H291)</f>
        <v>34.860000000000582</v>
      </c>
      <c r="J291" s="235">
        <v>13743.23</v>
      </c>
      <c r="K291" s="199">
        <v>44784.740972222222</v>
      </c>
      <c r="L291" s="235">
        <v>13455.18</v>
      </c>
      <c r="M291" s="248">
        <f>ROUND(IF(C291="L",(L291-G291),(G291-L291)),4)</f>
        <v>83.75</v>
      </c>
      <c r="N291" s="249">
        <f>IFERROR(ROUND((M291/I291),2),"")</f>
        <v>2.4</v>
      </c>
      <c r="O291" s="250">
        <f>IF(D291="O",IF(N291&lt;0,N291,0),0)</f>
        <v>0</v>
      </c>
      <c r="P291" s="251">
        <f>IF(N291&gt;= 0,N291,0)</f>
        <v>2.4</v>
      </c>
      <c r="Q291" s="251">
        <f>IF(N291&lt;0,N291,0)</f>
        <v>0</v>
      </c>
      <c r="R2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38692</v>
      </c>
      <c r="T2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1" s="253">
        <f ca="1">IF(Tabla33610673[[#This Row],[Equity]]&lt;Tabla33610673[[#This Row],[Equity Peak]],(Tabla33610673[[#This Row],[Equity Peak]]-Tabla33610673[[#This Row],[Equity]])/Tabla33610673[[#This Row],[Equity Peak]],"")</f>
        <v>3.4172886348318811E-2</v>
      </c>
      <c r="V291" s="254">
        <f>IF(B291="FX",N291,0)</f>
        <v>0</v>
      </c>
      <c r="W291" s="254">
        <f>IF(D291="O",IF(V291&lt;0,V291,0),0)</f>
        <v>0</v>
      </c>
      <c r="X291" s="254">
        <f>IF(B291="COM",N291,0)</f>
        <v>0</v>
      </c>
      <c r="Y291" s="254">
        <f>IF(D291="O",IF(X291&lt;0,X291,0),0)</f>
        <v>0</v>
      </c>
      <c r="Z291" s="254">
        <f>IF(B291="IND",N291,0)</f>
        <v>2.4</v>
      </c>
      <c r="AA291" s="250">
        <f>IF(D291="O",IF(Z291&lt;0,Z291,0),0)</f>
        <v>0</v>
      </c>
      <c r="AB291" s="254">
        <f>IF(B291="CRYPTO",N291,0)</f>
        <v>0</v>
      </c>
      <c r="AC291" s="250">
        <f>IF(D291="O",IF(AB291&lt;0,AB291,0),0)</f>
        <v>0</v>
      </c>
      <c r="AD291" s="255">
        <f>IF(K291&lt;&gt;"",K291-E291,0)</f>
        <v>0.7930555555576575</v>
      </c>
      <c r="AE291" s="255">
        <f>IF(N291&gt;0,AD291,0)</f>
        <v>0.7930555555576575</v>
      </c>
      <c r="AF291" s="255">
        <f>IF(N291&lt;0,AD291,0)</f>
        <v>0</v>
      </c>
      <c r="AG291" s="255">
        <f>IF(N291=0,AD291,0)</f>
        <v>0</v>
      </c>
    </row>
    <row r="292" spans="2:33" ht="15" customHeight="1" x14ac:dyDescent="0.3">
      <c r="B292" s="196" t="s">
        <v>7</v>
      </c>
      <c r="C292" s="197" t="s">
        <v>15</v>
      </c>
      <c r="D292" s="246" t="str">
        <f>IF(E292&lt;&gt;"",IF(K292&lt;&gt;"","C","O"),"")</f>
        <v>C</v>
      </c>
      <c r="E292" s="199">
        <v>44783.625</v>
      </c>
      <c r="F292" s="200" t="s">
        <v>114</v>
      </c>
      <c r="G292" s="235">
        <v>1.02589</v>
      </c>
      <c r="H292" s="235">
        <v>1.0241199999999999</v>
      </c>
      <c r="I292" s="247">
        <f>ABS(G292-H292)</f>
        <v>1.7700000000000493E-3</v>
      </c>
      <c r="J292" s="235">
        <v>1.0418499999999999</v>
      </c>
      <c r="K292" s="199">
        <v>44784.340277777781</v>
      </c>
      <c r="L292" s="235">
        <v>1.02806</v>
      </c>
      <c r="M292" s="248">
        <f>ROUND(IF(C292="L",(L292-G292),(G292-L292)),4)</f>
        <v>2.2000000000000001E-3</v>
      </c>
      <c r="N292" s="249">
        <f>IFERROR(ROUND((M292/I292),2),"")</f>
        <v>1.24</v>
      </c>
      <c r="O292" s="250">
        <f>IF(D292="O",IF(N292&lt;0,N292,0),0)</f>
        <v>0</v>
      </c>
      <c r="P292" s="251">
        <f>IF(N292&gt;= 0,N292,0)</f>
        <v>1.24</v>
      </c>
      <c r="Q292" s="251">
        <f>IF(N292&lt;0,N292,0)</f>
        <v>0</v>
      </c>
      <c r="R2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38452</v>
      </c>
      <c r="T2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2" s="253">
        <f ca="1">IF(Tabla33610673[[#This Row],[Equity]]&lt;Tabla33610673[[#This Row],[Equity Peak]],(Tabla33610673[[#This Row],[Equity Peak]]-Tabla33610673[[#This Row],[Equity]])/Tabla33610673[[#This Row],[Equity Peak]],"")</f>
        <v>4.0163750280821746E-2</v>
      </c>
      <c r="V292" s="254">
        <f>IF(B292="FX",N292,0)</f>
        <v>1.24</v>
      </c>
      <c r="W292" s="254">
        <f>IF(D292="O",IF(V292&lt;0,V292,0),0)</f>
        <v>0</v>
      </c>
      <c r="X292" s="254">
        <f>IF(B292="COM",N292,0)</f>
        <v>0</v>
      </c>
      <c r="Y292" s="254">
        <f>IF(D292="O",IF(X292&lt;0,X292,0),0)</f>
        <v>0</v>
      </c>
      <c r="Z292" s="254">
        <f>IF(B292="IND",N292,0)</f>
        <v>0</v>
      </c>
      <c r="AA292" s="250">
        <f>IF(D292="O",IF(Z292&lt;0,Z292,0),0)</f>
        <v>0</v>
      </c>
      <c r="AB292" s="254">
        <f>IF(B292="CRYPTO",N292,0)</f>
        <v>0</v>
      </c>
      <c r="AC292" s="250">
        <f>IF(D292="O",IF(AB292&lt;0,AB292,0),0)</f>
        <v>0</v>
      </c>
      <c r="AD292" s="255">
        <f>IF(K292&lt;&gt;"",K292-E292,0)</f>
        <v>0.71527777778101154</v>
      </c>
      <c r="AE292" s="255">
        <f>IF(N292&gt;0,AD292,0)</f>
        <v>0.71527777778101154</v>
      </c>
      <c r="AF292" s="255">
        <f>IF(N292&lt;0,AD292,0)</f>
        <v>0</v>
      </c>
      <c r="AG292" s="255">
        <f>IF(N292=0,AD292,0)</f>
        <v>0</v>
      </c>
    </row>
    <row r="293" spans="2:33" ht="15" customHeight="1" x14ac:dyDescent="0.3">
      <c r="B293" s="196" t="s">
        <v>7</v>
      </c>
      <c r="C293" s="197" t="s">
        <v>13</v>
      </c>
      <c r="D293" s="246" t="str">
        <f>IF(E293&lt;&gt;"",IF(K293&lt;&gt;"","C","O"),"")</f>
        <v>C</v>
      </c>
      <c r="E293" s="199">
        <v>44783.65625</v>
      </c>
      <c r="F293" s="200" t="s">
        <v>115</v>
      </c>
      <c r="G293" s="235">
        <v>162.578</v>
      </c>
      <c r="H293" s="235">
        <v>163.041</v>
      </c>
      <c r="I293" s="247">
        <f>ABS(G293-H293)</f>
        <v>0.46299999999999386</v>
      </c>
      <c r="J293" s="235">
        <v>161.25399999999999</v>
      </c>
      <c r="K293" s="199">
        <v>44783.87777777778</v>
      </c>
      <c r="L293" s="235">
        <v>162.54</v>
      </c>
      <c r="M293" s="248">
        <f>ROUND(IF(C293="L",(L293-G293),(G293-L293)),4)</f>
        <v>3.7999999999999999E-2</v>
      </c>
      <c r="N293" s="249">
        <f>IFERROR(ROUND((M293/I293),2),"")</f>
        <v>0.08</v>
      </c>
      <c r="O293" s="250">
        <f>IF(D293="O",IF(N293&lt;0,N293,0),0)</f>
        <v>0</v>
      </c>
      <c r="P293" s="251">
        <f>IF(N293&gt;= 0,N293,0)</f>
        <v>0.08</v>
      </c>
      <c r="Q293" s="251">
        <f>IF(N293&lt;0,N293,0)</f>
        <v>0</v>
      </c>
      <c r="R2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38328</v>
      </c>
      <c r="T2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3" s="253">
        <f ca="1">IF(Tabla33610673[[#This Row],[Equity]]&lt;Tabla33610673[[#This Row],[Equity Peak]],(Tabla33610673[[#This Row],[Equity Peak]]-Tabla33610673[[#This Row],[Equity]])/Tabla33610673[[#This Row],[Equity Peak]],"")</f>
        <v>4.3259029979281598E-2</v>
      </c>
      <c r="V293" s="254">
        <f>IF(B293="FX",N293,0)</f>
        <v>0.08</v>
      </c>
      <c r="W293" s="254">
        <f>IF(D293="O",IF(V293&lt;0,V293,0),0)</f>
        <v>0</v>
      </c>
      <c r="X293" s="254">
        <f>IF(B293="COM",N293,0)</f>
        <v>0</v>
      </c>
      <c r="Y293" s="254">
        <f>IF(D293="O",IF(X293&lt;0,X293,0),0)</f>
        <v>0</v>
      </c>
      <c r="Z293" s="254">
        <f>IF(B293="IND",N293,0)</f>
        <v>0</v>
      </c>
      <c r="AA293" s="250">
        <f>IF(D293="O",IF(Z293&lt;0,Z293,0),0)</f>
        <v>0</v>
      </c>
      <c r="AB293" s="254">
        <f>IF(B293="CRYPTO",N293,0)</f>
        <v>0</v>
      </c>
      <c r="AC293" s="250">
        <f>IF(D293="O",IF(AB293&lt;0,AB293,0),0)</f>
        <v>0</v>
      </c>
      <c r="AD293" s="255">
        <f>IF(K293&lt;&gt;"",K293-E293,0)</f>
        <v>0.22152777777955635</v>
      </c>
      <c r="AE293" s="255">
        <f>IF(N293&gt;0,AD293,0)</f>
        <v>0.22152777777955635</v>
      </c>
      <c r="AF293" s="255">
        <f>IF(N293&lt;0,AD293,0)</f>
        <v>0</v>
      </c>
      <c r="AG293" s="255">
        <f>IF(N293=0,AD293,0)</f>
        <v>0</v>
      </c>
    </row>
    <row r="294" spans="2:33" ht="15" customHeight="1" x14ac:dyDescent="0.3">
      <c r="B294" s="196" t="s">
        <v>19</v>
      </c>
      <c r="C294" s="197" t="s">
        <v>15</v>
      </c>
      <c r="D294" s="246" t="str">
        <f>IF(E294&lt;&gt;"",IF(K294&lt;&gt;"","C","O"),"")</f>
        <v>C</v>
      </c>
      <c r="E294" s="199">
        <v>44783.65625</v>
      </c>
      <c r="F294" s="200" t="s">
        <v>88</v>
      </c>
      <c r="G294" s="235">
        <v>1806.32</v>
      </c>
      <c r="H294" s="235">
        <v>1804.06</v>
      </c>
      <c r="I294" s="247">
        <f>ABS(G294-H294)</f>
        <v>2.2599999999999909</v>
      </c>
      <c r="J294" s="235">
        <v>1833.49</v>
      </c>
      <c r="K294" s="199">
        <v>44783.657638888886</v>
      </c>
      <c r="L294" s="235">
        <v>1804.06</v>
      </c>
      <c r="M294" s="248">
        <f>ROUND(IF(C294="L",(L294-G294),(G294-L294)),4)</f>
        <v>-2.2599999999999998</v>
      </c>
      <c r="N294" s="249">
        <f>IFERROR(ROUND((M294/I294),2),"")</f>
        <v>-1</v>
      </c>
      <c r="O294" s="250">
        <f>IF(D294="O",IF(N294&lt;0,N294,0),0)</f>
        <v>0</v>
      </c>
      <c r="P294" s="251">
        <f>IF(N294&gt;= 0,N294,0)</f>
        <v>0</v>
      </c>
      <c r="Q294" s="251">
        <f>IF(N294&lt;0,N294,0)</f>
        <v>-1</v>
      </c>
      <c r="R2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38320</v>
      </c>
      <c r="T2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4" s="253">
        <f ca="1">IF(Tabla33610673[[#This Row],[Equity]]&lt;Tabla33610673[[#This Row],[Equity Peak]],(Tabla33610673[[#This Row],[Equity Peak]]-Tabla33610673[[#This Row],[Equity]])/Tabla33610673[[#This Row],[Equity Peak]],"")</f>
        <v>4.3458725443698359E-2</v>
      </c>
      <c r="V294" s="254">
        <f>IF(B294="FX",N294,0)</f>
        <v>0</v>
      </c>
      <c r="W294" s="254">
        <f>IF(D294="O",IF(V294&lt;0,V294,0),0)</f>
        <v>0</v>
      </c>
      <c r="X294" s="254">
        <f>IF(B294="COM",N294,0)</f>
        <v>-1</v>
      </c>
      <c r="Y294" s="254">
        <f>IF(D294="O",IF(X294&lt;0,X294,0),0)</f>
        <v>0</v>
      </c>
      <c r="Z294" s="254">
        <f>IF(B294="IND",N294,0)</f>
        <v>0</v>
      </c>
      <c r="AA294" s="250">
        <f>IF(D294="O",IF(Z294&lt;0,Z294,0),0)</f>
        <v>0</v>
      </c>
      <c r="AB294" s="254">
        <f>IF(B294="CRYPTO",N294,0)</f>
        <v>0</v>
      </c>
      <c r="AC294" s="250">
        <f>IF(D294="O",IF(AB294&lt;0,AB294,0),0)</f>
        <v>0</v>
      </c>
      <c r="AD294" s="255">
        <f>IF(K294&lt;&gt;"",K294-E294,0)</f>
        <v>1.3888888861401938E-3</v>
      </c>
      <c r="AE294" s="255">
        <f>IF(N294&gt;0,AD294,0)</f>
        <v>0</v>
      </c>
      <c r="AF294" s="255">
        <f>IF(N294&lt;0,AD294,0)</f>
        <v>1.3888888861401938E-3</v>
      </c>
      <c r="AG294" s="255">
        <f>IF(N294=0,AD294,0)</f>
        <v>0</v>
      </c>
    </row>
    <row r="295" spans="2:33" ht="15" customHeight="1" x14ac:dyDescent="0.3">
      <c r="B295" s="196" t="s">
        <v>19</v>
      </c>
      <c r="C295" s="197" t="s">
        <v>15</v>
      </c>
      <c r="D295" s="246" t="str">
        <f>IF(E295&lt;&gt;"",IF(K295&lt;&gt;"","C","O"),"")</f>
        <v>C</v>
      </c>
      <c r="E295" s="199">
        <v>44782.677083333336</v>
      </c>
      <c r="F295" s="200" t="s">
        <v>88</v>
      </c>
      <c r="G295" s="235">
        <v>1796.32</v>
      </c>
      <c r="H295" s="235">
        <v>1793.79</v>
      </c>
      <c r="I295" s="247">
        <f>ABS(G295-H295)</f>
        <v>2.5299999999999727</v>
      </c>
      <c r="J295" s="235">
        <v>1826.66</v>
      </c>
      <c r="K295" s="199">
        <v>44782.73333333333</v>
      </c>
      <c r="L295" s="235">
        <v>1793.79</v>
      </c>
      <c r="M295" s="248">
        <f>ROUND(IF(C295="L",(L295-G295),(G295-L295)),4)</f>
        <v>-2.5299999999999998</v>
      </c>
      <c r="N295" s="249">
        <f>IFERROR(ROUND((M295/I295),2),"")</f>
        <v>-1</v>
      </c>
      <c r="O295" s="250">
        <f>IF(D295="O",IF(N295&lt;0,N295,0),0)</f>
        <v>0</v>
      </c>
      <c r="P295" s="251">
        <f>IF(N295&gt;= 0,N295,0)</f>
        <v>0</v>
      </c>
      <c r="Q295" s="251">
        <f>IF(N295&lt;0,N295,0)</f>
        <v>-1</v>
      </c>
      <c r="R2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38420</v>
      </c>
      <c r="T2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5" s="253">
        <f ca="1">IF(Tabla33610673[[#This Row],[Equity]]&lt;Tabla33610673[[#This Row],[Equity Peak]],(Tabla33610673[[#This Row],[Equity Peak]]-Tabla33610673[[#This Row],[Equity]])/Tabla33610673[[#This Row],[Equity Peak]],"")</f>
        <v>4.0962532138488807E-2</v>
      </c>
      <c r="V295" s="254">
        <f>IF(B295="FX",N295,0)</f>
        <v>0</v>
      </c>
      <c r="W295" s="254">
        <f>IF(D295="O",IF(V295&lt;0,V295,0),0)</f>
        <v>0</v>
      </c>
      <c r="X295" s="254">
        <f>IF(B295="COM",N295,0)</f>
        <v>-1</v>
      </c>
      <c r="Y295" s="254">
        <f>IF(D295="O",IF(X295&lt;0,X295,0),0)</f>
        <v>0</v>
      </c>
      <c r="Z295" s="254">
        <f>IF(B295="IND",N295,0)</f>
        <v>0</v>
      </c>
      <c r="AA295" s="250">
        <f>IF(D295="O",IF(Z295&lt;0,Z295,0),0)</f>
        <v>0</v>
      </c>
      <c r="AB295" s="254">
        <f>IF(B295="CRYPTO",N295,0)</f>
        <v>0</v>
      </c>
      <c r="AC295" s="250">
        <f>IF(D295="O",IF(AB295&lt;0,AB295,0),0)</f>
        <v>0</v>
      </c>
      <c r="AD295" s="255">
        <f>IF(K295&lt;&gt;"",K295-E295,0)</f>
        <v>5.6249999994179234E-2</v>
      </c>
      <c r="AE295" s="255">
        <f>IF(N295&gt;0,AD295,0)</f>
        <v>0</v>
      </c>
      <c r="AF295" s="255">
        <f>IF(N295&lt;0,AD295,0)</f>
        <v>5.6249999994179234E-2</v>
      </c>
      <c r="AG295" s="255">
        <f>IF(N295=0,AD295,0)</f>
        <v>0</v>
      </c>
    </row>
    <row r="296" spans="2:33" ht="15" customHeight="1" x14ac:dyDescent="0.3">
      <c r="B296" s="196" t="s">
        <v>5</v>
      </c>
      <c r="C296" s="197" t="s">
        <v>15</v>
      </c>
      <c r="D296" s="246" t="str">
        <f>IF(E296&lt;&gt;"",IF(K296&lt;&gt;"","C","O"),"")</f>
        <v>C</v>
      </c>
      <c r="E296" s="199">
        <v>44781.708333333336</v>
      </c>
      <c r="F296" s="200" t="s">
        <v>92</v>
      </c>
      <c r="G296" s="235">
        <v>13364.25</v>
      </c>
      <c r="H296" s="235">
        <v>13331.72</v>
      </c>
      <c r="I296" s="247">
        <f>ABS(G296-H296)</f>
        <v>32.530000000000655</v>
      </c>
      <c r="J296" s="235">
        <v>13971.39</v>
      </c>
      <c r="K296" s="199">
        <v>44781.727083333331</v>
      </c>
      <c r="L296" s="235">
        <v>13331.72</v>
      </c>
      <c r="M296" s="248">
        <f>ROUND(IF(C296="L",(L296-G296),(G296-L296)),4)</f>
        <v>-32.53</v>
      </c>
      <c r="N296" s="249">
        <f>IFERROR(ROUND((M296/I296),2),"")</f>
        <v>-1</v>
      </c>
      <c r="O296" s="250">
        <f>IF(D296="O",IF(N296&lt;0,N296,0),0)</f>
        <v>0</v>
      </c>
      <c r="P296" s="251">
        <f>IF(N296&gt;= 0,N296,0)</f>
        <v>0</v>
      </c>
      <c r="Q296" s="251">
        <f>IF(N296&lt;0,N296,0)</f>
        <v>-1</v>
      </c>
      <c r="R2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38520</v>
      </c>
      <c r="T2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6" s="253">
        <f ca="1">IF(Tabla33610673[[#This Row],[Equity]]&lt;Tabla33610673[[#This Row],[Equity Peak]],(Tabla33610673[[#This Row],[Equity Peak]]-Tabla33610673[[#This Row],[Equity]])/Tabla33610673[[#This Row],[Equity Peak]],"")</f>
        <v>3.8466338833279247E-2</v>
      </c>
      <c r="V296" s="254">
        <f>IF(B296="FX",N296,0)</f>
        <v>0</v>
      </c>
      <c r="W296" s="254">
        <f>IF(D296="O",IF(V296&lt;0,V296,0),0)</f>
        <v>0</v>
      </c>
      <c r="X296" s="254">
        <f>IF(B296="COM",N296,0)</f>
        <v>0</v>
      </c>
      <c r="Y296" s="254">
        <f>IF(D296="O",IF(X296&lt;0,X296,0),0)</f>
        <v>0</v>
      </c>
      <c r="Z296" s="254">
        <f>IF(B296="IND",N296,0)</f>
        <v>-1</v>
      </c>
      <c r="AA296" s="250">
        <f>IF(D296="O",IF(Z296&lt;0,Z296,0),0)</f>
        <v>0</v>
      </c>
      <c r="AB296" s="254">
        <f>IF(B296="CRYPTO",N296,0)</f>
        <v>0</v>
      </c>
      <c r="AC296" s="250">
        <f>IF(D296="O",IF(AB296&lt;0,AB296,0),0)</f>
        <v>0</v>
      </c>
      <c r="AD296" s="255">
        <f>IF(K296&lt;&gt;"",K296-E296,0)</f>
        <v>1.8749999995634425E-2</v>
      </c>
      <c r="AE296" s="255">
        <f>IF(N296&gt;0,AD296,0)</f>
        <v>0</v>
      </c>
      <c r="AF296" s="255">
        <f>IF(N296&lt;0,AD296,0)</f>
        <v>1.8749999995634425E-2</v>
      </c>
      <c r="AG296" s="255">
        <f>IF(N296=0,AD296,0)</f>
        <v>0</v>
      </c>
    </row>
    <row r="297" spans="2:33" ht="15" customHeight="1" x14ac:dyDescent="0.3">
      <c r="B297" s="196" t="s">
        <v>5</v>
      </c>
      <c r="C297" s="197" t="s">
        <v>15</v>
      </c>
      <c r="D297" s="246" t="str">
        <f>IF(E297&lt;&gt;"",IF(K297&lt;&gt;"","C","O"),"")</f>
        <v>C</v>
      </c>
      <c r="E297" s="199">
        <v>44781.708333333336</v>
      </c>
      <c r="F297" s="200" t="s">
        <v>93</v>
      </c>
      <c r="G297" s="235">
        <v>13364.25</v>
      </c>
      <c r="H297" s="235">
        <v>13327.59</v>
      </c>
      <c r="I297" s="247">
        <f>ABS(G297-H297)</f>
        <v>36.659999999999854</v>
      </c>
      <c r="J297" s="235">
        <v>13755.33</v>
      </c>
      <c r="K297" s="199">
        <v>44781.727083333331</v>
      </c>
      <c r="L297" s="235">
        <v>13327.59</v>
      </c>
      <c r="M297" s="248">
        <f>ROUND(IF(C297="L",(L297-G297),(G297-L297)),4)</f>
        <v>-36.659999999999997</v>
      </c>
      <c r="N297" s="249">
        <f>IFERROR(ROUND((M297/I297),2),"")</f>
        <v>-1</v>
      </c>
      <c r="O297" s="250">
        <f>IF(D297="O",IF(N297&lt;0,N297,0),0)</f>
        <v>0</v>
      </c>
      <c r="P297" s="251">
        <f>IF(N297&gt;= 0,N297,0)</f>
        <v>0</v>
      </c>
      <c r="Q297" s="251">
        <f>IF(N297&lt;0,N297,0)</f>
        <v>-1</v>
      </c>
      <c r="R2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38620</v>
      </c>
      <c r="T2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7" s="253">
        <f ca="1">IF(Tabla33610673[[#This Row],[Equity]]&lt;Tabla33610673[[#This Row],[Equity Peak]],(Tabla33610673[[#This Row],[Equity Peak]]-Tabla33610673[[#This Row],[Equity]])/Tabla33610673[[#This Row],[Equity Peak]],"")</f>
        <v>3.5970145528069694E-2</v>
      </c>
      <c r="V297" s="254">
        <f>IF(B297="FX",N297,0)</f>
        <v>0</v>
      </c>
      <c r="W297" s="254">
        <f>IF(D297="O",IF(V297&lt;0,V297,0),0)</f>
        <v>0</v>
      </c>
      <c r="X297" s="254">
        <f>IF(B297="COM",N297,0)</f>
        <v>0</v>
      </c>
      <c r="Y297" s="254">
        <f>IF(D297="O",IF(X297&lt;0,X297,0),0)</f>
        <v>0</v>
      </c>
      <c r="Z297" s="254">
        <f>IF(B297="IND",N297,0)</f>
        <v>-1</v>
      </c>
      <c r="AA297" s="250">
        <f>IF(D297="O",IF(Z297&lt;0,Z297,0),0)</f>
        <v>0</v>
      </c>
      <c r="AB297" s="254">
        <f>IF(B297="CRYPTO",N297,0)</f>
        <v>0</v>
      </c>
      <c r="AC297" s="250">
        <f>IF(D297="O",IF(AB297&lt;0,AB297,0),0)</f>
        <v>0</v>
      </c>
      <c r="AD297" s="255">
        <f>IF(K297&lt;&gt;"",K297-E297,0)</f>
        <v>1.8749999995634425E-2</v>
      </c>
      <c r="AE297" s="255">
        <f>IF(N297&gt;0,AD297,0)</f>
        <v>0</v>
      </c>
      <c r="AF297" s="255">
        <f>IF(N297&lt;0,AD297,0)</f>
        <v>1.8749999995634425E-2</v>
      </c>
      <c r="AG297" s="255">
        <f>IF(N297=0,AD297,0)</f>
        <v>0</v>
      </c>
    </row>
    <row r="298" spans="2:33" ht="15" customHeight="1" x14ac:dyDescent="0.3">
      <c r="B298" s="196" t="s">
        <v>7</v>
      </c>
      <c r="C298" s="197" t="s">
        <v>15</v>
      </c>
      <c r="D298" s="246" t="str">
        <f>IF(E298&lt;&gt;"",IF(K298&lt;&gt;"","C","O"),"")</f>
        <v>C</v>
      </c>
      <c r="E298" s="199">
        <v>44781.395833333336</v>
      </c>
      <c r="F298" s="200" t="s">
        <v>115</v>
      </c>
      <c r="G298" s="235">
        <v>163.60300000000001</v>
      </c>
      <c r="H298" s="235">
        <v>163.01</v>
      </c>
      <c r="I298" s="247">
        <f>ABS(G298-H298)</f>
        <v>0.59300000000001774</v>
      </c>
      <c r="J298" s="235">
        <v>165.297</v>
      </c>
      <c r="K298" s="199">
        <v>44781.527777777781</v>
      </c>
      <c r="L298" s="235">
        <v>163.09200000000001</v>
      </c>
      <c r="M298" s="248">
        <f>ROUND(IF(C298="L",(L298-G298),(G298-L298)),4)</f>
        <v>-0.51100000000000001</v>
      </c>
      <c r="N298" s="249">
        <f>IFERROR(ROUND((M298/I298),2),"")</f>
        <v>-0.86</v>
      </c>
      <c r="O298" s="250">
        <f>IF(D298="O",IF(N298&lt;0,N298,0),0)</f>
        <v>0</v>
      </c>
      <c r="P298" s="251">
        <f>IF(N298&gt;= 0,N298,0)</f>
        <v>0</v>
      </c>
      <c r="Q298" s="251">
        <f>IF(N298&lt;0,N298,0)</f>
        <v>-0.86</v>
      </c>
      <c r="R2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38720</v>
      </c>
      <c r="T2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8" s="253">
        <f ca="1">IF(Tabla33610673[[#This Row],[Equity]]&lt;Tabla33610673[[#This Row],[Equity Peak]],(Tabla33610673[[#This Row],[Equity Peak]]-Tabla33610673[[#This Row],[Equity]])/Tabla33610673[[#This Row],[Equity Peak]],"")</f>
        <v>3.3473952222860141E-2</v>
      </c>
      <c r="V298" s="254">
        <f>IF(B298="FX",N298,0)</f>
        <v>-0.86</v>
      </c>
      <c r="W298" s="254">
        <f>IF(D298="O",IF(V298&lt;0,V298,0),0)</f>
        <v>0</v>
      </c>
      <c r="X298" s="254">
        <f>IF(B298="COM",N298,0)</f>
        <v>0</v>
      </c>
      <c r="Y298" s="254">
        <f>IF(D298="O",IF(X298&lt;0,X298,0),0)</f>
        <v>0</v>
      </c>
      <c r="Z298" s="254">
        <f>IF(B298="IND",N298,0)</f>
        <v>0</v>
      </c>
      <c r="AA298" s="250">
        <f>IF(D298="O",IF(Z298&lt;0,Z298,0),0)</f>
        <v>0</v>
      </c>
      <c r="AB298" s="254">
        <f>IF(B298="CRYPTO",N298,0)</f>
        <v>0</v>
      </c>
      <c r="AC298" s="250">
        <f>IF(D298="O",IF(AB298&lt;0,AB298,0),0)</f>
        <v>0</v>
      </c>
      <c r="AD298" s="255">
        <f>IF(K298&lt;&gt;"",K298-E298,0)</f>
        <v>0.13194444444525288</v>
      </c>
      <c r="AE298" s="255">
        <f>IF(N298&gt;0,AD298,0)</f>
        <v>0</v>
      </c>
      <c r="AF298" s="255">
        <f>IF(N298&lt;0,AD298,0)</f>
        <v>0.13194444444525288</v>
      </c>
      <c r="AG298" s="255">
        <f>IF(N298=0,AD298,0)</f>
        <v>0</v>
      </c>
    </row>
    <row r="299" spans="2:33" ht="15" customHeight="1" x14ac:dyDescent="0.3">
      <c r="B299" s="196" t="s">
        <v>5</v>
      </c>
      <c r="C299" s="197" t="s">
        <v>15</v>
      </c>
      <c r="D299" s="246" t="str">
        <f>IF(E299&lt;&gt;"",IF(K299&lt;&gt;"","C","O"),"")</f>
        <v>C</v>
      </c>
      <c r="E299" s="199">
        <v>44778.177083333336</v>
      </c>
      <c r="F299" s="200" t="s">
        <v>92</v>
      </c>
      <c r="G299" s="235">
        <v>13330.05</v>
      </c>
      <c r="H299" s="235">
        <v>13292.09</v>
      </c>
      <c r="I299" s="247">
        <f>ABS(G299-H299)</f>
        <v>37.959999999999127</v>
      </c>
      <c r="J299" s="235">
        <v>14038.63</v>
      </c>
      <c r="K299" s="199">
        <v>44778.488194444442</v>
      </c>
      <c r="L299" s="235">
        <v>13292.09</v>
      </c>
      <c r="M299" s="248">
        <f>ROUND(IF(C299="L",(L299-G299),(G299-L299)),4)</f>
        <v>-37.96</v>
      </c>
      <c r="N299" s="249">
        <f>IFERROR(ROUND((M299/I299),2),"")</f>
        <v>-1</v>
      </c>
      <c r="O299" s="250">
        <f>IF(D299="O",IF(N299&lt;0,N299,0),0)</f>
        <v>0</v>
      </c>
      <c r="P299" s="251">
        <f>IF(N299&gt;= 0,N299,0)</f>
        <v>0</v>
      </c>
      <c r="Q299" s="251">
        <f>IF(N299&lt;0,N299,0)</f>
        <v>-1</v>
      </c>
      <c r="R2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38806</v>
      </c>
      <c r="T2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299" s="253">
        <f ca="1">IF(Tabla33610673[[#This Row],[Equity]]&lt;Tabla33610673[[#This Row],[Equity Peak]],(Tabla33610673[[#This Row],[Equity Peak]]-Tabla33610673[[#This Row],[Equity]])/Tabla33610673[[#This Row],[Equity Peak]],"")</f>
        <v>3.1327225980379923E-2</v>
      </c>
      <c r="V299" s="254">
        <f>IF(B299="FX",N299,0)</f>
        <v>0</v>
      </c>
      <c r="W299" s="254">
        <f>IF(D299="O",IF(V299&lt;0,V299,0),0)</f>
        <v>0</v>
      </c>
      <c r="X299" s="254">
        <f>IF(B299="COM",N299,0)</f>
        <v>0</v>
      </c>
      <c r="Y299" s="254">
        <f>IF(D299="O",IF(X299&lt;0,X299,0),0)</f>
        <v>0</v>
      </c>
      <c r="Z299" s="254">
        <f>IF(B299="IND",N299,0)</f>
        <v>-1</v>
      </c>
      <c r="AA299" s="250">
        <f>IF(D299="O",IF(Z299&lt;0,Z299,0),0)</f>
        <v>0</v>
      </c>
      <c r="AB299" s="254">
        <f>IF(B299="CRYPTO",N299,0)</f>
        <v>0</v>
      </c>
      <c r="AC299" s="250">
        <f>IF(D299="O",IF(AB299&lt;0,AB299,0),0)</f>
        <v>0</v>
      </c>
      <c r="AD299" s="255">
        <f>IF(K299&lt;&gt;"",K299-E299,0)</f>
        <v>0.31111111110658385</v>
      </c>
      <c r="AE299" s="255">
        <f>IF(N299&gt;0,AD299,0)</f>
        <v>0</v>
      </c>
      <c r="AF299" s="255">
        <f>IF(N299&lt;0,AD299,0)</f>
        <v>0.31111111110658385</v>
      </c>
      <c r="AG299" s="255">
        <f>IF(N299=0,AD299,0)</f>
        <v>0</v>
      </c>
    </row>
    <row r="300" spans="2:33" ht="15" customHeight="1" x14ac:dyDescent="0.3">
      <c r="B300" s="196" t="s">
        <v>5</v>
      </c>
      <c r="C300" s="197" t="s">
        <v>15</v>
      </c>
      <c r="D300" s="246" t="str">
        <f>IF(E300&lt;&gt;"",IF(K300&lt;&gt;"","C","O"),"")</f>
        <v>C</v>
      </c>
      <c r="E300" s="199">
        <v>44778.177083333336</v>
      </c>
      <c r="F300" s="200" t="s">
        <v>93</v>
      </c>
      <c r="G300" s="235">
        <v>13330.05</v>
      </c>
      <c r="H300" s="235">
        <v>13294.72</v>
      </c>
      <c r="I300" s="247">
        <f>ABS(G300-H300)</f>
        <v>35.329999999999927</v>
      </c>
      <c r="J300" s="235">
        <v>13706.92</v>
      </c>
      <c r="K300" s="199">
        <v>44778.487500000003</v>
      </c>
      <c r="L300" s="235">
        <v>13294.72</v>
      </c>
      <c r="M300" s="248">
        <f>ROUND(IF(C300="L",(L300-G300),(G300-L300)),4)</f>
        <v>-35.33</v>
      </c>
      <c r="N300" s="249">
        <f>IFERROR(ROUND((M300/I300),2),"")</f>
        <v>-1</v>
      </c>
      <c r="O300" s="250">
        <f>IF(D300="O",IF(N300&lt;0,N300,0),0)</f>
        <v>0</v>
      </c>
      <c r="P300" s="251">
        <f>IF(N300&gt;= 0,N300,0)</f>
        <v>0</v>
      </c>
      <c r="Q300" s="251">
        <f>IF(N300&lt;0,N300,0)</f>
        <v>-1</v>
      </c>
      <c r="R3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38906</v>
      </c>
      <c r="T3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0" s="253">
        <f ca="1">IF(Tabla33610673[[#This Row],[Equity]]&lt;Tabla33610673[[#This Row],[Equity Peak]],(Tabla33610673[[#This Row],[Equity Peak]]-Tabla33610673[[#This Row],[Equity]])/Tabla33610673[[#This Row],[Equity Peak]],"")</f>
        <v>2.8831032675170364E-2</v>
      </c>
      <c r="V300" s="254">
        <f>IF(B300="FX",N300,0)</f>
        <v>0</v>
      </c>
      <c r="W300" s="254">
        <f>IF(D300="O",IF(V300&lt;0,V300,0),0)</f>
        <v>0</v>
      </c>
      <c r="X300" s="254">
        <f>IF(B300="COM",N300,0)</f>
        <v>0</v>
      </c>
      <c r="Y300" s="254">
        <f>IF(D300="O",IF(X300&lt;0,X300,0),0)</f>
        <v>0</v>
      </c>
      <c r="Z300" s="254">
        <f>IF(B300="IND",N300,0)</f>
        <v>-1</v>
      </c>
      <c r="AA300" s="250">
        <f>IF(D300="O",IF(Z300&lt;0,Z300,0),0)</f>
        <v>0</v>
      </c>
      <c r="AB300" s="254">
        <f>IF(B300="CRYPTO",N300,0)</f>
        <v>0</v>
      </c>
      <c r="AC300" s="250">
        <f>IF(D300="O",IF(AB300&lt;0,AB300,0),0)</f>
        <v>0</v>
      </c>
      <c r="AD300" s="255">
        <f>IF(K300&lt;&gt;"",K300-E300,0)</f>
        <v>0.31041666666715173</v>
      </c>
      <c r="AE300" s="255">
        <f>IF(N300&gt;0,AD300,0)</f>
        <v>0</v>
      </c>
      <c r="AF300" s="255">
        <f>IF(N300&lt;0,AD300,0)</f>
        <v>0.31041666666715173</v>
      </c>
      <c r="AG300" s="255">
        <f>IF(N300=0,AD300,0)</f>
        <v>0</v>
      </c>
    </row>
    <row r="301" spans="2:33" ht="15" customHeight="1" x14ac:dyDescent="0.3">
      <c r="B301" s="196" t="s">
        <v>19</v>
      </c>
      <c r="C301" s="197" t="s">
        <v>15</v>
      </c>
      <c r="D301" s="246" t="str">
        <f>IF(E301&lt;&gt;"",IF(K301&lt;&gt;"","C","O"),"")</f>
        <v>C</v>
      </c>
      <c r="E301" s="199">
        <v>44777.875</v>
      </c>
      <c r="F301" s="200" t="s">
        <v>88</v>
      </c>
      <c r="G301" s="235">
        <v>1791.9</v>
      </c>
      <c r="H301" s="235">
        <v>1788.63</v>
      </c>
      <c r="I301" s="247">
        <f>ABS(G301-H301)</f>
        <v>3.2699999999999818</v>
      </c>
      <c r="J301" s="235">
        <v>1831.12</v>
      </c>
      <c r="K301" s="199">
        <v>44778.390277777777</v>
      </c>
      <c r="L301" s="235">
        <v>1788.63</v>
      </c>
      <c r="M301" s="248">
        <f>ROUND(IF(C301="L",(L301-G301),(G301-L301)),4)</f>
        <v>-3.27</v>
      </c>
      <c r="N301" s="249">
        <f>IFERROR(ROUND((M301/I301),2),"")</f>
        <v>-1</v>
      </c>
      <c r="O301" s="250">
        <f>IF(D301="O",IF(N301&lt;0,N301,0),0)</f>
        <v>0</v>
      </c>
      <c r="P301" s="251">
        <f>IF(N301&gt;= 0,N301,0)</f>
        <v>0</v>
      </c>
      <c r="Q301" s="251">
        <f>IF(N301&lt;0,N301,0)</f>
        <v>-1</v>
      </c>
      <c r="R3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39006</v>
      </c>
      <c r="T3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1" s="253">
        <f ca="1">IF(Tabla33610673[[#This Row],[Equity]]&lt;Tabla33610673[[#This Row],[Equity Peak]],(Tabla33610673[[#This Row],[Equity Peak]]-Tabla33610673[[#This Row],[Equity]])/Tabla33610673[[#This Row],[Equity Peak]],"")</f>
        <v>2.6334839369960811E-2</v>
      </c>
      <c r="V301" s="254">
        <f>IF(B301="FX",N301,0)</f>
        <v>0</v>
      </c>
      <c r="W301" s="254">
        <f>IF(D301="O",IF(V301&lt;0,V301,0),0)</f>
        <v>0</v>
      </c>
      <c r="X301" s="254">
        <f>IF(B301="COM",N301,0)</f>
        <v>-1</v>
      </c>
      <c r="Y301" s="254">
        <f>IF(D301="O",IF(X301&lt;0,X301,0),0)</f>
        <v>0</v>
      </c>
      <c r="Z301" s="254">
        <f>IF(B301="IND",N301,0)</f>
        <v>0</v>
      </c>
      <c r="AA301" s="250">
        <f>IF(D301="O",IF(Z301&lt;0,Z301,0),0)</f>
        <v>0</v>
      </c>
      <c r="AB301" s="254">
        <f>IF(B301="CRYPTO",N301,0)</f>
        <v>0</v>
      </c>
      <c r="AC301" s="250">
        <f>IF(D301="O",IF(AB301&lt;0,AB301,0),0)</f>
        <v>0</v>
      </c>
      <c r="AD301" s="255">
        <f>IF(K301&lt;&gt;"",K301-E301,0)</f>
        <v>0.51527777777664596</v>
      </c>
      <c r="AE301" s="255">
        <f>IF(N301&gt;0,AD301,0)</f>
        <v>0</v>
      </c>
      <c r="AF301" s="255">
        <f>IF(N301&lt;0,AD301,0)</f>
        <v>0.51527777777664596</v>
      </c>
      <c r="AG301" s="255">
        <f>IF(N301=0,AD301,0)</f>
        <v>0</v>
      </c>
    </row>
    <row r="302" spans="2:33" ht="15" customHeight="1" x14ac:dyDescent="0.3">
      <c r="B302" s="196" t="s">
        <v>5</v>
      </c>
      <c r="C302" s="197" t="s">
        <v>15</v>
      </c>
      <c r="D302" s="246" t="str">
        <f>IF(E302&lt;&gt;"",IF(K302&lt;&gt;"","C","O"),"")</f>
        <v>C</v>
      </c>
      <c r="E302" s="199">
        <v>44776.760416666664</v>
      </c>
      <c r="F302" s="200" t="s">
        <v>92</v>
      </c>
      <c r="G302" s="235">
        <v>13149.04</v>
      </c>
      <c r="H302" s="235">
        <v>13112.72</v>
      </c>
      <c r="I302" s="247">
        <f>ABS(G302-H302)</f>
        <v>36.320000000001528</v>
      </c>
      <c r="J302" s="235">
        <v>13827.08</v>
      </c>
      <c r="K302" s="199">
        <v>44777.720138888886</v>
      </c>
      <c r="L302" s="235">
        <v>13206.75</v>
      </c>
      <c r="M302" s="248">
        <f>ROUND(IF(C302="L",(L302-G302),(G302-L302)),4)</f>
        <v>57.71</v>
      </c>
      <c r="N302" s="249">
        <f>IFERROR(ROUND((M302/I302),2),"")</f>
        <v>1.59</v>
      </c>
      <c r="O302" s="250">
        <f>IF(D302="O",IF(N302&lt;0,N302,0),0)</f>
        <v>0</v>
      </c>
      <c r="P302" s="251">
        <f>IF(N302&gt;= 0,N302,0)</f>
        <v>1.59</v>
      </c>
      <c r="Q302" s="251">
        <f>IF(N302&lt;0,N302,0)</f>
        <v>0</v>
      </c>
      <c r="R3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39106</v>
      </c>
      <c r="T3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2" s="253">
        <f ca="1">IF(Tabla33610673[[#This Row],[Equity]]&lt;Tabla33610673[[#This Row],[Equity Peak]],(Tabla33610673[[#This Row],[Equity Peak]]-Tabla33610673[[#This Row],[Equity]])/Tabla33610673[[#This Row],[Equity Peak]],"")</f>
        <v>2.3838646064751254E-2</v>
      </c>
      <c r="V302" s="254">
        <f>IF(B302="FX",N302,0)</f>
        <v>0</v>
      </c>
      <c r="W302" s="254">
        <f>IF(D302="O",IF(V302&lt;0,V302,0),0)</f>
        <v>0</v>
      </c>
      <c r="X302" s="254">
        <f>IF(B302="COM",N302,0)</f>
        <v>0</v>
      </c>
      <c r="Y302" s="254">
        <f>IF(D302="O",IF(X302&lt;0,X302,0),0)</f>
        <v>0</v>
      </c>
      <c r="Z302" s="254">
        <f>IF(B302="IND",N302,0)</f>
        <v>1.59</v>
      </c>
      <c r="AA302" s="250">
        <f>IF(D302="O",IF(Z302&lt;0,Z302,0),0)</f>
        <v>0</v>
      </c>
      <c r="AB302" s="254">
        <f>IF(B302="CRYPTO",N302,0)</f>
        <v>0</v>
      </c>
      <c r="AC302" s="250">
        <f>IF(D302="O",IF(AB302&lt;0,AB302,0),0)</f>
        <v>0</v>
      </c>
      <c r="AD302" s="255">
        <f>IF(K302&lt;&gt;"",K302-E302,0)</f>
        <v>0.95972222222189885</v>
      </c>
      <c r="AE302" s="255">
        <f>IF(N302&gt;0,AD302,0)</f>
        <v>0.95972222222189885</v>
      </c>
      <c r="AF302" s="255">
        <f>IF(N302&lt;0,AD302,0)</f>
        <v>0</v>
      </c>
      <c r="AG302" s="255">
        <f>IF(N302=0,AD302,0)</f>
        <v>0</v>
      </c>
    </row>
    <row r="303" spans="2:33" ht="15" customHeight="1" x14ac:dyDescent="0.3">
      <c r="B303" s="196" t="s">
        <v>5</v>
      </c>
      <c r="C303" s="197" t="s">
        <v>15</v>
      </c>
      <c r="D303" s="246" t="str">
        <f>IF(E303&lt;&gt;"",IF(K303&lt;&gt;"","C","O"),"")</f>
        <v>C</v>
      </c>
      <c r="E303" s="199">
        <v>44776.760416666664</v>
      </c>
      <c r="F303" s="200" t="s">
        <v>91</v>
      </c>
      <c r="G303" s="235">
        <v>13594.59</v>
      </c>
      <c r="H303" s="235">
        <v>13560.64</v>
      </c>
      <c r="I303" s="247">
        <f>ABS(G303-H303)</f>
        <v>33.950000000000728</v>
      </c>
      <c r="J303" s="235">
        <v>14228.3</v>
      </c>
      <c r="K303" s="199">
        <v>44777.719444444447</v>
      </c>
      <c r="L303" s="235">
        <v>13669.79</v>
      </c>
      <c r="M303" s="248">
        <f>ROUND(IF(C303="L",(L303-G303),(G303-L303)),4)</f>
        <v>75.2</v>
      </c>
      <c r="N303" s="249">
        <f>IFERROR(ROUND((M303/I303),2),"")</f>
        <v>2.2200000000000002</v>
      </c>
      <c r="O303" s="250">
        <f>IF(D303="O",IF(N303&lt;0,N303,0),0)</f>
        <v>0</v>
      </c>
      <c r="P303" s="251">
        <f>IF(N303&gt;= 0,N303,0)</f>
        <v>2.2200000000000002</v>
      </c>
      <c r="Q303" s="251">
        <f>IF(N303&lt;0,N303,0)</f>
        <v>0</v>
      </c>
      <c r="R3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38947</v>
      </c>
      <c r="T3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3" s="253">
        <f ca="1">IF(Tabla33610673[[#This Row],[Equity]]&lt;Tabla33610673[[#This Row],[Equity Peak]],(Tabla33610673[[#This Row],[Equity Peak]]-Tabla33610673[[#This Row],[Equity]])/Tabla33610673[[#This Row],[Equity Peak]],"")</f>
        <v>2.7807593420034447E-2</v>
      </c>
      <c r="V303" s="254">
        <f>IF(B303="FX",N303,0)</f>
        <v>0</v>
      </c>
      <c r="W303" s="254">
        <f>IF(D303="O",IF(V303&lt;0,V303,0),0)</f>
        <v>0</v>
      </c>
      <c r="X303" s="254">
        <f>IF(B303="COM",N303,0)</f>
        <v>0</v>
      </c>
      <c r="Y303" s="254">
        <f>IF(D303="O",IF(X303&lt;0,X303,0),0)</f>
        <v>0</v>
      </c>
      <c r="Z303" s="254">
        <f>IF(B303="IND",N303,0)</f>
        <v>2.2200000000000002</v>
      </c>
      <c r="AA303" s="250">
        <f>IF(D303="O",IF(Z303&lt;0,Z303,0),0)</f>
        <v>0</v>
      </c>
      <c r="AB303" s="254">
        <f>IF(B303="CRYPTO",N303,0)</f>
        <v>0</v>
      </c>
      <c r="AC303" s="250">
        <f>IF(D303="O",IF(AB303&lt;0,AB303,0),0)</f>
        <v>0</v>
      </c>
      <c r="AD303" s="255">
        <f>IF(K303&lt;&gt;"",K303-E303,0)</f>
        <v>0.95902777778246673</v>
      </c>
      <c r="AE303" s="255">
        <f>IF(N303&gt;0,AD303,0)</f>
        <v>0.95902777778246673</v>
      </c>
      <c r="AF303" s="255">
        <f>IF(N303&lt;0,AD303,0)</f>
        <v>0</v>
      </c>
      <c r="AG303" s="255">
        <f>IF(N303=0,AD303,0)</f>
        <v>0</v>
      </c>
    </row>
    <row r="304" spans="2:33" ht="15" customHeight="1" x14ac:dyDescent="0.3">
      <c r="B304" s="196" t="s">
        <v>5</v>
      </c>
      <c r="C304" s="197" t="s">
        <v>15</v>
      </c>
      <c r="D304" s="246" t="str">
        <f>IF(E304&lt;&gt;"",IF(K304&lt;&gt;"","C","O"),"")</f>
        <v>C</v>
      </c>
      <c r="E304" s="199">
        <v>44776.760416666664</v>
      </c>
      <c r="F304" s="200" t="s">
        <v>93</v>
      </c>
      <c r="G304" s="235">
        <v>13149.04</v>
      </c>
      <c r="H304" s="235">
        <v>13108.81</v>
      </c>
      <c r="I304" s="247">
        <f>ABS(G304-H304)</f>
        <v>40.230000000001382</v>
      </c>
      <c r="J304" s="235">
        <v>13578.13</v>
      </c>
      <c r="K304" s="199">
        <v>44777.6875</v>
      </c>
      <c r="L304" s="235">
        <v>13235.94</v>
      </c>
      <c r="M304" s="248">
        <f>ROUND(IF(C304="L",(L304-G304),(G304-L304)),4)</f>
        <v>86.9</v>
      </c>
      <c r="N304" s="249">
        <f>IFERROR(ROUND((M304/I304),2),"")</f>
        <v>2.16</v>
      </c>
      <c r="O304" s="250">
        <f>IF(D304="O",IF(N304&lt;0,N304,0),0)</f>
        <v>0</v>
      </c>
      <c r="P304" s="251">
        <f>IF(N304&gt;= 0,N304,0)</f>
        <v>2.16</v>
      </c>
      <c r="Q304" s="251">
        <f>IF(N304&lt;0,N304,0)</f>
        <v>0</v>
      </c>
      <c r="R3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38725</v>
      </c>
      <c r="T3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4" s="253">
        <f ca="1">IF(Tabla33610673[[#This Row],[Equity]]&lt;Tabla33610673[[#This Row],[Equity Peak]],(Tabla33610673[[#This Row],[Equity Peak]]-Tabla33610673[[#This Row],[Equity]])/Tabla33610673[[#This Row],[Equity Peak]],"")</f>
        <v>3.3349142557599659E-2</v>
      </c>
      <c r="V304" s="254">
        <f>IF(B304="FX",N304,0)</f>
        <v>0</v>
      </c>
      <c r="W304" s="254">
        <f>IF(D304="O",IF(V304&lt;0,V304,0),0)</f>
        <v>0</v>
      </c>
      <c r="X304" s="254">
        <f>IF(B304="COM",N304,0)</f>
        <v>0</v>
      </c>
      <c r="Y304" s="254">
        <f>IF(D304="O",IF(X304&lt;0,X304,0),0)</f>
        <v>0</v>
      </c>
      <c r="Z304" s="254">
        <f>IF(B304="IND",N304,0)</f>
        <v>2.16</v>
      </c>
      <c r="AA304" s="250">
        <f>IF(D304="O",IF(Z304&lt;0,Z304,0),0)</f>
        <v>0</v>
      </c>
      <c r="AB304" s="254">
        <f>IF(B304="CRYPTO",N304,0)</f>
        <v>0</v>
      </c>
      <c r="AC304" s="250">
        <f>IF(D304="O",IF(AB304&lt;0,AB304,0),0)</f>
        <v>0</v>
      </c>
      <c r="AD304" s="255">
        <f>IF(K304&lt;&gt;"",K304-E304,0)</f>
        <v>0.92708333333575865</v>
      </c>
      <c r="AE304" s="255">
        <f>IF(N304&gt;0,AD304,0)</f>
        <v>0.92708333333575865</v>
      </c>
      <c r="AF304" s="255">
        <f>IF(N304&lt;0,AD304,0)</f>
        <v>0</v>
      </c>
      <c r="AG304" s="255">
        <f>IF(N304=0,AD304,0)</f>
        <v>0</v>
      </c>
    </row>
    <row r="305" spans="2:33" ht="15" customHeight="1" x14ac:dyDescent="0.3">
      <c r="B305" s="196" t="s">
        <v>7</v>
      </c>
      <c r="C305" s="197" t="s">
        <v>15</v>
      </c>
      <c r="D305" s="246" t="str">
        <f>IF(E305&lt;&gt;"",IF(K305&lt;&gt;"","C","O"),"")</f>
        <v>C</v>
      </c>
      <c r="E305" s="199">
        <v>44776.625</v>
      </c>
      <c r="F305" s="200" t="s">
        <v>115</v>
      </c>
      <c r="G305" s="235">
        <v>162.703</v>
      </c>
      <c r="H305" s="235">
        <v>161.928</v>
      </c>
      <c r="I305" s="247">
        <f>ABS(G305-H305)</f>
        <v>0.77500000000000568</v>
      </c>
      <c r="J305" s="235">
        <v>164.91900000000001</v>
      </c>
      <c r="K305" s="199">
        <v>44777.586805555555</v>
      </c>
      <c r="L305" s="235">
        <v>162.697</v>
      </c>
      <c r="M305" s="248">
        <f>ROUND(IF(C305="L",(L305-G305),(G305-L305)),4)</f>
        <v>-6.0000000000000001E-3</v>
      </c>
      <c r="N305" s="249">
        <f>IFERROR(ROUND((M305/I305),2),"")</f>
        <v>-0.01</v>
      </c>
      <c r="O305" s="250">
        <f>IF(D305="O",IF(N305&lt;0,N305,0),0)</f>
        <v>0</v>
      </c>
      <c r="P305" s="251">
        <f>IF(N305&gt;= 0,N305,0)</f>
        <v>0</v>
      </c>
      <c r="Q305" s="251">
        <f>IF(N305&lt;0,N305,0)</f>
        <v>-0.01</v>
      </c>
      <c r="R3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38509</v>
      </c>
      <c r="T3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5" s="253">
        <f ca="1">IF(Tabla33610673[[#This Row],[Equity]]&lt;Tabla33610673[[#This Row],[Equity Peak]],(Tabla33610673[[#This Row],[Equity Peak]]-Tabla33610673[[#This Row],[Equity]])/Tabla33610673[[#This Row],[Equity Peak]],"")</f>
        <v>3.8740920096852302E-2</v>
      </c>
      <c r="V305" s="254">
        <f>IF(B305="FX",N305,0)</f>
        <v>-0.01</v>
      </c>
      <c r="W305" s="254">
        <f>IF(D305="O",IF(V305&lt;0,V305,0),0)</f>
        <v>0</v>
      </c>
      <c r="X305" s="254">
        <f>IF(B305="COM",N305,0)</f>
        <v>0</v>
      </c>
      <c r="Y305" s="254">
        <f>IF(D305="O",IF(X305&lt;0,X305,0),0)</f>
        <v>0</v>
      </c>
      <c r="Z305" s="254">
        <f>IF(B305="IND",N305,0)</f>
        <v>0</v>
      </c>
      <c r="AA305" s="250">
        <f>IF(D305="O",IF(Z305&lt;0,Z305,0),0)</f>
        <v>0</v>
      </c>
      <c r="AB305" s="254">
        <f>IF(B305="CRYPTO",N305,0)</f>
        <v>0</v>
      </c>
      <c r="AC305" s="250">
        <f>IF(D305="O",IF(AB305&lt;0,AB305,0),0)</f>
        <v>0</v>
      </c>
      <c r="AD305" s="255">
        <f>IF(K305&lt;&gt;"",K305-E305,0)</f>
        <v>0.96180555555474712</v>
      </c>
      <c r="AE305" s="255">
        <f>IF(N305&gt;0,AD305,0)</f>
        <v>0</v>
      </c>
      <c r="AF305" s="255">
        <f>IF(N305&lt;0,AD305,0)</f>
        <v>0.96180555555474712</v>
      </c>
      <c r="AG305" s="255">
        <f>IF(N305=0,AD305,0)</f>
        <v>0</v>
      </c>
    </row>
    <row r="306" spans="2:33" ht="15" customHeight="1" x14ac:dyDescent="0.3">
      <c r="B306" s="196" t="s">
        <v>5</v>
      </c>
      <c r="C306" s="197" t="s">
        <v>15</v>
      </c>
      <c r="D306" s="246" t="str">
        <f>IF(E306&lt;&gt;"",IF(K306&lt;&gt;"","C","O"),"")</f>
        <v>C</v>
      </c>
      <c r="E306" s="199">
        <v>44776.708333333336</v>
      </c>
      <c r="F306" s="200" t="s">
        <v>92</v>
      </c>
      <c r="G306" s="235">
        <v>13090.17</v>
      </c>
      <c r="H306" s="235">
        <v>13054.37</v>
      </c>
      <c r="I306" s="247">
        <f>ABS(G306-H306)</f>
        <v>35.799999999999272</v>
      </c>
      <c r="J306" s="235">
        <v>13758.5</v>
      </c>
      <c r="K306" s="199">
        <v>44776.732638888891</v>
      </c>
      <c r="L306" s="235">
        <v>13054.37</v>
      </c>
      <c r="M306" s="248">
        <f>ROUND(IF(C306="L",(L306-G306),(G306-L306)),4)</f>
        <v>-35.799999999999997</v>
      </c>
      <c r="N306" s="249">
        <f>IFERROR(ROUND((M306/I306),2),"")</f>
        <v>-1</v>
      </c>
      <c r="O306" s="250">
        <f>IF(D306="O",IF(N306&lt;0,N306,0),0)</f>
        <v>0</v>
      </c>
      <c r="P306" s="251">
        <f>IF(N306&gt;= 0,N306,0)</f>
        <v>0</v>
      </c>
      <c r="Q306" s="251">
        <f>IF(N306&lt;0,N306,0)</f>
        <v>-1</v>
      </c>
      <c r="R3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38510</v>
      </c>
      <c r="T3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6" s="253">
        <f ca="1">IF(Tabla33610673[[#This Row],[Equity]]&lt;Tabla33610673[[#This Row],[Equity Peak]],(Tabla33610673[[#This Row],[Equity Peak]]-Tabla33610673[[#This Row],[Equity]])/Tabla33610673[[#This Row],[Equity Peak]],"")</f>
        <v>3.8715958163800204E-2</v>
      </c>
      <c r="V306" s="254">
        <f>IF(B306="FX",N306,0)</f>
        <v>0</v>
      </c>
      <c r="W306" s="254">
        <f>IF(D306="O",IF(V306&lt;0,V306,0),0)</f>
        <v>0</v>
      </c>
      <c r="X306" s="254">
        <f>IF(B306="COM",N306,0)</f>
        <v>0</v>
      </c>
      <c r="Y306" s="254">
        <f>IF(D306="O",IF(X306&lt;0,X306,0),0)</f>
        <v>0</v>
      </c>
      <c r="Z306" s="254">
        <f>IF(B306="IND",N306,0)</f>
        <v>-1</v>
      </c>
      <c r="AA306" s="250">
        <f>IF(D306="O",IF(Z306&lt;0,Z306,0),0)</f>
        <v>0</v>
      </c>
      <c r="AB306" s="254">
        <f>IF(B306="CRYPTO",N306,0)</f>
        <v>0</v>
      </c>
      <c r="AC306" s="250">
        <f>IF(D306="O",IF(AB306&lt;0,AB306,0),0)</f>
        <v>0</v>
      </c>
      <c r="AD306" s="255">
        <f>IF(K306&lt;&gt;"",K306-E306,0)</f>
        <v>2.4305555554747116E-2</v>
      </c>
      <c r="AE306" s="255">
        <f>IF(N306&gt;0,AD306,0)</f>
        <v>0</v>
      </c>
      <c r="AF306" s="255">
        <f>IF(N306&lt;0,AD306,0)</f>
        <v>2.4305555554747116E-2</v>
      </c>
      <c r="AG306" s="255">
        <f>IF(N306=0,AD306,0)</f>
        <v>0</v>
      </c>
    </row>
    <row r="307" spans="2:33" ht="15" customHeight="1" x14ac:dyDescent="0.3">
      <c r="B307" s="196" t="s">
        <v>5</v>
      </c>
      <c r="C307" s="197" t="s">
        <v>15</v>
      </c>
      <c r="D307" s="246" t="str">
        <f>IF(E307&lt;&gt;"",IF(K307&lt;&gt;"","C","O"),"")</f>
        <v>C</v>
      </c>
      <c r="E307" s="199">
        <v>44776.708333333336</v>
      </c>
      <c r="F307" s="200" t="s">
        <v>93</v>
      </c>
      <c r="G307" s="235">
        <v>13090.17</v>
      </c>
      <c r="H307" s="235">
        <v>13050.1</v>
      </c>
      <c r="I307" s="247">
        <f>ABS(G307-H307)</f>
        <v>40.069999999999709</v>
      </c>
      <c r="J307" s="235">
        <v>13517.55</v>
      </c>
      <c r="K307" s="199">
        <v>44776.732638888891</v>
      </c>
      <c r="L307" s="235">
        <v>13050.1</v>
      </c>
      <c r="M307" s="248">
        <f>ROUND(IF(C307="L",(L307-G307),(G307-L307)),4)</f>
        <v>-40.07</v>
      </c>
      <c r="N307" s="249">
        <f>IFERROR(ROUND((M307/I307),2),"")</f>
        <v>-1</v>
      </c>
      <c r="O307" s="250">
        <f>IF(D307="O",IF(N307&lt;0,N307,0),0)</f>
        <v>0</v>
      </c>
      <c r="P307" s="251">
        <f>IF(N307&gt;= 0,N307,0)</f>
        <v>0</v>
      </c>
      <c r="Q307" s="251">
        <f>IF(N307&lt;0,N307,0)</f>
        <v>-1</v>
      </c>
      <c r="R3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38610</v>
      </c>
      <c r="T3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7" s="253">
        <f ca="1">IF(Tabla33610673[[#This Row],[Equity]]&lt;Tabla33610673[[#This Row],[Equity Peak]],(Tabla33610673[[#This Row],[Equity Peak]]-Tabla33610673[[#This Row],[Equity]])/Tabla33610673[[#This Row],[Equity Peak]],"")</f>
        <v>3.6219764858590651E-2</v>
      </c>
      <c r="V307" s="254">
        <f>IF(B307="FX",N307,0)</f>
        <v>0</v>
      </c>
      <c r="W307" s="254">
        <f>IF(D307="O",IF(V307&lt;0,V307,0),0)</f>
        <v>0</v>
      </c>
      <c r="X307" s="254">
        <f>IF(B307="COM",N307,0)</f>
        <v>0</v>
      </c>
      <c r="Y307" s="254">
        <f>IF(D307="O",IF(X307&lt;0,X307,0),0)</f>
        <v>0</v>
      </c>
      <c r="Z307" s="254">
        <f>IF(B307="IND",N307,0)</f>
        <v>-1</v>
      </c>
      <c r="AA307" s="250">
        <f>IF(D307="O",IF(Z307&lt;0,Z307,0),0)</f>
        <v>0</v>
      </c>
      <c r="AB307" s="254">
        <f>IF(B307="CRYPTO",N307,0)</f>
        <v>0</v>
      </c>
      <c r="AC307" s="250">
        <f>IF(D307="O",IF(AB307&lt;0,AB307,0),0)</f>
        <v>0</v>
      </c>
      <c r="AD307" s="255">
        <f>IF(K307&lt;&gt;"",K307-E307,0)</f>
        <v>2.4305555554747116E-2</v>
      </c>
      <c r="AE307" s="255">
        <f>IF(N307&gt;0,AD307,0)</f>
        <v>0</v>
      </c>
      <c r="AF307" s="255">
        <f>IF(N307&lt;0,AD307,0)</f>
        <v>2.4305555554747116E-2</v>
      </c>
      <c r="AG307" s="255">
        <f>IF(N307=0,AD307,0)</f>
        <v>0</v>
      </c>
    </row>
    <row r="308" spans="2:33" ht="15" customHeight="1" x14ac:dyDescent="0.3">
      <c r="B308" s="196" t="s">
        <v>7</v>
      </c>
      <c r="C308" s="197" t="s">
        <v>15</v>
      </c>
      <c r="D308" s="246" t="str">
        <f>IF(E308&lt;&gt;"",IF(K308&lt;&gt;"","C","O"),"")</f>
        <v>C</v>
      </c>
      <c r="E308" s="199">
        <v>44776.104166666664</v>
      </c>
      <c r="F308" s="200" t="s">
        <v>115</v>
      </c>
      <c r="G308" s="235">
        <v>162.29900000000001</v>
      </c>
      <c r="H308" s="235">
        <v>161.59100000000001</v>
      </c>
      <c r="I308" s="247">
        <f>ABS(G308-H308)</f>
        <v>0.70799999999999841</v>
      </c>
      <c r="J308" s="235">
        <v>164.321</v>
      </c>
      <c r="K308" s="199">
        <v>44776.288194444445</v>
      </c>
      <c r="L308" s="235">
        <v>161.74299999999999</v>
      </c>
      <c r="M308" s="248">
        <f>ROUND(IF(C308="L",(L308-G308),(G308-L308)),4)</f>
        <v>-0.55600000000000005</v>
      </c>
      <c r="N308" s="249">
        <f>IFERROR(ROUND((M308/I308),2),"")</f>
        <v>-0.79</v>
      </c>
      <c r="O308" s="250">
        <f>IF(D308="O",IF(N308&lt;0,N308,0),0)</f>
        <v>0</v>
      </c>
      <c r="P308" s="251">
        <f>IF(N308&gt;= 0,N308,0)</f>
        <v>0</v>
      </c>
      <c r="Q308" s="251">
        <f>IF(N308&lt;0,N308,0)</f>
        <v>-0.79</v>
      </c>
      <c r="R3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38710</v>
      </c>
      <c r="T3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8" s="253">
        <f ca="1">IF(Tabla33610673[[#This Row],[Equity]]&lt;Tabla33610673[[#This Row],[Equity Peak]],(Tabla33610673[[#This Row],[Equity Peak]]-Tabla33610673[[#This Row],[Equity]])/Tabla33610673[[#This Row],[Equity Peak]],"")</f>
        <v>3.3723571553381092E-2</v>
      </c>
      <c r="V308" s="254">
        <f>IF(B308="FX",N308,0)</f>
        <v>-0.79</v>
      </c>
      <c r="W308" s="254">
        <f>IF(D308="O",IF(V308&lt;0,V308,0),0)</f>
        <v>0</v>
      </c>
      <c r="X308" s="254">
        <f>IF(B308="COM",N308,0)</f>
        <v>0</v>
      </c>
      <c r="Y308" s="254">
        <f>IF(D308="O",IF(X308&lt;0,X308,0),0)</f>
        <v>0</v>
      </c>
      <c r="Z308" s="254">
        <f>IF(B308="IND",N308,0)</f>
        <v>0</v>
      </c>
      <c r="AA308" s="250">
        <f>IF(D308="O",IF(Z308&lt;0,Z308,0),0)</f>
        <v>0</v>
      </c>
      <c r="AB308" s="254">
        <f>IF(B308="CRYPTO",N308,0)</f>
        <v>0</v>
      </c>
      <c r="AC308" s="250">
        <f>IF(D308="O",IF(AB308&lt;0,AB308,0),0)</f>
        <v>0</v>
      </c>
      <c r="AD308" s="255">
        <f>IF(K308&lt;&gt;"",K308-E308,0)</f>
        <v>0.18402777778101154</v>
      </c>
      <c r="AE308" s="255">
        <f>IF(N308&gt;0,AD308,0)</f>
        <v>0</v>
      </c>
      <c r="AF308" s="255">
        <f>IF(N308&lt;0,AD308,0)</f>
        <v>0.18402777778101154</v>
      </c>
      <c r="AG308" s="255">
        <f>IF(N308=0,AD308,0)</f>
        <v>0</v>
      </c>
    </row>
    <row r="309" spans="2:33" ht="15" customHeight="1" x14ac:dyDescent="0.3">
      <c r="B309" s="196" t="s">
        <v>7</v>
      </c>
      <c r="C309" s="197" t="s">
        <v>13</v>
      </c>
      <c r="D309" s="246" t="str">
        <f>IF(E309&lt;&gt;"",IF(K309&lt;&gt;"","C","O"),"")</f>
        <v>C</v>
      </c>
      <c r="E309" s="199">
        <v>44775.135416666664</v>
      </c>
      <c r="F309" s="200" t="s">
        <v>115</v>
      </c>
      <c r="G309" s="235">
        <v>160.82499999999999</v>
      </c>
      <c r="H309" s="235">
        <v>161.50200000000001</v>
      </c>
      <c r="I309" s="247">
        <f>ABS(G309-H309)</f>
        <v>0.67700000000002092</v>
      </c>
      <c r="J309" s="235">
        <v>158.89099999999999</v>
      </c>
      <c r="K309" s="199">
        <v>44775.73541666667</v>
      </c>
      <c r="L309" s="235">
        <v>160.60900000000001</v>
      </c>
      <c r="M309" s="248">
        <f>ROUND(IF(C309="L",(L309-G309),(G309-L309)),4)</f>
        <v>0.216</v>
      </c>
      <c r="N309" s="249">
        <f>IFERROR(ROUND((M309/I309),2),"")</f>
        <v>0.32</v>
      </c>
      <c r="O309" s="250">
        <f>IF(D309="O",IF(N309&lt;0,N309,0),0)</f>
        <v>0</v>
      </c>
      <c r="P309" s="251">
        <f>IF(N309&gt;= 0,N309,0)</f>
        <v>0.32</v>
      </c>
      <c r="Q309" s="251">
        <f>IF(N309&lt;0,N309,0)</f>
        <v>0</v>
      </c>
      <c r="R3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38789</v>
      </c>
      <c r="T3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09" s="253">
        <f ca="1">IF(Tabla33610673[[#This Row],[Equity]]&lt;Tabla33610673[[#This Row],[Equity Peak]],(Tabla33610673[[#This Row],[Equity Peak]]-Tabla33610673[[#This Row],[Equity]])/Tabla33610673[[#This Row],[Equity Peak]],"")</f>
        <v>3.1751578842265545E-2</v>
      </c>
      <c r="V309" s="254">
        <f>IF(B309="FX",N309,0)</f>
        <v>0.32</v>
      </c>
      <c r="W309" s="254">
        <f>IF(D309="O",IF(V309&lt;0,V309,0),0)</f>
        <v>0</v>
      </c>
      <c r="X309" s="254">
        <f>IF(B309="COM",N309,0)</f>
        <v>0</v>
      </c>
      <c r="Y309" s="254">
        <f>IF(D309="O",IF(X309&lt;0,X309,0),0)</f>
        <v>0</v>
      </c>
      <c r="Z309" s="254">
        <f>IF(B309="IND",N309,0)</f>
        <v>0</v>
      </c>
      <c r="AA309" s="250">
        <f>IF(D309="O",IF(Z309&lt;0,Z309,0),0)</f>
        <v>0</v>
      </c>
      <c r="AB309" s="254">
        <f>IF(B309="CRYPTO",N309,0)</f>
        <v>0</v>
      </c>
      <c r="AC309" s="250">
        <f>IF(D309="O",IF(AB309&lt;0,AB309,0),0)</f>
        <v>0</v>
      </c>
      <c r="AD309" s="255">
        <f>IF(K309&lt;&gt;"",K309-E309,0)</f>
        <v>0.60000000000582077</v>
      </c>
      <c r="AE309" s="255">
        <f>IF(N309&gt;0,AD309,0)</f>
        <v>0.60000000000582077</v>
      </c>
      <c r="AF309" s="255">
        <f>IF(N309&lt;0,AD309,0)</f>
        <v>0</v>
      </c>
      <c r="AG309" s="255">
        <f>IF(N309=0,AD309,0)</f>
        <v>0</v>
      </c>
    </row>
    <row r="310" spans="2:33" ht="15" customHeight="1" x14ac:dyDescent="0.3">
      <c r="B310" s="196" t="s">
        <v>19</v>
      </c>
      <c r="C310" s="197" t="s">
        <v>15</v>
      </c>
      <c r="D310" s="246" t="str">
        <f>IF(E310&lt;&gt;"",IF(K310&lt;&gt;"","C","O"),"")</f>
        <v>C</v>
      </c>
      <c r="E310" s="199">
        <v>44775.645833333336</v>
      </c>
      <c r="F310" s="200" t="s">
        <v>88</v>
      </c>
      <c r="G310" s="235">
        <v>1785.34</v>
      </c>
      <c r="H310" s="235">
        <v>1782.54</v>
      </c>
      <c r="I310" s="247">
        <f>ABS(G310-H310)</f>
        <v>2.7999999999999545</v>
      </c>
      <c r="J310" s="235">
        <v>1818.94</v>
      </c>
      <c r="K310" s="199">
        <v>44775.668749999997</v>
      </c>
      <c r="L310" s="235">
        <v>1782.54</v>
      </c>
      <c r="M310" s="248">
        <f>ROUND(IF(C310="L",(L310-G310),(G310-L310)),4)</f>
        <v>-2.8</v>
      </c>
      <c r="N310" s="249">
        <f>IFERROR(ROUND((M310/I310),2),"")</f>
        <v>-1</v>
      </c>
      <c r="O310" s="250">
        <f>IF(D310="O",IF(N310&lt;0,N310,0),0)</f>
        <v>0</v>
      </c>
      <c r="P310" s="251">
        <f>IF(N310&gt;= 0,N310,0)</f>
        <v>0</v>
      </c>
      <c r="Q310" s="251">
        <f>IF(N310&lt;0,N310,0)</f>
        <v>-1</v>
      </c>
      <c r="R3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38757</v>
      </c>
      <c r="T3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0" s="253">
        <f ca="1">IF(Tabla33610673[[#This Row],[Equity]]&lt;Tabla33610673[[#This Row],[Equity Peak]],(Tabla33610673[[#This Row],[Equity Peak]]-Tabla33610673[[#This Row],[Equity]])/Tabla33610673[[#This Row],[Equity Peak]],"")</f>
        <v>3.2550360699932605E-2</v>
      </c>
      <c r="V310" s="254">
        <f>IF(B310="FX",N310,0)</f>
        <v>0</v>
      </c>
      <c r="W310" s="254">
        <f>IF(D310="O",IF(V310&lt;0,V310,0),0)</f>
        <v>0</v>
      </c>
      <c r="X310" s="254">
        <f>IF(B310="COM",N310,0)</f>
        <v>-1</v>
      </c>
      <c r="Y310" s="254">
        <f>IF(D310="O",IF(X310&lt;0,X310,0),0)</f>
        <v>0</v>
      </c>
      <c r="Z310" s="254">
        <f>IF(B310="IND",N310,0)</f>
        <v>0</v>
      </c>
      <c r="AA310" s="250">
        <f>IF(D310="O",IF(Z310&lt;0,Z310,0),0)</f>
        <v>0</v>
      </c>
      <c r="AB310" s="254">
        <f>IF(B310="CRYPTO",N310,0)</f>
        <v>0</v>
      </c>
      <c r="AC310" s="250">
        <f>IF(D310="O",IF(AB310&lt;0,AB310,0),0)</f>
        <v>0</v>
      </c>
      <c r="AD310" s="255">
        <f>IF(K310&lt;&gt;"",K310-E310,0)</f>
        <v>2.2916666661330964E-2</v>
      </c>
      <c r="AE310" s="255">
        <f>IF(N310&gt;0,AD310,0)</f>
        <v>0</v>
      </c>
      <c r="AF310" s="255">
        <f>IF(N310&lt;0,AD310,0)</f>
        <v>2.2916666661330964E-2</v>
      </c>
      <c r="AG310" s="255">
        <f>IF(N310=0,AD310,0)</f>
        <v>0</v>
      </c>
    </row>
    <row r="311" spans="2:33" ht="15" customHeight="1" x14ac:dyDescent="0.3">
      <c r="B311" s="196" t="s">
        <v>7</v>
      </c>
      <c r="C311" s="197" t="s">
        <v>13</v>
      </c>
      <c r="D311" s="246" t="str">
        <f>IF(E311&lt;&gt;"",IF(K311&lt;&gt;"","C","O"),"")</f>
        <v>C</v>
      </c>
      <c r="E311" s="199">
        <v>44774.75</v>
      </c>
      <c r="F311" s="200" t="s">
        <v>116</v>
      </c>
      <c r="G311" s="235">
        <v>131.809</v>
      </c>
      <c r="H311" s="235">
        <v>132.166</v>
      </c>
      <c r="I311" s="247">
        <f>ABS(G311-H311)</f>
        <v>0.35699999999999932</v>
      </c>
      <c r="J311" s="235">
        <v>128.095</v>
      </c>
      <c r="K311" s="199">
        <v>44775.390277777777</v>
      </c>
      <c r="L311" s="235">
        <v>131.071</v>
      </c>
      <c r="M311" s="248">
        <f>ROUND(IF(C311="L",(L311-G311),(G311-L311)),4)</f>
        <v>0.73799999999999999</v>
      </c>
      <c r="N311" s="249">
        <f>IFERROR(ROUND((M311/I311),2),"")</f>
        <v>2.0699999999999998</v>
      </c>
      <c r="O311" s="250">
        <f>IF(D311="O",IF(N311&lt;0,N311,0),0)</f>
        <v>0</v>
      </c>
      <c r="P311" s="251">
        <f>IF(N311&gt;= 0,N311,0)</f>
        <v>2.0699999999999998</v>
      </c>
      <c r="Q311" s="251">
        <f>IF(N311&lt;0,N311,0)</f>
        <v>0</v>
      </c>
      <c r="R3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38857</v>
      </c>
      <c r="T3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1" s="253">
        <f ca="1">IF(Tabla33610673[[#This Row],[Equity]]&lt;Tabla33610673[[#This Row],[Equity Peak]],(Tabla33610673[[#This Row],[Equity Peak]]-Tabla33610673[[#This Row],[Equity]])/Tabla33610673[[#This Row],[Equity Peak]],"")</f>
        <v>3.0054167394723049E-2</v>
      </c>
      <c r="V311" s="254">
        <f>IF(B311="FX",N311,0)</f>
        <v>2.0699999999999998</v>
      </c>
      <c r="W311" s="254">
        <f>IF(D311="O",IF(V311&lt;0,V311,0),0)</f>
        <v>0</v>
      </c>
      <c r="X311" s="254">
        <f>IF(B311="COM",N311,0)</f>
        <v>0</v>
      </c>
      <c r="Y311" s="254">
        <f>IF(D311="O",IF(X311&lt;0,X311,0),0)</f>
        <v>0</v>
      </c>
      <c r="Z311" s="254">
        <f>IF(B311="IND",N311,0)</f>
        <v>0</v>
      </c>
      <c r="AA311" s="250">
        <f>IF(D311="O",IF(Z311&lt;0,Z311,0),0)</f>
        <v>0</v>
      </c>
      <c r="AB311" s="254">
        <f>IF(B311="CRYPTO",N311,0)</f>
        <v>0</v>
      </c>
      <c r="AC311" s="250">
        <f>IF(D311="O",IF(AB311&lt;0,AB311,0),0)</f>
        <v>0</v>
      </c>
      <c r="AD311" s="255">
        <f>IF(K311&lt;&gt;"",K311-E311,0)</f>
        <v>0.64027777777664596</v>
      </c>
      <c r="AE311" s="255">
        <f>IF(N311&gt;0,AD311,0)</f>
        <v>0.64027777777664596</v>
      </c>
      <c r="AF311" s="255">
        <f>IF(N311&lt;0,AD311,0)</f>
        <v>0</v>
      </c>
      <c r="AG311" s="255">
        <f>IF(N311=0,AD311,0)</f>
        <v>0</v>
      </c>
    </row>
    <row r="312" spans="2:33" ht="15" customHeight="1" x14ac:dyDescent="0.3">
      <c r="B312" s="196" t="s">
        <v>19</v>
      </c>
      <c r="C312" s="197" t="s">
        <v>15</v>
      </c>
      <c r="D312" s="246" t="str">
        <f>IF(E312&lt;&gt;"",IF(K312&lt;&gt;"","C","O"),"")</f>
        <v>C</v>
      </c>
      <c r="E312" s="199">
        <v>44775.15625</v>
      </c>
      <c r="F312" s="200" t="s">
        <v>88</v>
      </c>
      <c r="G312" s="235">
        <v>1778.73</v>
      </c>
      <c r="H312" s="235">
        <v>1775.18</v>
      </c>
      <c r="I312" s="247">
        <f>ABS(G312-H312)</f>
        <v>3.5499999999999545</v>
      </c>
      <c r="J312" s="235">
        <v>1821.29</v>
      </c>
      <c r="K312" s="199">
        <v>44775.240277777775</v>
      </c>
      <c r="L312" s="235">
        <v>1775.18</v>
      </c>
      <c r="M312" s="248">
        <f>ROUND(IF(C312="L",(L312-G312),(G312-L312)),4)</f>
        <v>-3.55</v>
      </c>
      <c r="N312" s="249">
        <f>IFERROR(ROUND((M312/I312),2),"")</f>
        <v>-1</v>
      </c>
      <c r="O312" s="250">
        <f>IF(D312="O",IF(N312&lt;0,N312,0),0)</f>
        <v>0</v>
      </c>
      <c r="P312" s="251">
        <f>IF(N312&gt;= 0,N312,0)</f>
        <v>0</v>
      </c>
      <c r="Q312" s="251">
        <f>IF(N312&lt;0,N312,0)</f>
        <v>-1</v>
      </c>
      <c r="R3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38650</v>
      </c>
      <c r="T3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2" s="253">
        <f ca="1">IF(Tabla33610673[[#This Row],[Equity]]&lt;Tabla33610673[[#This Row],[Equity Peak]],(Tabla33610673[[#This Row],[Equity Peak]]-Tabla33610673[[#This Row],[Equity]])/Tabla33610673[[#This Row],[Equity Peak]],"")</f>
        <v>3.5221287536506829E-2</v>
      </c>
      <c r="V312" s="254">
        <f>IF(B312="FX",N312,0)</f>
        <v>0</v>
      </c>
      <c r="W312" s="254">
        <f>IF(D312="O",IF(V312&lt;0,V312,0),0)</f>
        <v>0</v>
      </c>
      <c r="X312" s="254">
        <f>IF(B312="COM",N312,0)</f>
        <v>-1</v>
      </c>
      <c r="Y312" s="254">
        <f>IF(D312="O",IF(X312&lt;0,X312,0),0)</f>
        <v>0</v>
      </c>
      <c r="Z312" s="254">
        <f>IF(B312="IND",N312,0)</f>
        <v>0</v>
      </c>
      <c r="AA312" s="250">
        <f>IF(D312="O",IF(Z312&lt;0,Z312,0),0)</f>
        <v>0</v>
      </c>
      <c r="AB312" s="254">
        <f>IF(B312="CRYPTO",N312,0)</f>
        <v>0</v>
      </c>
      <c r="AC312" s="250">
        <f>IF(D312="O",IF(AB312&lt;0,AB312,0),0)</f>
        <v>0</v>
      </c>
      <c r="AD312" s="255">
        <f>IF(K312&lt;&gt;"",K312-E312,0)</f>
        <v>8.4027777775190771E-2</v>
      </c>
      <c r="AE312" s="255">
        <f>IF(N312&gt;0,AD312,0)</f>
        <v>0</v>
      </c>
      <c r="AF312" s="255">
        <f>IF(N312&lt;0,AD312,0)</f>
        <v>8.4027777775190771E-2</v>
      </c>
      <c r="AG312" s="255">
        <f>IF(N312=0,AD312,0)</f>
        <v>0</v>
      </c>
    </row>
    <row r="313" spans="2:33" ht="15" customHeight="1" x14ac:dyDescent="0.3">
      <c r="B313" s="196" t="s">
        <v>7</v>
      </c>
      <c r="C313" s="197" t="s">
        <v>15</v>
      </c>
      <c r="D313" s="246" t="str">
        <f>IF(E313&lt;&gt;"",IF(K313&lt;&gt;"","C","O"),"")</f>
        <v>C</v>
      </c>
      <c r="E313" s="199">
        <v>44775.15625</v>
      </c>
      <c r="F313" s="200" t="s">
        <v>114</v>
      </c>
      <c r="G313" s="235">
        <v>1.02854</v>
      </c>
      <c r="H313" s="235">
        <v>1.02729</v>
      </c>
      <c r="I313" s="247">
        <f>ABS(G313-H313)</f>
        <v>1.2499999999999734E-3</v>
      </c>
      <c r="J313" s="235">
        <v>1.03979</v>
      </c>
      <c r="K313" s="199">
        <v>44775.175000000003</v>
      </c>
      <c r="L313" s="235">
        <v>1.02729</v>
      </c>
      <c r="M313" s="248">
        <f>ROUND(IF(C313="L",(L313-G313),(G313-L313)),4)</f>
        <v>-1.1999999999999999E-3</v>
      </c>
      <c r="N313" s="249">
        <f>IFERROR(ROUND((M313/I313),2),"")</f>
        <v>-0.96</v>
      </c>
      <c r="O313" s="250">
        <f>IF(D313="O",IF(N313&lt;0,N313,0),0)</f>
        <v>0</v>
      </c>
      <c r="P313" s="251">
        <f>IF(N313&gt;= 0,N313,0)</f>
        <v>0</v>
      </c>
      <c r="Q313" s="251">
        <f>IF(N313&lt;0,N313,0)</f>
        <v>-0.96</v>
      </c>
      <c r="R3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38750</v>
      </c>
      <c r="T3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3" s="253">
        <f ca="1">IF(Tabla33610673[[#This Row],[Equity]]&lt;Tabla33610673[[#This Row],[Equity Peak]],(Tabla33610673[[#This Row],[Equity Peak]]-Tabla33610673[[#This Row],[Equity]])/Tabla33610673[[#This Row],[Equity Peak]],"")</f>
        <v>3.2725094231297269E-2</v>
      </c>
      <c r="V313" s="254">
        <f>IF(B313="FX",N313,0)</f>
        <v>-0.96</v>
      </c>
      <c r="W313" s="254">
        <f>IF(D313="O",IF(V313&lt;0,V313,0),0)</f>
        <v>0</v>
      </c>
      <c r="X313" s="254">
        <f>IF(B313="COM",N313,0)</f>
        <v>0</v>
      </c>
      <c r="Y313" s="254">
        <f>IF(D313="O",IF(X313&lt;0,X313,0),0)</f>
        <v>0</v>
      </c>
      <c r="Z313" s="254">
        <f>IF(B313="IND",N313,0)</f>
        <v>0</v>
      </c>
      <c r="AA313" s="250">
        <f>IF(D313="O",IF(Z313&lt;0,Z313,0),0)</f>
        <v>0</v>
      </c>
      <c r="AB313" s="254">
        <f>IF(B313="CRYPTO",N313,0)</f>
        <v>0</v>
      </c>
      <c r="AC313" s="250">
        <f>IF(D313="O",IF(AB313&lt;0,AB313,0),0)</f>
        <v>0</v>
      </c>
      <c r="AD313" s="255">
        <f>IF(K313&lt;&gt;"",K313-E313,0)</f>
        <v>1.8750000002910383E-2</v>
      </c>
      <c r="AE313" s="255">
        <f>IF(N313&gt;0,AD313,0)</f>
        <v>0</v>
      </c>
      <c r="AF313" s="255">
        <f>IF(N313&lt;0,AD313,0)</f>
        <v>1.8750000002910383E-2</v>
      </c>
      <c r="AG313" s="255">
        <f>IF(N313=0,AD313,0)</f>
        <v>0</v>
      </c>
    </row>
    <row r="314" spans="2:33" ht="15" customHeight="1" x14ac:dyDescent="0.3">
      <c r="B314" s="196" t="s">
        <v>7</v>
      </c>
      <c r="C314" s="197" t="s">
        <v>15</v>
      </c>
      <c r="D314" s="246" t="str">
        <f>IF(E314&lt;&gt;"",IF(K314&lt;&gt;"","C","O"),"")</f>
        <v>C</v>
      </c>
      <c r="E314" s="199">
        <v>44774.75</v>
      </c>
      <c r="F314" s="200" t="s">
        <v>114</v>
      </c>
      <c r="G314" s="235">
        <v>1.02729</v>
      </c>
      <c r="H314" s="235">
        <v>1.0245899999999999</v>
      </c>
      <c r="I314" s="247">
        <f>ABS(G314-H314)</f>
        <v>2.7000000000001467E-3</v>
      </c>
      <c r="J314" s="235">
        <v>1.05155</v>
      </c>
      <c r="K314" s="199">
        <v>44774.90625</v>
      </c>
      <c r="L314" s="235">
        <v>1.0245899999999999</v>
      </c>
      <c r="M314" s="248">
        <f>ROUND(IF(C314="L",(L314-G314),(G314-L314)),4)</f>
        <v>-2.7000000000000001E-3</v>
      </c>
      <c r="N314" s="249">
        <f>IFERROR(ROUND((M314/I314),2),"")</f>
        <v>-1</v>
      </c>
      <c r="O314" s="250">
        <f>IF(D314="O",IF(N314&lt;0,N314,0),0)</f>
        <v>0</v>
      </c>
      <c r="P314" s="251">
        <f>IF(N314&gt;= 0,N314,0)</f>
        <v>0</v>
      </c>
      <c r="Q314" s="251">
        <f>IF(N314&lt;0,N314,0)</f>
        <v>-1</v>
      </c>
      <c r="R3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38846</v>
      </c>
      <c r="T3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4" s="253">
        <f ca="1">IF(Tabla33610673[[#This Row],[Equity]]&lt;Tabla33610673[[#This Row],[Equity Peak]],(Tabla33610673[[#This Row],[Equity Peak]]-Tabla33610673[[#This Row],[Equity]])/Tabla33610673[[#This Row],[Equity Peak]],"")</f>
        <v>3.0328748658296097E-2</v>
      </c>
      <c r="V314" s="254">
        <f>IF(B314="FX",N314,0)</f>
        <v>-1</v>
      </c>
      <c r="W314" s="254">
        <f>IF(D314="O",IF(V314&lt;0,V314,0),0)</f>
        <v>0</v>
      </c>
      <c r="X314" s="254">
        <f>IF(B314="COM",N314,0)</f>
        <v>0</v>
      </c>
      <c r="Y314" s="254">
        <f>IF(D314="O",IF(X314&lt;0,X314,0),0)</f>
        <v>0</v>
      </c>
      <c r="Z314" s="254">
        <f>IF(B314="IND",N314,0)</f>
        <v>0</v>
      </c>
      <c r="AA314" s="250">
        <f>IF(D314="O",IF(Z314&lt;0,Z314,0),0)</f>
        <v>0</v>
      </c>
      <c r="AB314" s="254">
        <f>IF(B314="CRYPTO",N314,0)</f>
        <v>0</v>
      </c>
      <c r="AC314" s="250">
        <f>IF(D314="O",IF(AB314&lt;0,AB314,0),0)</f>
        <v>0</v>
      </c>
      <c r="AD314" s="255">
        <f>IF(K314&lt;&gt;"",K314-E314,0)</f>
        <v>0.15625</v>
      </c>
      <c r="AE314" s="255">
        <f>IF(N314&gt;0,AD314,0)</f>
        <v>0</v>
      </c>
      <c r="AF314" s="255">
        <f>IF(N314&lt;0,AD314,0)</f>
        <v>0.15625</v>
      </c>
      <c r="AG314" s="255">
        <f>IF(N314=0,AD314,0)</f>
        <v>0</v>
      </c>
    </row>
    <row r="315" spans="2:33" ht="15" customHeight="1" x14ac:dyDescent="0.3">
      <c r="B315" s="196" t="s">
        <v>5</v>
      </c>
      <c r="C315" s="197" t="s">
        <v>15</v>
      </c>
      <c r="D315" s="246" t="str">
        <f>IF(E315&lt;&gt;"",IF(K315&lt;&gt;"","C","O"),"")</f>
        <v>C</v>
      </c>
      <c r="E315" s="199">
        <v>44774.75</v>
      </c>
      <c r="F315" s="200" t="s">
        <v>92</v>
      </c>
      <c r="G315" s="235">
        <v>13060.15</v>
      </c>
      <c r="H315" s="235">
        <v>13028.04</v>
      </c>
      <c r="I315" s="247">
        <f>ABS(G315-H315)</f>
        <v>32.109999999998763</v>
      </c>
      <c r="J315" s="235">
        <v>13659.55</v>
      </c>
      <c r="K315" s="199">
        <v>44774.754166666666</v>
      </c>
      <c r="L315" s="235">
        <v>13028.04</v>
      </c>
      <c r="M315" s="248">
        <f>ROUND(IF(C315="L",(L315-G315),(G315-L315)),4)</f>
        <v>-32.11</v>
      </c>
      <c r="N315" s="249">
        <f>IFERROR(ROUND((M315/I315),2),"")</f>
        <v>-1</v>
      </c>
      <c r="O315" s="250">
        <f>IF(D315="O",IF(N315&lt;0,N315,0),0)</f>
        <v>0</v>
      </c>
      <c r="P315" s="251">
        <f>IF(N315&gt;= 0,N315,0)</f>
        <v>0</v>
      </c>
      <c r="Q315" s="251">
        <f>IF(N315&lt;0,N315,0)</f>
        <v>-1</v>
      </c>
      <c r="R3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38946</v>
      </c>
      <c r="T3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5" s="253">
        <f ca="1">IF(Tabla33610673[[#This Row],[Equity]]&lt;Tabla33610673[[#This Row],[Equity Peak]],(Tabla33610673[[#This Row],[Equity Peak]]-Tabla33610673[[#This Row],[Equity]])/Tabla33610673[[#This Row],[Equity Peak]],"")</f>
        <v>2.7832555353086545E-2</v>
      </c>
      <c r="V315" s="254">
        <f>IF(B315="FX",N315,0)</f>
        <v>0</v>
      </c>
      <c r="W315" s="254">
        <f>IF(D315="O",IF(V315&lt;0,V315,0),0)</f>
        <v>0</v>
      </c>
      <c r="X315" s="254">
        <f>IF(B315="COM",N315,0)</f>
        <v>0</v>
      </c>
      <c r="Y315" s="254">
        <f>IF(D315="O",IF(X315&lt;0,X315,0),0)</f>
        <v>0</v>
      </c>
      <c r="Z315" s="254">
        <f>IF(B315="IND",N315,0)</f>
        <v>-1</v>
      </c>
      <c r="AA315" s="250">
        <f>IF(D315="O",IF(Z315&lt;0,Z315,0),0)</f>
        <v>0</v>
      </c>
      <c r="AB315" s="254">
        <f>IF(B315="CRYPTO",N315,0)</f>
        <v>0</v>
      </c>
      <c r="AC315" s="250">
        <f>IF(D315="O",IF(AB315&lt;0,AB315,0),0)</f>
        <v>0</v>
      </c>
      <c r="AD315" s="255">
        <f>IF(K315&lt;&gt;"",K315-E315,0)</f>
        <v>4.166666665696539E-3</v>
      </c>
      <c r="AE315" s="255">
        <f>IF(N315&gt;0,AD315,0)</f>
        <v>0</v>
      </c>
      <c r="AF315" s="255">
        <f>IF(N315&lt;0,AD315,0)</f>
        <v>4.166666665696539E-3</v>
      </c>
      <c r="AG315" s="255">
        <f>IF(N315=0,AD315,0)</f>
        <v>0</v>
      </c>
    </row>
    <row r="316" spans="2:33" ht="15" customHeight="1" x14ac:dyDescent="0.3">
      <c r="B316" s="196" t="s">
        <v>5</v>
      </c>
      <c r="C316" s="197" t="s">
        <v>15</v>
      </c>
      <c r="D316" s="246" t="str">
        <f>IF(E316&lt;&gt;"",IF(K316&lt;&gt;"","C","O"),"")</f>
        <v>C</v>
      </c>
      <c r="E316" s="199">
        <v>44774.75</v>
      </c>
      <c r="F316" s="200" t="s">
        <v>93</v>
      </c>
      <c r="G316" s="235">
        <v>13060.15</v>
      </c>
      <c r="H316" s="235">
        <v>13026.44</v>
      </c>
      <c r="I316" s="247">
        <f>ABS(G316-H316)</f>
        <v>33.709999999999127</v>
      </c>
      <c r="J316" s="235">
        <v>13419.76</v>
      </c>
      <c r="K316" s="199">
        <v>44774.754166666666</v>
      </c>
      <c r="L316" s="235">
        <v>13026.44</v>
      </c>
      <c r="M316" s="248">
        <f>ROUND(IF(C316="L",(L316-G316),(G316-L316)),4)</f>
        <v>-33.71</v>
      </c>
      <c r="N316" s="249">
        <f>IFERROR(ROUND((M316/I316),2),"")</f>
        <v>-1</v>
      </c>
      <c r="O316" s="250">
        <f>IF(D316="O",IF(N316&lt;0,N316,0),0)</f>
        <v>0</v>
      </c>
      <c r="P316" s="251">
        <f>IF(N316&gt;= 0,N316,0)</f>
        <v>0</v>
      </c>
      <c r="Q316" s="251">
        <f>IF(N316&lt;0,N316,0)</f>
        <v>-1</v>
      </c>
      <c r="R3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39046</v>
      </c>
      <c r="T3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6" s="253">
        <f ca="1">IF(Tabla33610673[[#This Row],[Equity]]&lt;Tabla33610673[[#This Row],[Equity Peak]],(Tabla33610673[[#This Row],[Equity Peak]]-Tabla33610673[[#This Row],[Equity]])/Tabla33610673[[#This Row],[Equity Peak]],"")</f>
        <v>2.5336362047876988E-2</v>
      </c>
      <c r="V316" s="254">
        <f>IF(B316="FX",N316,0)</f>
        <v>0</v>
      </c>
      <c r="W316" s="254">
        <f>IF(D316="O",IF(V316&lt;0,V316,0),0)</f>
        <v>0</v>
      </c>
      <c r="X316" s="254">
        <f>IF(B316="COM",N316,0)</f>
        <v>0</v>
      </c>
      <c r="Y316" s="254">
        <f>IF(D316="O",IF(X316&lt;0,X316,0),0)</f>
        <v>0</v>
      </c>
      <c r="Z316" s="254">
        <f>IF(B316="IND",N316,0)</f>
        <v>-1</v>
      </c>
      <c r="AA316" s="250">
        <f>IF(D316="O",IF(Z316&lt;0,Z316,0),0)</f>
        <v>0</v>
      </c>
      <c r="AB316" s="254">
        <f>IF(B316="CRYPTO",N316,0)</f>
        <v>0</v>
      </c>
      <c r="AC316" s="250">
        <f>IF(D316="O",IF(AB316&lt;0,AB316,0),0)</f>
        <v>0</v>
      </c>
      <c r="AD316" s="255">
        <f>IF(K316&lt;&gt;"",K316-E316,0)</f>
        <v>4.166666665696539E-3</v>
      </c>
      <c r="AE316" s="255">
        <f>IF(N316&gt;0,AD316,0)</f>
        <v>0</v>
      </c>
      <c r="AF316" s="255">
        <f>IF(N316&lt;0,AD316,0)</f>
        <v>4.166666665696539E-3</v>
      </c>
      <c r="AG316" s="255">
        <f>IF(N316=0,AD316,0)</f>
        <v>0</v>
      </c>
    </row>
    <row r="317" spans="2:33" ht="15" customHeight="1" x14ac:dyDescent="0.3">
      <c r="B317" s="196" t="s">
        <v>5</v>
      </c>
      <c r="C317" s="197" t="s">
        <v>15</v>
      </c>
      <c r="D317" s="246" t="str">
        <f>IF(E317&lt;&gt;"",IF(K317&lt;&gt;"","C","O"),"")</f>
        <v>C</v>
      </c>
      <c r="E317" s="199">
        <v>44774.71875</v>
      </c>
      <c r="F317" s="200" t="s">
        <v>93</v>
      </c>
      <c r="G317" s="235">
        <v>13029.15</v>
      </c>
      <c r="H317" s="235">
        <v>12996.55</v>
      </c>
      <c r="I317" s="247">
        <f>ABS(G317-H317)</f>
        <v>32.600000000000364</v>
      </c>
      <c r="J317" s="235">
        <v>13376.89</v>
      </c>
      <c r="K317" s="199">
        <v>44774.720833333333</v>
      </c>
      <c r="L317" s="235">
        <v>12996.55</v>
      </c>
      <c r="M317" s="248">
        <f>ROUND(IF(C317="L",(L317-G317),(G317-L317)),4)</f>
        <v>-32.6</v>
      </c>
      <c r="N317" s="249">
        <f>IFERROR(ROUND((M317/I317),2),"")</f>
        <v>-1</v>
      </c>
      <c r="O317" s="250">
        <f>IF(D317="O",IF(N317&lt;0,N317,0),0)</f>
        <v>0</v>
      </c>
      <c r="P317" s="251">
        <f>IF(N317&gt;= 0,N317,0)</f>
        <v>0</v>
      </c>
      <c r="Q317" s="251">
        <f>IF(N317&lt;0,N317,0)</f>
        <v>-1</v>
      </c>
      <c r="R3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39146</v>
      </c>
      <c r="T3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7" s="253">
        <f ca="1">IF(Tabla33610673[[#This Row],[Equity]]&lt;Tabla33610673[[#This Row],[Equity Peak]],(Tabla33610673[[#This Row],[Equity Peak]]-Tabla33610673[[#This Row],[Equity]])/Tabla33610673[[#This Row],[Equity Peak]],"")</f>
        <v>2.2840168742667432E-2</v>
      </c>
      <c r="V317" s="254">
        <f>IF(B317="FX",N317,0)</f>
        <v>0</v>
      </c>
      <c r="W317" s="254">
        <f>IF(D317="O",IF(V317&lt;0,V317,0),0)</f>
        <v>0</v>
      </c>
      <c r="X317" s="254">
        <f>IF(B317="COM",N317,0)</f>
        <v>0</v>
      </c>
      <c r="Y317" s="254">
        <f>IF(D317="O",IF(X317&lt;0,X317,0),0)</f>
        <v>0</v>
      </c>
      <c r="Z317" s="254">
        <f>IF(B317="IND",N317,0)</f>
        <v>-1</v>
      </c>
      <c r="AA317" s="250">
        <f>IF(D317="O",IF(Z317&lt;0,Z317,0),0)</f>
        <v>0</v>
      </c>
      <c r="AB317" s="254">
        <f>IF(B317="CRYPTO",N317,0)</f>
        <v>0</v>
      </c>
      <c r="AC317" s="250">
        <f>IF(D317="O",IF(AB317&lt;0,AB317,0),0)</f>
        <v>0</v>
      </c>
      <c r="AD317" s="255">
        <f>IF(K317&lt;&gt;"",K317-E317,0)</f>
        <v>2.0833333328482695E-3</v>
      </c>
      <c r="AE317" s="255">
        <f>IF(N317&gt;0,AD317,0)</f>
        <v>0</v>
      </c>
      <c r="AF317" s="255">
        <f>IF(N317&lt;0,AD317,0)</f>
        <v>2.0833333328482695E-3</v>
      </c>
      <c r="AG317" s="255">
        <f>IF(N317=0,AD317,0)</f>
        <v>0</v>
      </c>
    </row>
    <row r="318" spans="2:33" ht="15" customHeight="1" x14ac:dyDescent="0.3">
      <c r="B318" s="196" t="s">
        <v>5</v>
      </c>
      <c r="C318" s="197" t="s">
        <v>15</v>
      </c>
      <c r="D318" s="246" t="str">
        <f>IF(E318&lt;&gt;"",IF(K318&lt;&gt;"","C","O"),"")</f>
        <v>C</v>
      </c>
      <c r="E318" s="199">
        <v>44774.71875</v>
      </c>
      <c r="F318" s="200" t="s">
        <v>92</v>
      </c>
      <c r="G318" s="235">
        <v>13029.15</v>
      </c>
      <c r="H318" s="235">
        <v>12999.93</v>
      </c>
      <c r="I318" s="247">
        <f>ABS(G318-H318)</f>
        <v>29.219999999999345</v>
      </c>
      <c r="J318" s="235">
        <v>13574.57</v>
      </c>
      <c r="K318" s="199">
        <v>44774.720138888886</v>
      </c>
      <c r="L318" s="235">
        <v>12999.93</v>
      </c>
      <c r="M318" s="248">
        <f>ROUND(IF(C318="L",(L318-G318),(G318-L318)),4)</f>
        <v>-29.22</v>
      </c>
      <c r="N318" s="249">
        <f>IFERROR(ROUND((M318/I318),2),"")</f>
        <v>-1</v>
      </c>
      <c r="O318" s="250">
        <f>IF(D318="O",IF(N318&lt;0,N318,0),0)</f>
        <v>0</v>
      </c>
      <c r="P318" s="251">
        <f>IF(N318&gt;= 0,N318,0)</f>
        <v>0</v>
      </c>
      <c r="Q318" s="251">
        <f>IF(N318&lt;0,N318,0)</f>
        <v>-1</v>
      </c>
      <c r="R3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39246</v>
      </c>
      <c r="T3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8" s="253">
        <f ca="1">IF(Tabla33610673[[#This Row],[Equity]]&lt;Tabla33610673[[#This Row],[Equity Peak]],(Tabla33610673[[#This Row],[Equity Peak]]-Tabla33610673[[#This Row],[Equity]])/Tabla33610673[[#This Row],[Equity Peak]],"")</f>
        <v>2.0343975437457876E-2</v>
      </c>
      <c r="V318" s="254">
        <f>IF(B318="FX",N318,0)</f>
        <v>0</v>
      </c>
      <c r="W318" s="254">
        <f>IF(D318="O",IF(V318&lt;0,V318,0),0)</f>
        <v>0</v>
      </c>
      <c r="X318" s="254">
        <f>IF(B318="COM",N318,0)</f>
        <v>0</v>
      </c>
      <c r="Y318" s="254">
        <f>IF(D318="O",IF(X318&lt;0,X318,0),0)</f>
        <v>0</v>
      </c>
      <c r="Z318" s="254">
        <f>IF(B318="IND",N318,0)</f>
        <v>-1</v>
      </c>
      <c r="AA318" s="250">
        <f>IF(D318="O",IF(Z318&lt;0,Z318,0),0)</f>
        <v>0</v>
      </c>
      <c r="AB318" s="254">
        <f>IF(B318="CRYPTO",N318,0)</f>
        <v>0</v>
      </c>
      <c r="AC318" s="250">
        <f>IF(D318="O",IF(AB318&lt;0,AB318,0),0)</f>
        <v>0</v>
      </c>
      <c r="AD318" s="255">
        <f>IF(K318&lt;&gt;"",K318-E318,0)</f>
        <v>1.3888888861401938E-3</v>
      </c>
      <c r="AE318" s="255">
        <f>IF(N318&gt;0,AD318,0)</f>
        <v>0</v>
      </c>
      <c r="AF318" s="255">
        <f>IF(N318&lt;0,AD318,0)</f>
        <v>1.3888888861401938E-3</v>
      </c>
      <c r="AG318" s="255">
        <f>IF(N318=0,AD318,0)</f>
        <v>0</v>
      </c>
    </row>
    <row r="319" spans="2:33" ht="15" customHeight="1" x14ac:dyDescent="0.3">
      <c r="B319" s="196" t="s">
        <v>5</v>
      </c>
      <c r="C319" s="197" t="s">
        <v>15</v>
      </c>
      <c r="D319" s="246" t="str">
        <f>IF(E319&lt;&gt;"",IF(K319&lt;&gt;"","C","O"),"")</f>
        <v>C</v>
      </c>
      <c r="E319" s="199">
        <v>44774.604166666664</v>
      </c>
      <c r="F319" s="200" t="s">
        <v>91</v>
      </c>
      <c r="G319" s="235">
        <v>13567.01</v>
      </c>
      <c r="H319" s="235">
        <v>13534.38</v>
      </c>
      <c r="I319" s="247">
        <f>ABS(G319-H319)</f>
        <v>32.630000000001019</v>
      </c>
      <c r="J319" s="235">
        <v>14176.11</v>
      </c>
      <c r="K319" s="199">
        <v>44774.658333333333</v>
      </c>
      <c r="L319" s="235">
        <v>13534.38</v>
      </c>
      <c r="M319" s="248">
        <f>ROUND(IF(C319="L",(L319-G319),(G319-L319)),4)</f>
        <v>-32.630000000000003</v>
      </c>
      <c r="N319" s="249">
        <f>IFERROR(ROUND((M319/I319),2),"")</f>
        <v>-1</v>
      </c>
      <c r="O319" s="250">
        <f>IF(D319="O",IF(N319&lt;0,N319,0),0)</f>
        <v>0</v>
      </c>
      <c r="P319" s="251">
        <f>IF(N319&gt;= 0,N319,0)</f>
        <v>0</v>
      </c>
      <c r="Q319" s="251">
        <f>IF(N319&lt;0,N319,0)</f>
        <v>-1</v>
      </c>
      <c r="R3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39346</v>
      </c>
      <c r="T3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19" s="253">
        <f ca="1">IF(Tabla33610673[[#This Row],[Equity]]&lt;Tabla33610673[[#This Row],[Equity Peak]],(Tabla33610673[[#This Row],[Equity Peak]]-Tabla33610673[[#This Row],[Equity]])/Tabla33610673[[#This Row],[Equity Peak]],"")</f>
        <v>1.7847782132248323E-2</v>
      </c>
      <c r="V319" s="254">
        <f>IF(B319="FX",N319,0)</f>
        <v>0</v>
      </c>
      <c r="W319" s="254">
        <f>IF(D319="O",IF(V319&lt;0,V319,0),0)</f>
        <v>0</v>
      </c>
      <c r="X319" s="254">
        <f>IF(B319="COM",N319,0)</f>
        <v>0</v>
      </c>
      <c r="Y319" s="254">
        <f>IF(D319="O",IF(X319&lt;0,X319,0),0)</f>
        <v>0</v>
      </c>
      <c r="Z319" s="254">
        <f>IF(B319="IND",N319,0)</f>
        <v>-1</v>
      </c>
      <c r="AA319" s="250">
        <f>IF(D319="O",IF(Z319&lt;0,Z319,0),0)</f>
        <v>0</v>
      </c>
      <c r="AB319" s="254">
        <f>IF(B319="CRYPTO",N319,0)</f>
        <v>0</v>
      </c>
      <c r="AC319" s="250">
        <f>IF(D319="O",IF(AB319&lt;0,AB319,0),0)</f>
        <v>0</v>
      </c>
      <c r="AD319" s="255">
        <f>IF(K319&lt;&gt;"",K319-E319,0)</f>
        <v>5.4166666668606922E-2</v>
      </c>
      <c r="AE319" s="255">
        <f>IF(N319&gt;0,AD319,0)</f>
        <v>0</v>
      </c>
      <c r="AF319" s="255">
        <f>IF(N319&lt;0,AD319,0)</f>
        <v>5.4166666668606922E-2</v>
      </c>
      <c r="AG319" s="255">
        <f>IF(N319=0,AD319,0)</f>
        <v>0</v>
      </c>
    </row>
    <row r="320" spans="2:33" ht="15" customHeight="1" x14ac:dyDescent="0.3">
      <c r="B320" s="196" t="s">
        <v>19</v>
      </c>
      <c r="C320" s="197" t="s">
        <v>15</v>
      </c>
      <c r="D320" s="246" t="str">
        <f>IF(E320&lt;&gt;"",IF(K320&lt;&gt;"","C","O"),"")</f>
        <v>C</v>
      </c>
      <c r="E320" s="199">
        <v>44774.53125</v>
      </c>
      <c r="F320" s="200" t="s">
        <v>88</v>
      </c>
      <c r="G320" s="235">
        <v>1771.03</v>
      </c>
      <c r="H320" s="235">
        <v>1768.37</v>
      </c>
      <c r="I320" s="247">
        <f>ABS(G320-H320)</f>
        <v>2.6600000000000819</v>
      </c>
      <c r="J320" s="235">
        <v>1802.92</v>
      </c>
      <c r="K320" s="199">
        <v>44774.648611111108</v>
      </c>
      <c r="L320" s="235">
        <v>1768.37</v>
      </c>
      <c r="M320" s="248">
        <f>ROUND(IF(C320="L",(L320-G320),(G320-L320)),4)</f>
        <v>-2.66</v>
      </c>
      <c r="N320" s="249">
        <f>IFERROR(ROUND((M320/I320),2),"")</f>
        <v>-1</v>
      </c>
      <c r="O320" s="250">
        <f>IF(D320="O",IF(N320&lt;0,N320,0),0)</f>
        <v>0</v>
      </c>
      <c r="P320" s="251">
        <f>IF(N320&gt;= 0,N320,0)</f>
        <v>0</v>
      </c>
      <c r="Q320" s="251">
        <f>IF(N320&lt;0,N320,0)</f>
        <v>-1</v>
      </c>
      <c r="R3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39446</v>
      </c>
      <c r="T3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0" s="253">
        <f ca="1">IF(Tabla33610673[[#This Row],[Equity]]&lt;Tabla33610673[[#This Row],[Equity Peak]],(Tabla33610673[[#This Row],[Equity Peak]]-Tabla33610673[[#This Row],[Equity]])/Tabla33610673[[#This Row],[Equity Peak]],"")</f>
        <v>1.5351588827038767E-2</v>
      </c>
      <c r="V320" s="254">
        <f>IF(B320="FX",N320,0)</f>
        <v>0</v>
      </c>
      <c r="W320" s="254">
        <f>IF(D320="O",IF(V320&lt;0,V320,0),0)</f>
        <v>0</v>
      </c>
      <c r="X320" s="254">
        <f>IF(B320="COM",N320,0)</f>
        <v>-1</v>
      </c>
      <c r="Y320" s="254">
        <f>IF(D320="O",IF(X320&lt;0,X320,0),0)</f>
        <v>0</v>
      </c>
      <c r="Z320" s="254">
        <f>IF(B320="IND",N320,0)</f>
        <v>0</v>
      </c>
      <c r="AA320" s="250">
        <f>IF(D320="O",IF(Z320&lt;0,Z320,0),0)</f>
        <v>0</v>
      </c>
      <c r="AB320" s="254">
        <f>IF(B320="CRYPTO",N320,0)</f>
        <v>0</v>
      </c>
      <c r="AC320" s="250">
        <f>IF(D320="O",IF(AB320&lt;0,AB320,0),0)</f>
        <v>0</v>
      </c>
      <c r="AD320" s="255">
        <f>IF(K320&lt;&gt;"",K320-E320,0)</f>
        <v>0.11736111110803904</v>
      </c>
      <c r="AE320" s="255">
        <f>IF(N320&gt;0,AD320,0)</f>
        <v>0</v>
      </c>
      <c r="AF320" s="255">
        <f>IF(N320&lt;0,AD320,0)</f>
        <v>0.11736111110803904</v>
      </c>
      <c r="AG320" s="255">
        <f>IF(N320=0,AD320,0)</f>
        <v>0</v>
      </c>
    </row>
    <row r="321" spans="2:33" ht="15" customHeight="1" x14ac:dyDescent="0.3">
      <c r="B321" s="196" t="s">
        <v>7</v>
      </c>
      <c r="C321" s="197" t="s">
        <v>15</v>
      </c>
      <c r="D321" s="246" t="str">
        <f>IF(E321&lt;&gt;"",IF(K321&lt;&gt;"","C","O"),"")</f>
        <v>C</v>
      </c>
      <c r="E321" s="199">
        <v>44774.489583333336</v>
      </c>
      <c r="F321" s="200" t="s">
        <v>114</v>
      </c>
      <c r="G321" s="235">
        <v>1.0259199999999999</v>
      </c>
      <c r="H321" s="235">
        <v>1.0238799999999999</v>
      </c>
      <c r="I321" s="247">
        <f>ABS(G321-H321)</f>
        <v>2.0400000000000418E-3</v>
      </c>
      <c r="J321" s="235">
        <v>1.0442899999999999</v>
      </c>
      <c r="K321" s="199">
        <v>44774.599305555559</v>
      </c>
      <c r="L321" s="235">
        <v>1.0238799999999999</v>
      </c>
      <c r="M321" s="248">
        <f>ROUND(IF(C321="L",(L321-G321),(G321-L321)),4)</f>
        <v>-2E-3</v>
      </c>
      <c r="N321" s="249">
        <f>IFERROR(ROUND((M321/I321),2),"")</f>
        <v>-0.98</v>
      </c>
      <c r="O321" s="250">
        <f>IF(D321="O",IF(N321&lt;0,N321,0),0)</f>
        <v>0</v>
      </c>
      <c r="P321" s="251">
        <f>IF(N321&gt;= 0,N321,0)</f>
        <v>0</v>
      </c>
      <c r="Q321" s="251">
        <f>IF(N321&lt;0,N321,0)</f>
        <v>-0.98</v>
      </c>
      <c r="R3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39546</v>
      </c>
      <c r="T3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1" s="253">
        <f ca="1">IF(Tabla33610673[[#This Row],[Equity]]&lt;Tabla33610673[[#This Row],[Equity Peak]],(Tabla33610673[[#This Row],[Equity Peak]]-Tabla33610673[[#This Row],[Equity]])/Tabla33610673[[#This Row],[Equity Peak]],"")</f>
        <v>1.285539552182921E-2</v>
      </c>
      <c r="V321" s="254">
        <f>IF(B321="FX",N321,0)</f>
        <v>-0.98</v>
      </c>
      <c r="W321" s="254">
        <f>IF(D321="O",IF(V321&lt;0,V321,0),0)</f>
        <v>0</v>
      </c>
      <c r="X321" s="254">
        <f>IF(B321="COM",N321,0)</f>
        <v>0</v>
      </c>
      <c r="Y321" s="254">
        <f>IF(D321="O",IF(X321&lt;0,X321,0),0)</f>
        <v>0</v>
      </c>
      <c r="Z321" s="254">
        <f>IF(B321="IND",N321,0)</f>
        <v>0</v>
      </c>
      <c r="AA321" s="250">
        <f>IF(D321="O",IF(Z321&lt;0,Z321,0),0)</f>
        <v>0</v>
      </c>
      <c r="AB321" s="254">
        <f>IF(B321="CRYPTO",N321,0)</f>
        <v>0</v>
      </c>
      <c r="AC321" s="250">
        <f>IF(D321="O",IF(AB321&lt;0,AB321,0),0)</f>
        <v>0</v>
      </c>
      <c r="AD321" s="255">
        <f>IF(K321&lt;&gt;"",K321-E321,0)</f>
        <v>0.10972222222335404</v>
      </c>
      <c r="AE321" s="255">
        <f>IF(N321&gt;0,AD321,0)</f>
        <v>0</v>
      </c>
      <c r="AF321" s="255">
        <f>IF(N321&lt;0,AD321,0)</f>
        <v>0.10972222222335404</v>
      </c>
      <c r="AG321" s="255">
        <f>IF(N321=0,AD321,0)</f>
        <v>0</v>
      </c>
    </row>
    <row r="322" spans="2:33" ht="15" customHeight="1" x14ac:dyDescent="0.3">
      <c r="B322" s="196" t="s">
        <v>7</v>
      </c>
      <c r="C322" s="197" t="s">
        <v>13</v>
      </c>
      <c r="D322" s="246" t="str">
        <f>IF(E322&lt;&gt;"",IF(K322&lt;&gt;"","C","O"),"")</f>
        <v>C</v>
      </c>
      <c r="E322" s="199">
        <v>44774.53125</v>
      </c>
      <c r="F322" s="200" t="s">
        <v>116</v>
      </c>
      <c r="G322" s="235">
        <v>132.035</v>
      </c>
      <c r="H322" s="235">
        <v>132.37700000000001</v>
      </c>
      <c r="I322" s="247">
        <f>ABS(G322-H322)</f>
        <v>0.34200000000001296</v>
      </c>
      <c r="J322" s="235">
        <v>128.47399999999999</v>
      </c>
      <c r="K322" s="199">
        <v>44774.597916666666</v>
      </c>
      <c r="L322" s="235">
        <v>132.364</v>
      </c>
      <c r="M322" s="248">
        <f>ROUND(IF(C322="L",(L322-G322),(G322-L322)),4)</f>
        <v>-0.32900000000000001</v>
      </c>
      <c r="N322" s="249">
        <f>IFERROR(ROUND((M322/I322),2),"")</f>
        <v>-0.96</v>
      </c>
      <c r="O322" s="250">
        <f>IF(D322="O",IF(N322&lt;0,N322,0),0)</f>
        <v>0</v>
      </c>
      <c r="P322" s="251">
        <f>IF(N322&gt;= 0,N322,0)</f>
        <v>0</v>
      </c>
      <c r="Q322" s="251">
        <f>IF(N322&lt;0,N322,0)</f>
        <v>-0.96</v>
      </c>
      <c r="R3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39644</v>
      </c>
      <c r="T3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2" s="253">
        <f ca="1">IF(Tabla33610673[[#This Row],[Equity]]&lt;Tabla33610673[[#This Row],[Equity Peak]],(Tabla33610673[[#This Row],[Equity Peak]]-Tabla33610673[[#This Row],[Equity]])/Tabla33610673[[#This Row],[Equity Peak]],"")</f>
        <v>1.0409126082723846E-2</v>
      </c>
      <c r="V322" s="254">
        <f>IF(B322="FX",N322,0)</f>
        <v>-0.96</v>
      </c>
      <c r="W322" s="254">
        <f>IF(D322="O",IF(V322&lt;0,V322,0),0)</f>
        <v>0</v>
      </c>
      <c r="X322" s="254">
        <f>IF(B322="COM",N322,0)</f>
        <v>0</v>
      </c>
      <c r="Y322" s="254">
        <f>IF(D322="O",IF(X322&lt;0,X322,0),0)</f>
        <v>0</v>
      </c>
      <c r="Z322" s="254">
        <f>IF(B322="IND",N322,0)</f>
        <v>0</v>
      </c>
      <c r="AA322" s="250">
        <f>IF(D322="O",IF(Z322&lt;0,Z322,0),0)</f>
        <v>0</v>
      </c>
      <c r="AB322" s="254">
        <f>IF(B322="CRYPTO",N322,0)</f>
        <v>0</v>
      </c>
      <c r="AC322" s="250">
        <f>IF(D322="O",IF(AB322&lt;0,AB322,0),0)</f>
        <v>0</v>
      </c>
      <c r="AD322" s="255">
        <f>IF(K322&lt;&gt;"",K322-E322,0)</f>
        <v>6.6666666665696539E-2</v>
      </c>
      <c r="AE322" s="255">
        <f>IF(N322&gt;0,AD322,0)</f>
        <v>0</v>
      </c>
      <c r="AF322" s="255">
        <f>IF(N322&lt;0,AD322,0)</f>
        <v>6.6666666665696539E-2</v>
      </c>
      <c r="AG322" s="255">
        <f>IF(N322=0,AD322,0)</f>
        <v>0</v>
      </c>
    </row>
    <row r="323" spans="2:33" ht="15" customHeight="1" x14ac:dyDescent="0.3">
      <c r="B323" s="196" t="s">
        <v>5</v>
      </c>
      <c r="C323" s="197" t="s">
        <v>15</v>
      </c>
      <c r="D323" s="246" t="str">
        <f>IF(E323&lt;&gt;"",IF(K323&lt;&gt;"","C","O"),"")</f>
        <v>C</v>
      </c>
      <c r="E323" s="199">
        <v>44771.541666666664</v>
      </c>
      <c r="F323" s="200" t="s">
        <v>91</v>
      </c>
      <c r="G323" s="235">
        <v>13426.27</v>
      </c>
      <c r="H323" s="235">
        <v>13391.43</v>
      </c>
      <c r="I323" s="247">
        <f>ABS(G323-H323)</f>
        <v>34.840000000000146</v>
      </c>
      <c r="J323" s="235">
        <v>14076.64</v>
      </c>
      <c r="K323" s="199">
        <v>44774.361111111109</v>
      </c>
      <c r="L323" s="235">
        <v>13434.16</v>
      </c>
      <c r="M323" s="248">
        <f>ROUND(IF(C323="L",(L323-G323),(G323-L323)),4)</f>
        <v>7.89</v>
      </c>
      <c r="N323" s="249">
        <f>IFERROR(ROUND((M323/I323),2),"")</f>
        <v>0.23</v>
      </c>
      <c r="O323" s="250">
        <f>IF(D323="O",IF(N323&lt;0,N323,0),0)</f>
        <v>0</v>
      </c>
      <c r="P323" s="251">
        <f>IF(N323&gt;= 0,N323,0)</f>
        <v>0.23</v>
      </c>
      <c r="Q323" s="251">
        <f>IF(N323&lt;0,N323,0)</f>
        <v>0</v>
      </c>
      <c r="R3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39740</v>
      </c>
      <c r="T3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3" s="253">
        <f ca="1">IF(Tabla33610673[[#This Row],[Equity]]&lt;Tabla33610673[[#This Row],[Equity Peak]],(Tabla33610673[[#This Row],[Equity Peak]]-Tabla33610673[[#This Row],[Equity]])/Tabla33610673[[#This Row],[Equity Peak]],"")</f>
        <v>8.0127805097226727E-3</v>
      </c>
      <c r="V323" s="254">
        <f>IF(B323="FX",N323,0)</f>
        <v>0</v>
      </c>
      <c r="W323" s="254">
        <f>IF(D323="O",IF(V323&lt;0,V323,0),0)</f>
        <v>0</v>
      </c>
      <c r="X323" s="254">
        <f>IF(B323="COM",N323,0)</f>
        <v>0</v>
      </c>
      <c r="Y323" s="254">
        <f>IF(D323="O",IF(X323&lt;0,X323,0),0)</f>
        <v>0</v>
      </c>
      <c r="Z323" s="254">
        <f>IF(B323="IND",N323,0)</f>
        <v>0.23</v>
      </c>
      <c r="AA323" s="250">
        <f>IF(D323="O",IF(Z323&lt;0,Z323,0),0)</f>
        <v>0</v>
      </c>
      <c r="AB323" s="254">
        <f>IF(B323="CRYPTO",N323,0)</f>
        <v>0</v>
      </c>
      <c r="AC323" s="250">
        <f>IF(D323="O",IF(AB323&lt;0,AB323,0),0)</f>
        <v>0</v>
      </c>
      <c r="AD323" s="255">
        <f>IF(K323&lt;&gt;"",K323-E323,0)</f>
        <v>2.8194444444452529</v>
      </c>
      <c r="AE323" s="255">
        <f>IF(N323&gt;0,AD323,0)</f>
        <v>2.8194444444452529</v>
      </c>
      <c r="AF323" s="255">
        <f>IF(N323&lt;0,AD323,0)</f>
        <v>0</v>
      </c>
      <c r="AG323" s="255">
        <f>IF(N323=0,AD323,0)</f>
        <v>0</v>
      </c>
    </row>
    <row r="324" spans="2:33" ht="15" customHeight="1" x14ac:dyDescent="0.3">
      <c r="B324" s="196" t="s">
        <v>7</v>
      </c>
      <c r="C324" s="197" t="s">
        <v>13</v>
      </c>
      <c r="D324" s="246" t="str">
        <f>IF(E324&lt;&gt;"",IF(K324&lt;&gt;"","C","O"),"")</f>
        <v>C</v>
      </c>
      <c r="E324" s="199">
        <v>44774.177083333336</v>
      </c>
      <c r="F324" s="200" t="s">
        <v>116</v>
      </c>
      <c r="G324" s="235">
        <v>132.27099999999999</v>
      </c>
      <c r="H324" s="235">
        <v>132.59899999999999</v>
      </c>
      <c r="I324" s="247">
        <f>ABS(G324-H324)</f>
        <v>0.32800000000000296</v>
      </c>
      <c r="J324" s="235">
        <v>128.86099999999999</v>
      </c>
      <c r="K324" s="199">
        <v>44774.259027777778</v>
      </c>
      <c r="L324" s="235">
        <v>132.59</v>
      </c>
      <c r="M324" s="248">
        <f>ROUND(IF(C324="L",(L324-G324),(G324-L324)),4)</f>
        <v>-0.31900000000000001</v>
      </c>
      <c r="N324" s="249">
        <f>IFERROR(ROUND((M324/I324),2),"")</f>
        <v>-0.97</v>
      </c>
      <c r="O324" s="250">
        <f>IF(D324="O",IF(N324&lt;0,N324,0),0)</f>
        <v>0</v>
      </c>
      <c r="P324" s="251">
        <f>IF(N324&gt;= 0,N324,0)</f>
        <v>0</v>
      </c>
      <c r="Q324" s="251">
        <f>IF(N324&lt;0,N324,0)</f>
        <v>-0.97</v>
      </c>
      <c r="R3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39717</v>
      </c>
      <c r="T3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4" s="253">
        <f ca="1">IF(Tabla33610673[[#This Row],[Equity]]&lt;Tabla33610673[[#This Row],[Equity Peak]],(Tabla33610673[[#This Row],[Equity Peak]]-Tabla33610673[[#This Row],[Equity]])/Tabla33610673[[#This Row],[Equity Peak]],"")</f>
        <v>8.5869049699208704E-3</v>
      </c>
      <c r="V324" s="254">
        <f>IF(B324="FX",N324,0)</f>
        <v>-0.97</v>
      </c>
      <c r="W324" s="254">
        <f>IF(D324="O",IF(V324&lt;0,V324,0),0)</f>
        <v>0</v>
      </c>
      <c r="X324" s="254">
        <f>IF(B324="COM",N324,0)</f>
        <v>0</v>
      </c>
      <c r="Y324" s="254">
        <f>IF(D324="O",IF(X324&lt;0,X324,0),0)</f>
        <v>0</v>
      </c>
      <c r="Z324" s="254">
        <f>IF(B324="IND",N324,0)</f>
        <v>0</v>
      </c>
      <c r="AA324" s="250">
        <f>IF(D324="O",IF(Z324&lt;0,Z324,0),0)</f>
        <v>0</v>
      </c>
      <c r="AB324" s="254">
        <f>IF(B324="CRYPTO",N324,0)</f>
        <v>0</v>
      </c>
      <c r="AC324" s="250">
        <f>IF(D324="O",IF(AB324&lt;0,AB324,0),0)</f>
        <v>0</v>
      </c>
      <c r="AD324" s="255">
        <f>IF(K324&lt;&gt;"",K324-E324,0)</f>
        <v>8.1944444442342501E-2</v>
      </c>
      <c r="AE324" s="255">
        <f>IF(N324&gt;0,AD324,0)</f>
        <v>0</v>
      </c>
      <c r="AF324" s="255">
        <f>IF(N324&lt;0,AD324,0)</f>
        <v>8.1944444442342501E-2</v>
      </c>
      <c r="AG324" s="255">
        <f>IF(N324=0,AD324,0)</f>
        <v>0</v>
      </c>
    </row>
    <row r="325" spans="2:33" ht="15" customHeight="1" x14ac:dyDescent="0.3">
      <c r="B325" s="196" t="s">
        <v>5</v>
      </c>
      <c r="C325" s="197" t="s">
        <v>15</v>
      </c>
      <c r="D325" s="246" t="str">
        <f>IF(E325&lt;&gt;"",IF(K325&lt;&gt;"","C","O"),"")</f>
        <v>C</v>
      </c>
      <c r="E325" s="199">
        <v>44771.895833333336</v>
      </c>
      <c r="F325" s="200" t="s">
        <v>93</v>
      </c>
      <c r="G325" s="235">
        <v>12920.28</v>
      </c>
      <c r="H325" s="235">
        <v>12881.16</v>
      </c>
      <c r="I325" s="247">
        <f>ABS(G325-H325)</f>
        <v>39.1200000000008</v>
      </c>
      <c r="J325" s="235">
        <v>13337.59</v>
      </c>
      <c r="K325" s="199">
        <v>44774.131944444445</v>
      </c>
      <c r="L325" s="235">
        <v>12881.16</v>
      </c>
      <c r="M325" s="248">
        <f>ROUND(IF(C325="L",(L325-G325),(G325-L325)),4)</f>
        <v>-39.119999999999997</v>
      </c>
      <c r="N325" s="249">
        <f>IFERROR(ROUND((M325/I325),2),"")</f>
        <v>-1</v>
      </c>
      <c r="O325" s="250">
        <f>IF(D325="O",IF(N325&lt;0,N325,0),0)</f>
        <v>0</v>
      </c>
      <c r="P325" s="251">
        <f>IF(N325&gt;= 0,N325,0)</f>
        <v>0</v>
      </c>
      <c r="Q325" s="251">
        <f>IF(N325&lt;0,N325,0)</f>
        <v>-1</v>
      </c>
      <c r="R3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39814</v>
      </c>
      <c r="T3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5" s="253">
        <f ca="1">IF(Tabla33610673[[#This Row],[Equity]]&lt;Tabla33610673[[#This Row],[Equity Peak]],(Tabla33610673[[#This Row],[Equity Peak]]-Tabla33610673[[#This Row],[Equity]])/Tabla33610673[[#This Row],[Equity Peak]],"")</f>
        <v>6.1655974638676015E-3</v>
      </c>
      <c r="V325" s="254">
        <f>IF(B325="FX",N325,0)</f>
        <v>0</v>
      </c>
      <c r="W325" s="254">
        <f>IF(D325="O",IF(V325&lt;0,V325,0),0)</f>
        <v>0</v>
      </c>
      <c r="X325" s="254">
        <f>IF(B325="COM",N325,0)</f>
        <v>0</v>
      </c>
      <c r="Y325" s="254">
        <f>IF(D325="O",IF(X325&lt;0,X325,0),0)</f>
        <v>0</v>
      </c>
      <c r="Z325" s="254">
        <f>IF(B325="IND",N325,0)</f>
        <v>-1</v>
      </c>
      <c r="AA325" s="250">
        <f>IF(D325="O",IF(Z325&lt;0,Z325,0),0)</f>
        <v>0</v>
      </c>
      <c r="AB325" s="254">
        <f>IF(B325="CRYPTO",N325,0)</f>
        <v>0</v>
      </c>
      <c r="AC325" s="250">
        <f>IF(D325="O",IF(AB325&lt;0,AB325,0),0)</f>
        <v>0</v>
      </c>
      <c r="AD325" s="255">
        <f>IF(K325&lt;&gt;"",K325-E325,0)</f>
        <v>2.2361111111094942</v>
      </c>
      <c r="AE325" s="255">
        <f>IF(N325&gt;0,AD325,0)</f>
        <v>0</v>
      </c>
      <c r="AF325" s="255">
        <f>IF(N325&lt;0,AD325,0)</f>
        <v>2.2361111111094942</v>
      </c>
      <c r="AG325" s="255">
        <f>IF(N325=0,AD325,0)</f>
        <v>0</v>
      </c>
    </row>
    <row r="326" spans="2:33" ht="15" customHeight="1" x14ac:dyDescent="0.3">
      <c r="B326" s="196" t="s">
        <v>5</v>
      </c>
      <c r="C326" s="197" t="s">
        <v>15</v>
      </c>
      <c r="D326" s="246" t="str">
        <f>IF(E326&lt;&gt;"",IF(K326&lt;&gt;"","C","O"),"")</f>
        <v>C</v>
      </c>
      <c r="E326" s="199">
        <v>44771.895833333336</v>
      </c>
      <c r="F326" s="200" t="s">
        <v>92</v>
      </c>
      <c r="G326" s="235">
        <v>12920.28</v>
      </c>
      <c r="H326" s="235">
        <v>12885.73</v>
      </c>
      <c r="I326" s="247">
        <f>ABS(G326-H326)</f>
        <v>34.550000000001091</v>
      </c>
      <c r="J326" s="235">
        <v>13565.23</v>
      </c>
      <c r="K326" s="199">
        <v>44774.115277777775</v>
      </c>
      <c r="L326" s="235">
        <v>12885.73</v>
      </c>
      <c r="M326" s="248">
        <f>ROUND(IF(C326="L",(L326-G326),(G326-L326)),4)</f>
        <v>-34.549999999999997</v>
      </c>
      <c r="N326" s="249">
        <f>IFERROR(ROUND((M326/I326),2),"")</f>
        <v>-1</v>
      </c>
      <c r="O326" s="250">
        <f>IF(D326="O",IF(N326&lt;0,N326,0),0)</f>
        <v>0</v>
      </c>
      <c r="P326" s="251">
        <f>IF(N326&gt;= 0,N326,0)</f>
        <v>0</v>
      </c>
      <c r="Q326" s="251">
        <f>IF(N326&lt;0,N326,0)</f>
        <v>-1</v>
      </c>
      <c r="R3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39914</v>
      </c>
      <c r="T3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6" s="253">
        <f ca="1">IF(Tabla33610673[[#This Row],[Equity]]&lt;Tabla33610673[[#This Row],[Equity Peak]],(Tabla33610673[[#This Row],[Equity Peak]]-Tabla33610673[[#This Row],[Equity]])/Tabla33610673[[#This Row],[Equity Peak]],"")</f>
        <v>3.6694041586580466E-3</v>
      </c>
      <c r="V326" s="254">
        <f>IF(B326="FX",N326,0)</f>
        <v>0</v>
      </c>
      <c r="W326" s="254">
        <f>IF(D326="O",IF(V326&lt;0,V326,0),0)</f>
        <v>0</v>
      </c>
      <c r="X326" s="254">
        <f>IF(B326="COM",N326,0)</f>
        <v>0</v>
      </c>
      <c r="Y326" s="254">
        <f>IF(D326="O",IF(X326&lt;0,X326,0),0)</f>
        <v>0</v>
      </c>
      <c r="Z326" s="254">
        <f>IF(B326="IND",N326,0)</f>
        <v>-1</v>
      </c>
      <c r="AA326" s="250">
        <f>IF(D326="O",IF(Z326&lt;0,Z326,0),0)</f>
        <v>0</v>
      </c>
      <c r="AB326" s="254">
        <f>IF(B326="CRYPTO",N326,0)</f>
        <v>0</v>
      </c>
      <c r="AC326" s="250">
        <f>IF(D326="O",IF(AB326&lt;0,AB326,0),0)</f>
        <v>0</v>
      </c>
      <c r="AD326" s="255">
        <f>IF(K326&lt;&gt;"",K326-E326,0)</f>
        <v>2.2194444444394321</v>
      </c>
      <c r="AE326" s="255">
        <f>IF(N326&gt;0,AD326,0)</f>
        <v>0</v>
      </c>
      <c r="AF326" s="255">
        <f>IF(N326&lt;0,AD326,0)</f>
        <v>2.2194444444394321</v>
      </c>
      <c r="AG326" s="255">
        <f>IF(N326=0,AD326,0)</f>
        <v>0</v>
      </c>
    </row>
    <row r="327" spans="2:33" ht="15" customHeight="1" x14ac:dyDescent="0.3">
      <c r="B327" s="196" t="s">
        <v>5</v>
      </c>
      <c r="C327" s="197" t="s">
        <v>15</v>
      </c>
      <c r="D327" s="246" t="str">
        <f>IF(E327&lt;&gt;"",IF(K327&lt;&gt;"","C","O"),"")</f>
        <v>C</v>
      </c>
      <c r="E327" s="199">
        <v>44770.864583333336</v>
      </c>
      <c r="F327" s="200" t="s">
        <v>92</v>
      </c>
      <c r="G327" s="235">
        <v>12694.58</v>
      </c>
      <c r="H327" s="235">
        <v>12659.44</v>
      </c>
      <c r="I327" s="247">
        <f>ABS(G327-H327)</f>
        <v>35.139999999999418</v>
      </c>
      <c r="J327" s="235">
        <v>13350.47</v>
      </c>
      <c r="K327" s="199">
        <v>44771.688888888886</v>
      </c>
      <c r="L327" s="235">
        <v>12752.78</v>
      </c>
      <c r="M327" s="248">
        <f>ROUND(IF(C327="L",(L327-G327),(G327-L327)),4)</f>
        <v>58.2</v>
      </c>
      <c r="N327" s="249">
        <f>IFERROR(ROUND((M327/I327),2),"")</f>
        <v>1.66</v>
      </c>
      <c r="O327" s="250">
        <f>IF(D327="O",IF(N327&lt;0,N327,0),0)</f>
        <v>0</v>
      </c>
      <c r="P327" s="251">
        <f>IF(N327&gt;= 0,N327,0)</f>
        <v>1.66</v>
      </c>
      <c r="Q327" s="251">
        <f>IF(N327&lt;0,N327,0)</f>
        <v>0</v>
      </c>
      <c r="R3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40014</v>
      </c>
      <c r="T3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7" s="253">
        <f ca="1">IF(Tabla33610673[[#This Row],[Equity]]&lt;Tabla33610673[[#This Row],[Equity Peak]],(Tabla33610673[[#This Row],[Equity Peak]]-Tabla33610673[[#This Row],[Equity]])/Tabla33610673[[#This Row],[Equity Peak]],"")</f>
        <v>1.173210853448491E-3</v>
      </c>
      <c r="V327" s="254">
        <f>IF(B327="FX",N327,0)</f>
        <v>0</v>
      </c>
      <c r="W327" s="254">
        <f>IF(D327="O",IF(V327&lt;0,V327,0),0)</f>
        <v>0</v>
      </c>
      <c r="X327" s="254">
        <f>IF(B327="COM",N327,0)</f>
        <v>0</v>
      </c>
      <c r="Y327" s="254">
        <f>IF(D327="O",IF(X327&lt;0,X327,0),0)</f>
        <v>0</v>
      </c>
      <c r="Z327" s="254">
        <f>IF(B327="IND",N327,0)</f>
        <v>1.66</v>
      </c>
      <c r="AA327" s="250">
        <f>IF(D327="O",IF(Z327&lt;0,Z327,0),0)</f>
        <v>0</v>
      </c>
      <c r="AB327" s="254">
        <f>IF(B327="CRYPTO",N327,0)</f>
        <v>0</v>
      </c>
      <c r="AC327" s="250">
        <f>IF(D327="O",IF(AB327&lt;0,AB327,0),0)</f>
        <v>0</v>
      </c>
      <c r="AD327" s="255">
        <f>IF(K327&lt;&gt;"",K327-E327,0)</f>
        <v>0.82430555555038154</v>
      </c>
      <c r="AE327" s="255">
        <f>IF(N327&gt;0,AD327,0)</f>
        <v>0.82430555555038154</v>
      </c>
      <c r="AF327" s="255">
        <f>IF(N327&lt;0,AD327,0)</f>
        <v>0</v>
      </c>
      <c r="AG327" s="255">
        <f>IF(N327=0,AD327,0)</f>
        <v>0</v>
      </c>
    </row>
    <row r="328" spans="2:33" ht="15" customHeight="1" x14ac:dyDescent="0.3">
      <c r="B328" s="196" t="s">
        <v>5</v>
      </c>
      <c r="C328" s="197" t="s">
        <v>15</v>
      </c>
      <c r="D328" s="246" t="str">
        <f>IF(E328&lt;&gt;"",IF(K328&lt;&gt;"","C","O"),"")</f>
        <v>C</v>
      </c>
      <c r="E328" s="199">
        <v>44770.864583333336</v>
      </c>
      <c r="F328" s="200" t="s">
        <v>93</v>
      </c>
      <c r="G328" s="235">
        <v>12694.58</v>
      </c>
      <c r="H328" s="235">
        <v>12652.65</v>
      </c>
      <c r="I328" s="247">
        <f>ABS(G328-H328)</f>
        <v>41.930000000000291</v>
      </c>
      <c r="J328" s="235">
        <v>13141.86</v>
      </c>
      <c r="K328" s="199">
        <v>44771.645833333336</v>
      </c>
      <c r="L328" s="235">
        <v>12799.07</v>
      </c>
      <c r="M328" s="248">
        <f>ROUND(IF(C328="L",(L328-G328),(G328-L328)),4)</f>
        <v>104.49</v>
      </c>
      <c r="N328" s="249">
        <f>IFERROR(ROUND((M328/I328),2),"")</f>
        <v>2.4900000000000002</v>
      </c>
      <c r="O328" s="250">
        <f>IF(D328="O",IF(N328&lt;0,N328,0),0)</f>
        <v>0</v>
      </c>
      <c r="P328" s="251">
        <f>IF(N328&gt;= 0,N328,0)</f>
        <v>2.4900000000000002</v>
      </c>
      <c r="Q328" s="251">
        <f>IF(N328&lt;0,N328,0)</f>
        <v>0</v>
      </c>
      <c r="R3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39848</v>
      </c>
      <c r="T3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8" s="253">
        <f ca="1">IF(Tabla33610673[[#This Row],[Equity]]&lt;Tabla33610673[[#This Row],[Equity Peak]],(Tabla33610673[[#This Row],[Equity Peak]]-Tabla33610673[[#This Row],[Equity]])/Tabla33610673[[#This Row],[Equity Peak]],"")</f>
        <v>5.3168917400963529E-3</v>
      </c>
      <c r="V328" s="254">
        <f>IF(B328="FX",N328,0)</f>
        <v>0</v>
      </c>
      <c r="W328" s="254">
        <f>IF(D328="O",IF(V328&lt;0,V328,0),0)</f>
        <v>0</v>
      </c>
      <c r="X328" s="254">
        <f>IF(B328="COM",N328,0)</f>
        <v>0</v>
      </c>
      <c r="Y328" s="254">
        <f>IF(D328="O",IF(X328&lt;0,X328,0),0)</f>
        <v>0</v>
      </c>
      <c r="Z328" s="254">
        <f>IF(B328="IND",N328,0)</f>
        <v>2.4900000000000002</v>
      </c>
      <c r="AA328" s="250">
        <f>IF(D328="O",IF(Z328&lt;0,Z328,0),0)</f>
        <v>0</v>
      </c>
      <c r="AB328" s="254">
        <f>IF(B328="CRYPTO",N328,0)</f>
        <v>0</v>
      </c>
      <c r="AC328" s="250">
        <f>IF(D328="O",IF(AB328&lt;0,AB328,0),0)</f>
        <v>0</v>
      </c>
      <c r="AD328" s="255">
        <f>IF(K328&lt;&gt;"",K328-E328,0)</f>
        <v>0.78125</v>
      </c>
      <c r="AE328" s="255">
        <f>IF(N328&gt;0,AD328,0)</f>
        <v>0.78125</v>
      </c>
      <c r="AF328" s="255">
        <f>IF(N328&lt;0,AD328,0)</f>
        <v>0</v>
      </c>
      <c r="AG328" s="255">
        <f>IF(N328=0,AD328,0)</f>
        <v>0</v>
      </c>
    </row>
    <row r="329" spans="2:33" ht="15" customHeight="1" x14ac:dyDescent="0.3">
      <c r="B329" s="196" t="s">
        <v>19</v>
      </c>
      <c r="C329" s="197" t="s">
        <v>15</v>
      </c>
      <c r="D329" s="246" t="str">
        <f>IF(E329&lt;&gt;"",IF(K329&lt;&gt;"","C","O"),"")</f>
        <v>C</v>
      </c>
      <c r="E329" s="199">
        <v>44771.260416666664</v>
      </c>
      <c r="F329" s="200" t="s">
        <v>88</v>
      </c>
      <c r="G329" s="235">
        <v>1758.09</v>
      </c>
      <c r="H329" s="235">
        <v>1754.49</v>
      </c>
      <c r="I329" s="247">
        <f>ABS(G329-H329)</f>
        <v>3.5999999999999091</v>
      </c>
      <c r="J329" s="235">
        <v>1801.33</v>
      </c>
      <c r="K329" s="199">
        <v>44771.534722222219</v>
      </c>
      <c r="L329" s="235">
        <v>1757.63</v>
      </c>
      <c r="M329" s="248">
        <f>ROUND(IF(C329="L",(L329-G329),(G329-L329)),4)</f>
        <v>-0.46</v>
      </c>
      <c r="N329" s="249">
        <f>IFERROR(ROUND((M329/I329),2),"")</f>
        <v>-0.13</v>
      </c>
      <c r="O329" s="250">
        <f>IF(D329="O",IF(N329&lt;0,N329,0),0)</f>
        <v>0</v>
      </c>
      <c r="P329" s="251">
        <f>IF(N329&gt;= 0,N329,0)</f>
        <v>0</v>
      </c>
      <c r="Q329" s="251">
        <f>IF(N329&lt;0,N329,0)</f>
        <v>-0.13</v>
      </c>
      <c r="R3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39599</v>
      </c>
      <c r="T3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29" s="253">
        <f ca="1">IF(Tabla33610673[[#This Row],[Equity]]&lt;Tabla33610673[[#This Row],[Equity Peak]],(Tabla33610673[[#This Row],[Equity Peak]]-Tabla33610673[[#This Row],[Equity]])/Tabla33610673[[#This Row],[Equity Peak]],"")</f>
        <v>1.1532413070068146E-2</v>
      </c>
      <c r="V329" s="254">
        <f>IF(B329="FX",N329,0)</f>
        <v>0</v>
      </c>
      <c r="W329" s="254">
        <f>IF(D329="O",IF(V329&lt;0,V329,0),0)</f>
        <v>0</v>
      </c>
      <c r="X329" s="254">
        <f>IF(B329="COM",N329,0)</f>
        <v>-0.13</v>
      </c>
      <c r="Y329" s="254">
        <f>IF(D329="O",IF(X329&lt;0,X329,0),0)</f>
        <v>0</v>
      </c>
      <c r="Z329" s="254">
        <f>IF(B329="IND",N329,0)</f>
        <v>0</v>
      </c>
      <c r="AA329" s="250">
        <f>IF(D329="O",IF(Z329&lt;0,Z329,0),0)</f>
        <v>0</v>
      </c>
      <c r="AB329" s="254">
        <f>IF(B329="CRYPTO",N329,0)</f>
        <v>0</v>
      </c>
      <c r="AC329" s="250">
        <f>IF(D329="O",IF(AB329&lt;0,AB329,0),0)</f>
        <v>0</v>
      </c>
      <c r="AD329" s="255">
        <f>IF(K329&lt;&gt;"",K329-E329,0)</f>
        <v>0.27430555555474712</v>
      </c>
      <c r="AE329" s="255">
        <f>IF(N329&gt;0,AD329,0)</f>
        <v>0</v>
      </c>
      <c r="AF329" s="255">
        <f>IF(N329&lt;0,AD329,0)</f>
        <v>0.27430555555474712</v>
      </c>
      <c r="AG329" s="255">
        <f>IF(N329=0,AD329,0)</f>
        <v>0</v>
      </c>
    </row>
    <row r="330" spans="2:33" ht="15" customHeight="1" x14ac:dyDescent="0.3">
      <c r="B330" s="196" t="s">
        <v>7</v>
      </c>
      <c r="C330" s="197" t="s">
        <v>13</v>
      </c>
      <c r="D330" s="246" t="str">
        <f>IF(E330&lt;&gt;"",IF(K330&lt;&gt;"","C","O"),"")</f>
        <v>C</v>
      </c>
      <c r="E330" s="199">
        <v>44770.65625</v>
      </c>
      <c r="F330" s="200" t="s">
        <v>116</v>
      </c>
      <c r="G330" s="235">
        <v>134.88300000000001</v>
      </c>
      <c r="H330" s="235">
        <v>135.179</v>
      </c>
      <c r="I330" s="247">
        <f>ABS(G330-H330)</f>
        <v>0.29599999999999227</v>
      </c>
      <c r="J330" s="235">
        <v>131.80500000000001</v>
      </c>
      <c r="K330" s="199">
        <v>44771.490277777775</v>
      </c>
      <c r="L330" s="235">
        <v>133.03299999999999</v>
      </c>
      <c r="M330" s="248">
        <f>ROUND(IF(C330="L",(L330-G330),(G330-L330)),4)</f>
        <v>1.85</v>
      </c>
      <c r="N330" s="249">
        <f>IFERROR(ROUND((M330/I330),2),"")</f>
        <v>6.25</v>
      </c>
      <c r="O330" s="250">
        <f>IF(D330="O",IF(N330&lt;0,N330,0),0)</f>
        <v>0</v>
      </c>
      <c r="P330" s="251">
        <f>IF(N330&gt;= 0,N330,0)</f>
        <v>6.25</v>
      </c>
      <c r="Q330" s="251">
        <f>IF(N330&lt;0,N330,0)</f>
        <v>0</v>
      </c>
      <c r="R3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39612</v>
      </c>
      <c r="T3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0" s="253">
        <f ca="1">IF(Tabla33610673[[#This Row],[Equity]]&lt;Tabla33610673[[#This Row],[Equity Peak]],(Tabla33610673[[#This Row],[Equity Peak]]-Tabla33610673[[#This Row],[Equity]])/Tabla33610673[[#This Row],[Equity Peak]],"")</f>
        <v>1.1207907940390904E-2</v>
      </c>
      <c r="V330" s="254">
        <f>IF(B330="FX",N330,0)</f>
        <v>6.25</v>
      </c>
      <c r="W330" s="254">
        <f>IF(D330="O",IF(V330&lt;0,V330,0),0)</f>
        <v>0</v>
      </c>
      <c r="X330" s="254">
        <f>IF(B330="COM",N330,0)</f>
        <v>0</v>
      </c>
      <c r="Y330" s="254">
        <f>IF(D330="O",IF(X330&lt;0,X330,0),0)</f>
        <v>0</v>
      </c>
      <c r="Z330" s="254">
        <f>IF(B330="IND",N330,0)</f>
        <v>0</v>
      </c>
      <c r="AA330" s="250">
        <f>IF(D330="O",IF(Z330&lt;0,Z330,0),0)</f>
        <v>0</v>
      </c>
      <c r="AB330" s="254">
        <f>IF(B330="CRYPTO",N330,0)</f>
        <v>0</v>
      </c>
      <c r="AC330" s="250">
        <f>IF(D330="O",IF(AB330&lt;0,AB330,0),0)</f>
        <v>0</v>
      </c>
      <c r="AD330" s="255">
        <f>IF(K330&lt;&gt;"",K330-E330,0)</f>
        <v>0.83402777777519077</v>
      </c>
      <c r="AE330" s="255">
        <f>IF(N330&gt;0,AD330,0)</f>
        <v>0.83402777777519077</v>
      </c>
      <c r="AF330" s="255">
        <f>IF(N330&lt;0,AD330,0)</f>
        <v>0</v>
      </c>
      <c r="AG330" s="255">
        <f>IF(N330=0,AD330,0)</f>
        <v>0</v>
      </c>
    </row>
    <row r="331" spans="2:33" ht="15" customHeight="1" x14ac:dyDescent="0.3">
      <c r="B331" s="196" t="s">
        <v>5</v>
      </c>
      <c r="C331" s="197" t="s">
        <v>15</v>
      </c>
      <c r="D331" s="246" t="str">
        <f>IF(E331&lt;&gt;"",IF(K331&lt;&gt;"","C","O"),"")</f>
        <v>C</v>
      </c>
      <c r="E331" s="199">
        <v>44771.145833333336</v>
      </c>
      <c r="F331" s="200" t="s">
        <v>91</v>
      </c>
      <c r="G331" s="235">
        <v>13388.02</v>
      </c>
      <c r="H331" s="235">
        <v>13351.3</v>
      </c>
      <c r="I331" s="247">
        <f>ABS(G331-H331)</f>
        <v>36.720000000001164</v>
      </c>
      <c r="J331" s="235">
        <v>14073.39</v>
      </c>
      <c r="K331" s="199">
        <v>44771.341666666667</v>
      </c>
      <c r="L331" s="235">
        <v>13351.3</v>
      </c>
      <c r="M331" s="248">
        <f>ROUND(IF(C331="L",(L331-G331),(G331-L331)),4)</f>
        <v>-36.72</v>
      </c>
      <c r="N331" s="249">
        <f>IFERROR(ROUND((M331/I331),2),"")</f>
        <v>-1</v>
      </c>
      <c r="O331" s="250">
        <f>IF(D331="O",IF(N331&lt;0,N331,0),0)</f>
        <v>0</v>
      </c>
      <c r="P331" s="251">
        <f>IF(N331&gt;= 0,N331,0)</f>
        <v>0</v>
      </c>
      <c r="Q331" s="251">
        <f>IF(N331&lt;0,N331,0)</f>
        <v>-1</v>
      </c>
      <c r="R3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38987</v>
      </c>
      <c r="T3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1" s="253">
        <f ca="1">IF(Tabla33610673[[#This Row],[Equity]]&lt;Tabla33610673[[#This Row],[Equity Peak]],(Tabla33610673[[#This Row],[Equity Peak]]-Tabla33610673[[#This Row],[Equity]])/Tabla33610673[[#This Row],[Equity Peak]],"")</f>
        <v>2.6809116097950624E-2</v>
      </c>
      <c r="V331" s="254">
        <f>IF(B331="FX",N331,0)</f>
        <v>0</v>
      </c>
      <c r="W331" s="254">
        <f>IF(D331="O",IF(V331&lt;0,V331,0),0)</f>
        <v>0</v>
      </c>
      <c r="X331" s="254">
        <f>IF(B331="COM",N331,0)</f>
        <v>0</v>
      </c>
      <c r="Y331" s="254">
        <f>IF(D331="O",IF(X331&lt;0,X331,0),0)</f>
        <v>0</v>
      </c>
      <c r="Z331" s="254">
        <f>IF(B331="IND",N331,0)</f>
        <v>-1</v>
      </c>
      <c r="AA331" s="250">
        <f>IF(D331="O",IF(Z331&lt;0,Z331,0),0)</f>
        <v>0</v>
      </c>
      <c r="AB331" s="254">
        <f>IF(B331="CRYPTO",N331,0)</f>
        <v>0</v>
      </c>
      <c r="AC331" s="250">
        <f>IF(D331="O",IF(AB331&lt;0,AB331,0),0)</f>
        <v>0</v>
      </c>
      <c r="AD331" s="255">
        <f>IF(K331&lt;&gt;"",K331-E331,0)</f>
        <v>0.19583333333139308</v>
      </c>
      <c r="AE331" s="255">
        <f>IF(N331&gt;0,AD331,0)</f>
        <v>0</v>
      </c>
      <c r="AF331" s="255">
        <f>IF(N331&lt;0,AD331,0)</f>
        <v>0.19583333333139308</v>
      </c>
      <c r="AG331" s="255">
        <f>IF(N331=0,AD331,0)</f>
        <v>0</v>
      </c>
    </row>
    <row r="332" spans="2:33" ht="15" customHeight="1" x14ac:dyDescent="0.3">
      <c r="B332" s="196" t="s">
        <v>19</v>
      </c>
      <c r="C332" s="197" t="s">
        <v>15</v>
      </c>
      <c r="D332" s="246" t="str">
        <f>IF(E332&lt;&gt;"",IF(K332&lt;&gt;"","C","O"),"")</f>
        <v>C</v>
      </c>
      <c r="E332" s="199">
        <v>44770.75</v>
      </c>
      <c r="F332" s="200" t="s">
        <v>88</v>
      </c>
      <c r="G332" s="235">
        <v>1755.26</v>
      </c>
      <c r="H332" s="235">
        <v>1751.46</v>
      </c>
      <c r="I332" s="247">
        <f>ABS(G332-H332)</f>
        <v>3.7999999999999545</v>
      </c>
      <c r="J332" s="235">
        <v>1800.91</v>
      </c>
      <c r="K332" s="199">
        <v>44770.803472222222</v>
      </c>
      <c r="L332" s="235">
        <v>1751.46</v>
      </c>
      <c r="M332" s="248">
        <f>ROUND(IF(C332="L",(L332-G332),(G332-L332)),4)</f>
        <v>-3.8</v>
      </c>
      <c r="N332" s="249">
        <f>IFERROR(ROUND((M332/I332),2),"")</f>
        <v>-1</v>
      </c>
      <c r="O332" s="250">
        <f>IF(D332="O",IF(N332&lt;0,N332,0),0)</f>
        <v>0</v>
      </c>
      <c r="P332" s="251">
        <f>IF(N332&gt;= 0,N332,0)</f>
        <v>0</v>
      </c>
      <c r="Q332" s="251">
        <f>IF(N332&lt;0,N332,0)</f>
        <v>-1</v>
      </c>
      <c r="R3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39087</v>
      </c>
      <c r="T3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2" s="253">
        <f ca="1">IF(Tabla33610673[[#This Row],[Equity]]&lt;Tabla33610673[[#This Row],[Equity Peak]],(Tabla33610673[[#This Row],[Equity Peak]]-Tabla33610673[[#This Row],[Equity]])/Tabla33610673[[#This Row],[Equity Peak]],"")</f>
        <v>2.4312922792741071E-2</v>
      </c>
      <c r="V332" s="254">
        <f>IF(B332="FX",N332,0)</f>
        <v>0</v>
      </c>
      <c r="W332" s="254">
        <f>IF(D332="O",IF(V332&lt;0,V332,0),0)</f>
        <v>0</v>
      </c>
      <c r="X332" s="254">
        <f>IF(B332="COM",N332,0)</f>
        <v>-1</v>
      </c>
      <c r="Y332" s="254">
        <f>IF(D332="O",IF(X332&lt;0,X332,0),0)</f>
        <v>0</v>
      </c>
      <c r="Z332" s="254">
        <f>IF(B332="IND",N332,0)</f>
        <v>0</v>
      </c>
      <c r="AA332" s="250">
        <f>IF(D332="O",IF(Z332&lt;0,Z332,0),0)</f>
        <v>0</v>
      </c>
      <c r="AB332" s="254">
        <f>IF(B332="CRYPTO",N332,0)</f>
        <v>0</v>
      </c>
      <c r="AC332" s="250">
        <f>IF(D332="O",IF(AB332&lt;0,AB332,0),0)</f>
        <v>0</v>
      </c>
      <c r="AD332" s="255">
        <f>IF(K332&lt;&gt;"",K332-E332,0)</f>
        <v>5.3472222221898846E-2</v>
      </c>
      <c r="AE332" s="255">
        <f>IF(N332&gt;0,AD332,0)</f>
        <v>0</v>
      </c>
      <c r="AF332" s="255">
        <f>IF(N332&lt;0,AD332,0)</f>
        <v>5.3472222221898846E-2</v>
      </c>
      <c r="AG332" s="255">
        <f>IF(N332=0,AD332,0)</f>
        <v>0</v>
      </c>
    </row>
    <row r="333" spans="2:33" ht="15" customHeight="1" x14ac:dyDescent="0.3">
      <c r="B333" s="196" t="s">
        <v>7</v>
      </c>
      <c r="C333" s="197" t="s">
        <v>13</v>
      </c>
      <c r="D333" s="246" t="str">
        <f>IF(E333&lt;&gt;"",IF(K333&lt;&gt;"","C","O"),"")</f>
        <v>C</v>
      </c>
      <c r="E333" s="199">
        <v>44770.53125</v>
      </c>
      <c r="F333" s="200" t="s">
        <v>115</v>
      </c>
      <c r="G333" s="235">
        <v>164.50299999999999</v>
      </c>
      <c r="H333" s="235">
        <v>165.03899999999999</v>
      </c>
      <c r="I333" s="247">
        <f>ABS(G333-H333)</f>
        <v>0.53600000000000136</v>
      </c>
      <c r="J333" s="235">
        <v>162.97200000000001</v>
      </c>
      <c r="K333" s="199">
        <v>44770.765277777777</v>
      </c>
      <c r="L333" s="235">
        <v>162.97200000000001</v>
      </c>
      <c r="M333" s="248">
        <f>ROUND(IF(C333="L",(L333-G333),(G333-L333)),4)</f>
        <v>1.5309999999999999</v>
      </c>
      <c r="N333" s="249">
        <f>IFERROR(ROUND((M333/I333),2),"")</f>
        <v>2.86</v>
      </c>
      <c r="O333" s="250">
        <f>IF(D333="O",IF(N333&lt;0,N333,0),0)</f>
        <v>0</v>
      </c>
      <c r="P333" s="251">
        <f>IF(N333&gt;= 0,N333,0)</f>
        <v>2.86</v>
      </c>
      <c r="Q333" s="251">
        <f>IF(N333&lt;0,N333,0)</f>
        <v>0</v>
      </c>
      <c r="R3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39187</v>
      </c>
      <c r="T3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3" s="253">
        <f ca="1">IF(Tabla33610673[[#This Row],[Equity]]&lt;Tabla33610673[[#This Row],[Equity Peak]],(Tabla33610673[[#This Row],[Equity Peak]]-Tabla33610673[[#This Row],[Equity]])/Tabla33610673[[#This Row],[Equity Peak]],"")</f>
        <v>2.1816729487531515E-2</v>
      </c>
      <c r="V333" s="254">
        <f>IF(B333="FX",N333,0)</f>
        <v>2.86</v>
      </c>
      <c r="W333" s="254">
        <f>IF(D333="O",IF(V333&lt;0,V333,0),0)</f>
        <v>0</v>
      </c>
      <c r="X333" s="254">
        <f>IF(B333="COM",N333,0)</f>
        <v>0</v>
      </c>
      <c r="Y333" s="254">
        <f>IF(D333="O",IF(X333&lt;0,X333,0),0)</f>
        <v>0</v>
      </c>
      <c r="Z333" s="254">
        <f>IF(B333="IND",N333,0)</f>
        <v>0</v>
      </c>
      <c r="AA333" s="250">
        <f>IF(D333="O",IF(Z333&lt;0,Z333,0),0)</f>
        <v>0</v>
      </c>
      <c r="AB333" s="254">
        <f>IF(B333="CRYPTO",N333,0)</f>
        <v>0</v>
      </c>
      <c r="AC333" s="250">
        <f>IF(D333="O",IF(AB333&lt;0,AB333,0),0)</f>
        <v>0</v>
      </c>
      <c r="AD333" s="255">
        <f>IF(K333&lt;&gt;"",K333-E333,0)</f>
        <v>0.23402777777664596</v>
      </c>
      <c r="AE333" s="255">
        <f>IF(N333&gt;0,AD333,0)</f>
        <v>0.23402777777664596</v>
      </c>
      <c r="AF333" s="255">
        <f>IF(N333&lt;0,AD333,0)</f>
        <v>0</v>
      </c>
      <c r="AG333" s="255">
        <f>IF(N333=0,AD333,0)</f>
        <v>0</v>
      </c>
    </row>
    <row r="334" spans="2:33" ht="15" customHeight="1" x14ac:dyDescent="0.3">
      <c r="B334" s="196" t="s">
        <v>19</v>
      </c>
      <c r="C334" s="197" t="s">
        <v>15</v>
      </c>
      <c r="D334" s="246" t="str">
        <f>IF(E334&lt;&gt;"",IF(K334&lt;&gt;"","C","O"),"")</f>
        <v>C</v>
      </c>
      <c r="E334" s="199">
        <v>44770.6875</v>
      </c>
      <c r="F334" s="200" t="s">
        <v>88</v>
      </c>
      <c r="G334" s="235">
        <v>1752.62</v>
      </c>
      <c r="H334" s="235">
        <v>1748.9</v>
      </c>
      <c r="I334" s="247">
        <f>ABS(G334-H334)</f>
        <v>3.7199999999997999</v>
      </c>
      <c r="J334" s="235">
        <v>1797.26</v>
      </c>
      <c r="K334" s="199">
        <v>44770.702777777777</v>
      </c>
      <c r="L334" s="235">
        <v>1748.9</v>
      </c>
      <c r="M334" s="248">
        <f>ROUND(IF(C334="L",(L334-G334),(G334-L334)),4)</f>
        <v>-3.72</v>
      </c>
      <c r="N334" s="249">
        <f>IFERROR(ROUND((M334/I334),2),"")</f>
        <v>-1</v>
      </c>
      <c r="O334" s="250">
        <f>IF(D334="O",IF(N334&lt;0,N334,0),0)</f>
        <v>0</v>
      </c>
      <c r="P334" s="251">
        <f>IF(N334&gt;= 0,N334,0)</f>
        <v>0</v>
      </c>
      <c r="Q334" s="251">
        <f>IF(N334&lt;0,N334,0)</f>
        <v>-1</v>
      </c>
      <c r="R3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38901</v>
      </c>
      <c r="T3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4" s="253">
        <f ca="1">IF(Tabla33610673[[#This Row],[Equity]]&lt;Tabla33610673[[#This Row],[Equity Peak]],(Tabla33610673[[#This Row],[Equity Peak]]-Tabla33610673[[#This Row],[Equity]])/Tabla33610673[[#This Row],[Equity Peak]],"")</f>
        <v>2.8955842340430842E-2</v>
      </c>
      <c r="V334" s="254">
        <f>IF(B334="FX",N334,0)</f>
        <v>0</v>
      </c>
      <c r="W334" s="254">
        <f>IF(D334="O",IF(V334&lt;0,V334,0),0)</f>
        <v>0</v>
      </c>
      <c r="X334" s="254">
        <f>IF(B334="COM",N334,0)</f>
        <v>-1</v>
      </c>
      <c r="Y334" s="254">
        <f>IF(D334="O",IF(X334&lt;0,X334,0),0)</f>
        <v>0</v>
      </c>
      <c r="Z334" s="254">
        <f>IF(B334="IND",N334,0)</f>
        <v>0</v>
      </c>
      <c r="AA334" s="250">
        <f>IF(D334="O",IF(Z334&lt;0,Z334,0),0)</f>
        <v>0</v>
      </c>
      <c r="AB334" s="254">
        <f>IF(B334="CRYPTO",N334,0)</f>
        <v>0</v>
      </c>
      <c r="AC334" s="250">
        <f>IF(D334="O",IF(AB334&lt;0,AB334,0),0)</f>
        <v>0</v>
      </c>
      <c r="AD334" s="255">
        <f>IF(K334&lt;&gt;"",K334-E334,0)</f>
        <v>1.5277777776645962E-2</v>
      </c>
      <c r="AE334" s="255">
        <f>IF(N334&gt;0,AD334,0)</f>
        <v>0</v>
      </c>
      <c r="AF334" s="255">
        <f>IF(N334&lt;0,AD334,0)</f>
        <v>1.5277777776645962E-2</v>
      </c>
      <c r="AG334" s="255">
        <f>IF(N334=0,AD334,0)</f>
        <v>0</v>
      </c>
    </row>
    <row r="335" spans="2:33" ht="15" customHeight="1" x14ac:dyDescent="0.3">
      <c r="B335" s="196" t="s">
        <v>19</v>
      </c>
      <c r="C335" s="197" t="s">
        <v>15</v>
      </c>
      <c r="D335" s="246" t="str">
        <f>IF(E335&lt;&gt;"",IF(K335&lt;&gt;"","C","O"),"")</f>
        <v>C</v>
      </c>
      <c r="E335" s="199">
        <v>44770.46875</v>
      </c>
      <c r="F335" s="200" t="s">
        <v>88</v>
      </c>
      <c r="G335" s="235">
        <v>1747.42</v>
      </c>
      <c r="H335" s="235">
        <v>1743.79</v>
      </c>
      <c r="I335" s="247">
        <f>ABS(G335-H335)</f>
        <v>3.6300000000001091</v>
      </c>
      <c r="J335" s="235">
        <v>1790.96</v>
      </c>
      <c r="K335" s="199">
        <v>44770.534722222219</v>
      </c>
      <c r="L335" s="235">
        <v>1743.79</v>
      </c>
      <c r="M335" s="248">
        <f>ROUND(IF(C335="L",(L335-G335),(G335-L335)),4)</f>
        <v>-3.63</v>
      </c>
      <c r="N335" s="249">
        <f>IFERROR(ROUND((M335/I335),2),"")</f>
        <v>-1</v>
      </c>
      <c r="O335" s="250">
        <f>IF(D335="O",IF(N335&lt;0,N335,0),0)</f>
        <v>0</v>
      </c>
      <c r="P335" s="251">
        <f>IF(N335&gt;= 0,N335,0)</f>
        <v>0</v>
      </c>
      <c r="Q335" s="251">
        <f>IF(N335&lt;0,N335,0)</f>
        <v>-1</v>
      </c>
      <c r="R3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39001</v>
      </c>
      <c r="T3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5" s="253">
        <f ca="1">IF(Tabla33610673[[#This Row],[Equity]]&lt;Tabla33610673[[#This Row],[Equity Peak]],(Tabla33610673[[#This Row],[Equity Peak]]-Tabla33610673[[#This Row],[Equity]])/Tabla33610673[[#This Row],[Equity Peak]],"")</f>
        <v>2.6459649035221286E-2</v>
      </c>
      <c r="V335" s="254">
        <f>IF(B335="FX",N335,0)</f>
        <v>0</v>
      </c>
      <c r="W335" s="254">
        <f>IF(D335="O",IF(V335&lt;0,V335,0),0)</f>
        <v>0</v>
      </c>
      <c r="X335" s="254">
        <f>IF(B335="COM",N335,0)</f>
        <v>-1</v>
      </c>
      <c r="Y335" s="254">
        <f>IF(D335="O",IF(X335&lt;0,X335,0),0)</f>
        <v>0</v>
      </c>
      <c r="Z335" s="254">
        <f>IF(B335="IND",N335,0)</f>
        <v>0</v>
      </c>
      <c r="AA335" s="250">
        <f>IF(D335="O",IF(Z335&lt;0,Z335,0),0)</f>
        <v>0</v>
      </c>
      <c r="AB335" s="254">
        <f>IF(B335="CRYPTO",N335,0)</f>
        <v>0</v>
      </c>
      <c r="AC335" s="250">
        <f>IF(D335="O",IF(AB335&lt;0,AB335,0),0)</f>
        <v>0</v>
      </c>
      <c r="AD335" s="255">
        <f>IF(K335&lt;&gt;"",K335-E335,0)</f>
        <v>6.5972222218988463E-2</v>
      </c>
      <c r="AE335" s="255">
        <f>IF(N335&gt;0,AD335,0)</f>
        <v>0</v>
      </c>
      <c r="AF335" s="255">
        <f>IF(N335&lt;0,AD335,0)</f>
        <v>6.5972222218988463E-2</v>
      </c>
      <c r="AG335" s="255">
        <f>IF(N335=0,AD335,0)</f>
        <v>0</v>
      </c>
    </row>
    <row r="336" spans="2:33" ht="15" customHeight="1" x14ac:dyDescent="0.3">
      <c r="B336" s="196" t="s">
        <v>7</v>
      </c>
      <c r="C336" s="197" t="s">
        <v>13</v>
      </c>
      <c r="D336" s="246" t="str">
        <f>IF(E336&lt;&gt;"",IF(K336&lt;&gt;"","C","O"),"")</f>
        <v>C</v>
      </c>
      <c r="E336" s="199">
        <v>44770.1875</v>
      </c>
      <c r="F336" s="200" t="s">
        <v>116</v>
      </c>
      <c r="G336" s="235">
        <v>135.37700000000001</v>
      </c>
      <c r="H336" s="235">
        <v>135.66499999999999</v>
      </c>
      <c r="I336" s="247">
        <f>ABS(G336-H336)</f>
        <v>0.28799999999998249</v>
      </c>
      <c r="J336" s="235">
        <v>132.37899999999999</v>
      </c>
      <c r="K336" s="199">
        <v>44770.21875</v>
      </c>
      <c r="L336" s="235">
        <v>135.553</v>
      </c>
      <c r="M336" s="248">
        <f>ROUND(IF(C336="L",(L336-G336),(G336-L336)),4)</f>
        <v>-0.17599999999999999</v>
      </c>
      <c r="N336" s="249">
        <f>IFERROR(ROUND((M336/I336),2),"")</f>
        <v>-0.61</v>
      </c>
      <c r="O336" s="250">
        <f>IF(D336="O",IF(N336&lt;0,N336,0),0)</f>
        <v>0</v>
      </c>
      <c r="P336" s="251">
        <f>IF(N336&gt;= 0,N336,0)</f>
        <v>0</v>
      </c>
      <c r="Q336" s="251">
        <f>IF(N336&lt;0,N336,0)</f>
        <v>-0.61</v>
      </c>
      <c r="R3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39101</v>
      </c>
      <c r="T3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6" s="253">
        <f ca="1">IF(Tabla33610673[[#This Row],[Equity]]&lt;Tabla33610673[[#This Row],[Equity Peak]],(Tabla33610673[[#This Row],[Equity Peak]]-Tabla33610673[[#This Row],[Equity]])/Tabla33610673[[#This Row],[Equity Peak]],"")</f>
        <v>2.3963455730011733E-2</v>
      </c>
      <c r="V336" s="254">
        <f>IF(B336="FX",N336,0)</f>
        <v>-0.61</v>
      </c>
      <c r="W336" s="254">
        <f>IF(D336="O",IF(V336&lt;0,V336,0),0)</f>
        <v>0</v>
      </c>
      <c r="X336" s="254">
        <f>IF(B336="COM",N336,0)</f>
        <v>0</v>
      </c>
      <c r="Y336" s="254">
        <f>IF(D336="O",IF(X336&lt;0,X336,0),0)</f>
        <v>0</v>
      </c>
      <c r="Z336" s="254">
        <f>IF(B336="IND",N336,0)</f>
        <v>0</v>
      </c>
      <c r="AA336" s="250">
        <f>IF(D336="O",IF(Z336&lt;0,Z336,0),0)</f>
        <v>0</v>
      </c>
      <c r="AB336" s="254">
        <f>IF(B336="CRYPTO",N336,0)</f>
        <v>0</v>
      </c>
      <c r="AC336" s="250">
        <f>IF(D336="O",IF(AB336&lt;0,AB336,0),0)</f>
        <v>0</v>
      </c>
      <c r="AD336" s="255">
        <f>IF(K336&lt;&gt;"",K336-E336,0)</f>
        <v>3.125E-2</v>
      </c>
      <c r="AE336" s="255">
        <f>IF(N336&gt;0,AD336,0)</f>
        <v>0</v>
      </c>
      <c r="AF336" s="255">
        <f>IF(N336&lt;0,AD336,0)</f>
        <v>3.125E-2</v>
      </c>
      <c r="AG336" s="255">
        <f>IF(N336=0,AD336,0)</f>
        <v>0</v>
      </c>
    </row>
    <row r="337" spans="2:33" ht="15" customHeight="1" x14ac:dyDescent="0.3">
      <c r="B337" s="196" t="s">
        <v>7</v>
      </c>
      <c r="C337" s="197" t="s">
        <v>15</v>
      </c>
      <c r="D337" s="246" t="str">
        <f>IF(E337&lt;&gt;"",IF(K337&lt;&gt;"","C","O"),"")</f>
        <v>C</v>
      </c>
      <c r="E337" s="199">
        <v>44769.15625</v>
      </c>
      <c r="F337" s="200" t="s">
        <v>115</v>
      </c>
      <c r="G337" s="235">
        <v>165.018</v>
      </c>
      <c r="H337" s="235">
        <v>164.48099999999999</v>
      </c>
      <c r="I337" s="247">
        <f>ABS(G337-H337)</f>
        <v>0.53700000000000614</v>
      </c>
      <c r="J337" s="235">
        <v>166.55199999999999</v>
      </c>
      <c r="K337" s="199">
        <v>44770.167361111111</v>
      </c>
      <c r="L337" s="235">
        <v>165.304</v>
      </c>
      <c r="M337" s="248">
        <f>ROUND(IF(C337="L",(L337-G337),(G337-L337)),4)</f>
        <v>0.28599999999999998</v>
      </c>
      <c r="N337" s="249">
        <f>IFERROR(ROUND((M337/I337),2),"")</f>
        <v>0.53</v>
      </c>
      <c r="O337" s="250">
        <f>IF(D337="O",IF(N337&lt;0,N337,0),0)</f>
        <v>0</v>
      </c>
      <c r="P337" s="251">
        <f>IF(N337&gt;= 0,N337,0)</f>
        <v>0.53</v>
      </c>
      <c r="Q337" s="251">
        <f>IF(N337&lt;0,N337,0)</f>
        <v>0</v>
      </c>
      <c r="R3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39162</v>
      </c>
      <c r="T3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7" s="253">
        <f ca="1">IF(Tabla33610673[[#This Row],[Equity]]&lt;Tabla33610673[[#This Row],[Equity Peak]],(Tabla33610673[[#This Row],[Equity Peak]]-Tabla33610673[[#This Row],[Equity]])/Tabla33610673[[#This Row],[Equity Peak]],"")</f>
        <v>2.2440777813833902E-2</v>
      </c>
      <c r="V337" s="254">
        <f>IF(B337="FX",N337,0)</f>
        <v>0.53</v>
      </c>
      <c r="W337" s="254">
        <f>IF(D337="O",IF(V337&lt;0,V337,0),0)</f>
        <v>0</v>
      </c>
      <c r="X337" s="254">
        <f>IF(B337="COM",N337,0)</f>
        <v>0</v>
      </c>
      <c r="Y337" s="254">
        <f>IF(D337="O",IF(X337&lt;0,X337,0),0)</f>
        <v>0</v>
      </c>
      <c r="Z337" s="254">
        <f>IF(B337="IND",N337,0)</f>
        <v>0</v>
      </c>
      <c r="AA337" s="250">
        <f>IF(D337="O",IF(Z337&lt;0,Z337,0),0)</f>
        <v>0</v>
      </c>
      <c r="AB337" s="254">
        <f>IF(B337="CRYPTO",N337,0)</f>
        <v>0</v>
      </c>
      <c r="AC337" s="250">
        <f>IF(D337="O",IF(AB337&lt;0,AB337,0),0)</f>
        <v>0</v>
      </c>
      <c r="AD337" s="255">
        <f>IF(K337&lt;&gt;"",K337-E337,0)</f>
        <v>1.0111111111109494</v>
      </c>
      <c r="AE337" s="255">
        <f>IF(N337&gt;0,AD337,0)</f>
        <v>1.0111111111109494</v>
      </c>
      <c r="AF337" s="255">
        <f>IF(N337&lt;0,AD337,0)</f>
        <v>0</v>
      </c>
      <c r="AG337" s="255">
        <f>IF(N337=0,AD337,0)</f>
        <v>0</v>
      </c>
    </row>
    <row r="338" spans="2:33" ht="15" customHeight="1" x14ac:dyDescent="0.3">
      <c r="B338" s="196" t="s">
        <v>5</v>
      </c>
      <c r="C338" s="197" t="s">
        <v>15</v>
      </c>
      <c r="D338" s="246" t="str">
        <f>IF(E338&lt;&gt;"",IF(K338&lt;&gt;"","C","O"),"")</f>
        <v>C</v>
      </c>
      <c r="E338" s="199">
        <v>44769.90625</v>
      </c>
      <c r="F338" s="200" t="s">
        <v>93</v>
      </c>
      <c r="G338" s="235">
        <v>12563.34</v>
      </c>
      <c r="H338" s="235">
        <v>12528.39</v>
      </c>
      <c r="I338" s="247">
        <f>ABS(G338-H338)</f>
        <v>34.950000000000728</v>
      </c>
      <c r="J338" s="235">
        <v>12936.09</v>
      </c>
      <c r="K338" s="199">
        <v>44769.958333333336</v>
      </c>
      <c r="L338" s="235">
        <v>12569.98</v>
      </c>
      <c r="M338" s="248">
        <f>ROUND(IF(C338="L",(L338-G338),(G338-L338)),4)</f>
        <v>6.64</v>
      </c>
      <c r="N338" s="249">
        <f>IFERROR(ROUND((M338/I338),2),"")</f>
        <v>0.19</v>
      </c>
      <c r="O338" s="250">
        <f>IF(D338="O",IF(N338&lt;0,N338,0),0)</f>
        <v>0</v>
      </c>
      <c r="P338" s="251">
        <f>IF(N338&gt;= 0,N338,0)</f>
        <v>0.19</v>
      </c>
      <c r="Q338" s="251">
        <f>IF(N338&lt;0,N338,0)</f>
        <v>0</v>
      </c>
      <c r="R3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39109</v>
      </c>
      <c r="T3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8" s="253">
        <f ca="1">IF(Tabla33610673[[#This Row],[Equity]]&lt;Tabla33610673[[#This Row],[Equity Peak]],(Tabla33610673[[#This Row],[Equity Peak]]-Tabla33610673[[#This Row],[Equity]])/Tabla33610673[[#This Row],[Equity Peak]],"")</f>
        <v>2.3763760265594968E-2</v>
      </c>
      <c r="V338" s="254">
        <f>IF(B338="FX",N338,0)</f>
        <v>0</v>
      </c>
      <c r="W338" s="254">
        <f>IF(D338="O",IF(V338&lt;0,V338,0),0)</f>
        <v>0</v>
      </c>
      <c r="X338" s="254">
        <f>IF(B338="COM",N338,0)</f>
        <v>0</v>
      </c>
      <c r="Y338" s="254">
        <f>IF(D338="O",IF(X338&lt;0,X338,0),0)</f>
        <v>0</v>
      </c>
      <c r="Z338" s="254">
        <f>IF(B338="IND",N338,0)</f>
        <v>0.19</v>
      </c>
      <c r="AA338" s="250">
        <f>IF(D338="O",IF(Z338&lt;0,Z338,0),0)</f>
        <v>0</v>
      </c>
      <c r="AB338" s="254">
        <f>IF(B338="CRYPTO",N338,0)</f>
        <v>0</v>
      </c>
      <c r="AC338" s="250">
        <f>IF(D338="O",IF(AB338&lt;0,AB338,0),0)</f>
        <v>0</v>
      </c>
      <c r="AD338" s="255">
        <f>IF(K338&lt;&gt;"",K338-E338,0)</f>
        <v>5.2083333335758653E-2</v>
      </c>
      <c r="AE338" s="255">
        <f>IF(N338&gt;0,AD338,0)</f>
        <v>5.2083333335758653E-2</v>
      </c>
      <c r="AF338" s="255">
        <f>IF(N338&lt;0,AD338,0)</f>
        <v>0</v>
      </c>
      <c r="AG338" s="255">
        <f>IF(N338=0,AD338,0)</f>
        <v>0</v>
      </c>
    </row>
    <row r="339" spans="2:33" ht="15" customHeight="1" x14ac:dyDescent="0.3">
      <c r="B339" s="196" t="s">
        <v>5</v>
      </c>
      <c r="C339" s="197" t="s">
        <v>15</v>
      </c>
      <c r="D339" s="246" t="str">
        <f>IF(E339&lt;&gt;"",IF(K339&lt;&gt;"","C","O"),"")</f>
        <v>C</v>
      </c>
      <c r="E339" s="199">
        <v>44769.9375</v>
      </c>
      <c r="F339" s="200" t="s">
        <v>92</v>
      </c>
      <c r="G339" s="235">
        <v>12656.09</v>
      </c>
      <c r="H339" s="235">
        <v>12622.16</v>
      </c>
      <c r="I339" s="247">
        <f>ABS(G339-H339)</f>
        <v>33.930000000000291</v>
      </c>
      <c r="J339" s="235">
        <v>13289.54</v>
      </c>
      <c r="K339" s="199">
        <v>44769.944444444445</v>
      </c>
      <c r="L339" s="235">
        <v>12622.16</v>
      </c>
      <c r="M339" s="248">
        <f>ROUND(IF(C339="L",(L339-G339),(G339-L339)),4)</f>
        <v>-33.93</v>
      </c>
      <c r="N339" s="249">
        <f>IFERROR(ROUND((M339/I339),2),"")</f>
        <v>-1</v>
      </c>
      <c r="O339" s="250">
        <f>IF(D339="O",IF(N339&lt;0,N339,0),0)</f>
        <v>0</v>
      </c>
      <c r="P339" s="251">
        <f>IF(N339&gt;= 0,N339,0)</f>
        <v>0</v>
      </c>
      <c r="Q339" s="251">
        <f>IF(N339&lt;0,N339,0)</f>
        <v>-1</v>
      </c>
      <c r="R3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39090</v>
      </c>
      <c r="T3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39" s="253">
        <f ca="1">IF(Tabla33610673[[#This Row],[Equity]]&lt;Tabla33610673[[#This Row],[Equity Peak]],(Tabla33610673[[#This Row],[Equity Peak]]-Tabla33610673[[#This Row],[Equity]])/Tabla33610673[[#This Row],[Equity Peak]],"")</f>
        <v>2.4238036993584785E-2</v>
      </c>
      <c r="V339" s="254">
        <f>IF(B339="FX",N339,0)</f>
        <v>0</v>
      </c>
      <c r="W339" s="254">
        <f>IF(D339="O",IF(V339&lt;0,V339,0),0)</f>
        <v>0</v>
      </c>
      <c r="X339" s="254">
        <f>IF(B339="COM",N339,0)</f>
        <v>0</v>
      </c>
      <c r="Y339" s="254">
        <f>IF(D339="O",IF(X339&lt;0,X339,0),0)</f>
        <v>0</v>
      </c>
      <c r="Z339" s="254">
        <f>IF(B339="IND",N339,0)</f>
        <v>-1</v>
      </c>
      <c r="AA339" s="250">
        <f>IF(D339="O",IF(Z339&lt;0,Z339,0),0)</f>
        <v>0</v>
      </c>
      <c r="AB339" s="254">
        <f>IF(B339="CRYPTO",N339,0)</f>
        <v>0</v>
      </c>
      <c r="AC339" s="250">
        <f>IF(D339="O",IF(AB339&lt;0,AB339,0),0)</f>
        <v>0</v>
      </c>
      <c r="AD339" s="255">
        <f>IF(K339&lt;&gt;"",K339-E339,0)</f>
        <v>6.9444444452528842E-3</v>
      </c>
      <c r="AE339" s="255">
        <f>IF(N339&gt;0,AD339,0)</f>
        <v>0</v>
      </c>
      <c r="AF339" s="255">
        <f>IF(N339&lt;0,AD339,0)</f>
        <v>6.9444444452528842E-3</v>
      </c>
      <c r="AG339" s="255">
        <f>IF(N339=0,AD339,0)</f>
        <v>0</v>
      </c>
    </row>
    <row r="340" spans="2:33" ht="15" customHeight="1" x14ac:dyDescent="0.3">
      <c r="B340" s="196" t="s">
        <v>5</v>
      </c>
      <c r="C340" s="197" t="s">
        <v>15</v>
      </c>
      <c r="D340" s="246" t="str">
        <f>IF(E340&lt;&gt;"",IF(K340&lt;&gt;"","C","O"),"")</f>
        <v>C</v>
      </c>
      <c r="E340" s="199">
        <v>44769.90625</v>
      </c>
      <c r="F340" s="200" t="s">
        <v>92</v>
      </c>
      <c r="G340" s="235">
        <v>12563.34</v>
      </c>
      <c r="H340" s="235">
        <v>12532.36</v>
      </c>
      <c r="I340" s="247">
        <f>ABS(G340-H340)</f>
        <v>30.979999999999563</v>
      </c>
      <c r="J340" s="235">
        <v>13141.57</v>
      </c>
      <c r="K340" s="199">
        <v>44769.909722222219</v>
      </c>
      <c r="L340" s="235">
        <v>12532.36</v>
      </c>
      <c r="M340" s="248">
        <f>ROUND(IF(C340="L",(L340-G340),(G340-L340)),4)</f>
        <v>-30.98</v>
      </c>
      <c r="N340" s="249">
        <f>IFERROR(ROUND((M340/I340),2),"")</f>
        <v>-1</v>
      </c>
      <c r="O340" s="250">
        <f>IF(D340="O",IF(N340&lt;0,N340,0),0)</f>
        <v>0</v>
      </c>
      <c r="P340" s="251">
        <f>IF(N340&gt;= 0,N340,0)</f>
        <v>0</v>
      </c>
      <c r="Q340" s="251">
        <f>IF(N340&lt;0,N340,0)</f>
        <v>-1</v>
      </c>
      <c r="R3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39190</v>
      </c>
      <c r="T3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0" s="253">
        <f ca="1">IF(Tabla33610673[[#This Row],[Equity]]&lt;Tabla33610673[[#This Row],[Equity Peak]],(Tabla33610673[[#This Row],[Equity Peak]]-Tabla33610673[[#This Row],[Equity]])/Tabla33610673[[#This Row],[Equity Peak]],"")</f>
        <v>2.1741843688375229E-2</v>
      </c>
      <c r="V340" s="254">
        <f>IF(B340="FX",N340,0)</f>
        <v>0</v>
      </c>
      <c r="W340" s="254">
        <f>IF(D340="O",IF(V340&lt;0,V340,0),0)</f>
        <v>0</v>
      </c>
      <c r="X340" s="254">
        <f>IF(B340="COM",N340,0)</f>
        <v>0</v>
      </c>
      <c r="Y340" s="254">
        <f>IF(D340="O",IF(X340&lt;0,X340,0),0)</f>
        <v>0</v>
      </c>
      <c r="Z340" s="254">
        <f>IF(B340="IND",N340,0)</f>
        <v>-1</v>
      </c>
      <c r="AA340" s="250">
        <f>IF(D340="O",IF(Z340&lt;0,Z340,0),0)</f>
        <v>0</v>
      </c>
      <c r="AB340" s="254">
        <f>IF(B340="CRYPTO",N340,0)</f>
        <v>0</v>
      </c>
      <c r="AC340" s="250">
        <f>IF(D340="O",IF(AB340&lt;0,AB340,0),0)</f>
        <v>0</v>
      </c>
      <c r="AD340" s="255">
        <f>IF(K340&lt;&gt;"",K340-E340,0)</f>
        <v>3.4722222189884633E-3</v>
      </c>
      <c r="AE340" s="255">
        <f>IF(N340&gt;0,AD340,0)</f>
        <v>0</v>
      </c>
      <c r="AF340" s="255">
        <f>IF(N340&lt;0,AD340,0)</f>
        <v>3.4722222189884633E-3</v>
      </c>
      <c r="AG340" s="255">
        <f>IF(N340=0,AD340,0)</f>
        <v>0</v>
      </c>
    </row>
    <row r="341" spans="2:33" ht="15" customHeight="1" x14ac:dyDescent="0.3">
      <c r="B341" s="196" t="s">
        <v>7</v>
      </c>
      <c r="C341" s="197" t="s">
        <v>13</v>
      </c>
      <c r="D341" s="246" t="str">
        <f>IF(E341&lt;&gt;"",IF(K341&lt;&gt;"","C","O"),"")</f>
        <v>C</v>
      </c>
      <c r="E341" s="199">
        <v>44769.791666666664</v>
      </c>
      <c r="F341" s="200" t="s">
        <v>114</v>
      </c>
      <c r="G341" s="235">
        <v>1.01054</v>
      </c>
      <c r="H341" s="235">
        <v>1.0132099999999999</v>
      </c>
      <c r="I341" s="247">
        <f>ABS(G341-H341)</f>
        <v>2.6699999999999502E-3</v>
      </c>
      <c r="J341" s="235">
        <v>0.98646999999999996</v>
      </c>
      <c r="K341" s="199">
        <v>44769.861111111109</v>
      </c>
      <c r="L341" s="235">
        <v>1.0132099999999999</v>
      </c>
      <c r="M341" s="248">
        <f>ROUND(IF(C341="L",(L341-G341),(G341-L341)),4)</f>
        <v>-2.7000000000000001E-3</v>
      </c>
      <c r="N341" s="249">
        <f>IFERROR(ROUND((M341/I341),2),"")</f>
        <v>-1.01</v>
      </c>
      <c r="O341" s="250">
        <f>IF(D341="O",IF(N341&lt;0,N341,0),0)</f>
        <v>0</v>
      </c>
      <c r="P341" s="251">
        <f>IF(N341&gt;= 0,N341,0)</f>
        <v>0</v>
      </c>
      <c r="Q341" s="251">
        <f>IF(N341&lt;0,N341,0)</f>
        <v>-1.01</v>
      </c>
      <c r="R3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39290</v>
      </c>
      <c r="T3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1" s="253">
        <f ca="1">IF(Tabla33610673[[#This Row],[Equity]]&lt;Tabla33610673[[#This Row],[Equity Peak]],(Tabla33610673[[#This Row],[Equity Peak]]-Tabla33610673[[#This Row],[Equity]])/Tabla33610673[[#This Row],[Equity Peak]],"")</f>
        <v>1.9245650383165672E-2</v>
      </c>
      <c r="V341" s="254">
        <f>IF(B341="FX",N341,0)</f>
        <v>-1.01</v>
      </c>
      <c r="W341" s="254">
        <f>IF(D341="O",IF(V341&lt;0,V341,0),0)</f>
        <v>0</v>
      </c>
      <c r="X341" s="254">
        <f>IF(B341="COM",N341,0)</f>
        <v>0</v>
      </c>
      <c r="Y341" s="254">
        <f>IF(D341="O",IF(X341&lt;0,X341,0),0)</f>
        <v>0</v>
      </c>
      <c r="Z341" s="254">
        <f>IF(B341="IND",N341,0)</f>
        <v>0</v>
      </c>
      <c r="AA341" s="250">
        <f>IF(D341="O",IF(Z341&lt;0,Z341,0),0)</f>
        <v>0</v>
      </c>
      <c r="AB341" s="254">
        <f>IF(B341="CRYPTO",N341,0)</f>
        <v>0</v>
      </c>
      <c r="AC341" s="250">
        <f>IF(D341="O",IF(AB341&lt;0,AB341,0),0)</f>
        <v>0</v>
      </c>
      <c r="AD341" s="255">
        <f>IF(K341&lt;&gt;"",K341-E341,0)</f>
        <v>6.9444444445252884E-2</v>
      </c>
      <c r="AE341" s="255">
        <f>IF(N341&gt;0,AD341,0)</f>
        <v>0</v>
      </c>
      <c r="AF341" s="255">
        <f>IF(N341&lt;0,AD341,0)</f>
        <v>6.9444444445252884E-2</v>
      </c>
      <c r="AG341" s="255">
        <f>IF(N341=0,AD341,0)</f>
        <v>0</v>
      </c>
    </row>
    <row r="342" spans="2:33" ht="15" customHeight="1" x14ac:dyDescent="0.3">
      <c r="B342" s="196" t="s">
        <v>7</v>
      </c>
      <c r="C342" s="197" t="s">
        <v>13</v>
      </c>
      <c r="D342" s="246" t="str">
        <f>IF(E342&lt;&gt;"",IF(K342&lt;&gt;"","C","O"),"")</f>
        <v>C</v>
      </c>
      <c r="E342" s="199">
        <v>44768.791666666664</v>
      </c>
      <c r="F342" s="200" t="s">
        <v>114</v>
      </c>
      <c r="G342" s="235">
        <v>1.01159</v>
      </c>
      <c r="H342" s="235">
        <v>1.0144299999999999</v>
      </c>
      <c r="I342" s="247">
        <f>ABS(G342-H342)</f>
        <v>2.8399999999999537E-3</v>
      </c>
      <c r="J342" s="235">
        <v>0.98602000000000001</v>
      </c>
      <c r="K342" s="199">
        <v>44769.128472222219</v>
      </c>
      <c r="L342" s="235">
        <v>1.01359</v>
      </c>
      <c r="M342" s="248">
        <f>ROUND(IF(C342="L",(L342-G342),(G342-L342)),4)</f>
        <v>-2E-3</v>
      </c>
      <c r="N342" s="249">
        <f>IFERROR(ROUND((M342/I342),2),"")</f>
        <v>-0.7</v>
      </c>
      <c r="O342" s="250">
        <f>IF(D342="O",IF(N342&lt;0,N342,0),0)</f>
        <v>0</v>
      </c>
      <c r="P342" s="251">
        <f>IF(N342&gt;= 0,N342,0)</f>
        <v>0</v>
      </c>
      <c r="Q342" s="251">
        <f>IF(N342&lt;0,N342,0)</f>
        <v>-0.7</v>
      </c>
      <c r="R3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39391</v>
      </c>
      <c r="T3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2" s="253">
        <f ca="1">IF(Tabla33610673[[#This Row],[Equity]]&lt;Tabla33610673[[#This Row],[Equity Peak]],(Tabla33610673[[#This Row],[Equity Peak]]-Tabla33610673[[#This Row],[Equity]])/Tabla33610673[[#This Row],[Equity Peak]],"")</f>
        <v>1.6724495144904022E-2</v>
      </c>
      <c r="V342" s="254">
        <f>IF(B342="FX",N342,0)</f>
        <v>-0.7</v>
      </c>
      <c r="W342" s="254">
        <f>IF(D342="O",IF(V342&lt;0,V342,0),0)</f>
        <v>0</v>
      </c>
      <c r="X342" s="254">
        <f>IF(B342="COM",N342,0)</f>
        <v>0</v>
      </c>
      <c r="Y342" s="254">
        <f>IF(D342="O",IF(X342&lt;0,X342,0),0)</f>
        <v>0</v>
      </c>
      <c r="Z342" s="254">
        <f>IF(B342="IND",N342,0)</f>
        <v>0</v>
      </c>
      <c r="AA342" s="250">
        <f>IF(D342="O",IF(Z342&lt;0,Z342,0),0)</f>
        <v>0</v>
      </c>
      <c r="AB342" s="254">
        <f>IF(B342="CRYPTO",N342,0)</f>
        <v>0</v>
      </c>
      <c r="AC342" s="250">
        <f>IF(D342="O",IF(AB342&lt;0,AB342,0),0)</f>
        <v>0</v>
      </c>
      <c r="AD342" s="255">
        <f>IF(K342&lt;&gt;"",K342-E342,0)</f>
        <v>0.33680555555474712</v>
      </c>
      <c r="AE342" s="255">
        <f>IF(N342&gt;0,AD342,0)</f>
        <v>0</v>
      </c>
      <c r="AF342" s="255">
        <f>IF(N342&lt;0,AD342,0)</f>
        <v>0.33680555555474712</v>
      </c>
      <c r="AG342" s="255">
        <f>IF(N342=0,AD342,0)</f>
        <v>0</v>
      </c>
    </row>
    <row r="343" spans="2:33" ht="15" customHeight="1" x14ac:dyDescent="0.3">
      <c r="B343" s="196" t="s">
        <v>5</v>
      </c>
      <c r="C343" s="197" t="s">
        <v>13</v>
      </c>
      <c r="D343" s="246" t="str">
        <f>IF(E343&lt;&gt;"",IF(K343&lt;&gt;"","C","O"),"")</f>
        <v>C</v>
      </c>
      <c r="E343" s="199">
        <v>44768.770833333336</v>
      </c>
      <c r="F343" s="200" t="s">
        <v>93</v>
      </c>
      <c r="G343" s="235">
        <v>12115.55</v>
      </c>
      <c r="H343" s="235">
        <v>12147.26</v>
      </c>
      <c r="I343" s="247">
        <f>ABS(G343-H343)</f>
        <v>31.710000000000946</v>
      </c>
      <c r="J343" s="235">
        <v>11777.26</v>
      </c>
      <c r="K343" s="199">
        <v>44768.959027777775</v>
      </c>
      <c r="L343" s="235">
        <v>12137.13</v>
      </c>
      <c r="M343" s="248">
        <f>ROUND(IF(C343="L",(L343-G343),(G343-L343)),4)</f>
        <v>-21.58</v>
      </c>
      <c r="N343" s="249">
        <f>IFERROR(ROUND((M343/I343),2),"")</f>
        <v>-0.68</v>
      </c>
      <c r="O343" s="250">
        <f>IF(D343="O",IF(N343&lt;0,N343,0),0)</f>
        <v>0</v>
      </c>
      <c r="P343" s="251">
        <f>IF(N343&gt;= 0,N343,0)</f>
        <v>0</v>
      </c>
      <c r="Q343" s="251">
        <f>IF(N343&lt;0,N343,0)</f>
        <v>-0.68</v>
      </c>
      <c r="R3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39461</v>
      </c>
      <c r="T3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3" s="253">
        <f ca="1">IF(Tabla33610673[[#This Row],[Equity]]&lt;Tabla33610673[[#This Row],[Equity Peak]],(Tabla33610673[[#This Row],[Equity Peak]]-Tabla33610673[[#This Row],[Equity]])/Tabla33610673[[#This Row],[Equity Peak]],"")</f>
        <v>1.4977159831257332E-2</v>
      </c>
      <c r="V343" s="254">
        <f>IF(B343="FX",N343,0)</f>
        <v>0</v>
      </c>
      <c r="W343" s="254">
        <f>IF(D343="O",IF(V343&lt;0,V343,0),0)</f>
        <v>0</v>
      </c>
      <c r="X343" s="254">
        <f>IF(B343="COM",N343,0)</f>
        <v>0</v>
      </c>
      <c r="Y343" s="254">
        <f>IF(D343="O",IF(X343&lt;0,X343,0),0)</f>
        <v>0</v>
      </c>
      <c r="Z343" s="254">
        <f>IF(B343="IND",N343,0)</f>
        <v>-0.68</v>
      </c>
      <c r="AA343" s="250">
        <f>IF(D343="O",IF(Z343&lt;0,Z343,0),0)</f>
        <v>0</v>
      </c>
      <c r="AB343" s="254">
        <f>IF(B343="CRYPTO",N343,0)</f>
        <v>0</v>
      </c>
      <c r="AC343" s="250">
        <f>IF(D343="O",IF(AB343&lt;0,AB343,0),0)</f>
        <v>0</v>
      </c>
      <c r="AD343" s="255">
        <f>IF(K343&lt;&gt;"",K343-E343,0)</f>
        <v>0.18819444443943212</v>
      </c>
      <c r="AE343" s="255">
        <f>IF(N343&gt;0,AD343,0)</f>
        <v>0</v>
      </c>
      <c r="AF343" s="255">
        <f>IF(N343&lt;0,AD343,0)</f>
        <v>0.18819444443943212</v>
      </c>
      <c r="AG343" s="255">
        <f>IF(N343=0,AD343,0)</f>
        <v>0</v>
      </c>
    </row>
    <row r="344" spans="2:33" ht="15" customHeight="1" x14ac:dyDescent="0.3">
      <c r="B344" s="196" t="s">
        <v>5</v>
      </c>
      <c r="C344" s="197" t="s">
        <v>13</v>
      </c>
      <c r="D344" s="246" t="str">
        <f>IF(E344&lt;&gt;"",IF(K344&lt;&gt;"","C","O"),"")</f>
        <v>C</v>
      </c>
      <c r="E344" s="199">
        <v>44768.739583333336</v>
      </c>
      <c r="F344" s="200" t="s">
        <v>93</v>
      </c>
      <c r="G344" s="235">
        <v>12140.55</v>
      </c>
      <c r="H344" s="235">
        <v>12172.27</v>
      </c>
      <c r="I344" s="247">
        <f>ABS(G344-H344)</f>
        <v>31.720000000001164</v>
      </c>
      <c r="J344" s="235">
        <v>11802.17</v>
      </c>
      <c r="K344" s="199">
        <v>44768.75</v>
      </c>
      <c r="L344" s="235">
        <v>12172.27</v>
      </c>
      <c r="M344" s="248">
        <f>ROUND(IF(C344="L",(L344-G344),(G344-L344)),4)</f>
        <v>-31.72</v>
      </c>
      <c r="N344" s="249">
        <f>IFERROR(ROUND((M344/I344),2),"")</f>
        <v>-1</v>
      </c>
      <c r="O344" s="250">
        <f>IF(D344="O",IF(N344&lt;0,N344,0),0)</f>
        <v>0</v>
      </c>
      <c r="P344" s="251">
        <f>IF(N344&gt;= 0,N344,0)</f>
        <v>0</v>
      </c>
      <c r="Q344" s="251">
        <f>IF(N344&lt;0,N344,0)</f>
        <v>-1</v>
      </c>
      <c r="R3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39529</v>
      </c>
      <c r="T3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4" s="253">
        <f ca="1">IF(Tabla33610673[[#This Row],[Equity]]&lt;Tabla33610673[[#This Row],[Equity Peak]],(Tabla33610673[[#This Row],[Equity Peak]]-Tabla33610673[[#This Row],[Equity]])/Tabla33610673[[#This Row],[Equity Peak]],"")</f>
        <v>1.3279748383714835E-2</v>
      </c>
      <c r="V344" s="254">
        <f>IF(B344="FX",N344,0)</f>
        <v>0</v>
      </c>
      <c r="W344" s="254">
        <f>IF(D344="O",IF(V344&lt;0,V344,0),0)</f>
        <v>0</v>
      </c>
      <c r="X344" s="254">
        <f>IF(B344="COM",N344,0)</f>
        <v>0</v>
      </c>
      <c r="Y344" s="254">
        <f>IF(D344="O",IF(X344&lt;0,X344,0),0)</f>
        <v>0</v>
      </c>
      <c r="Z344" s="254">
        <f>IF(B344="IND",N344,0)</f>
        <v>-1</v>
      </c>
      <c r="AA344" s="250">
        <f>IF(D344="O",IF(Z344&lt;0,Z344,0),0)</f>
        <v>0</v>
      </c>
      <c r="AB344" s="254">
        <f>IF(B344="CRYPTO",N344,0)</f>
        <v>0</v>
      </c>
      <c r="AC344" s="250">
        <f>IF(D344="O",IF(AB344&lt;0,AB344,0),0)</f>
        <v>0</v>
      </c>
      <c r="AD344" s="255">
        <f>IF(K344&lt;&gt;"",K344-E344,0)</f>
        <v>1.0416666664241347E-2</v>
      </c>
      <c r="AE344" s="255">
        <f>IF(N344&gt;0,AD344,0)</f>
        <v>0</v>
      </c>
      <c r="AF344" s="255">
        <f>IF(N344&lt;0,AD344,0)</f>
        <v>1.0416666664241347E-2</v>
      </c>
      <c r="AG344" s="255">
        <f>IF(N344=0,AD344,0)</f>
        <v>0</v>
      </c>
    </row>
    <row r="345" spans="2:33" ht="15" customHeight="1" x14ac:dyDescent="0.3">
      <c r="B345" s="196" t="s">
        <v>7</v>
      </c>
      <c r="C345" s="197" t="s">
        <v>13</v>
      </c>
      <c r="D345" s="246" t="str">
        <f>IF(E345&lt;&gt;"",IF(K345&lt;&gt;"","C","O"),"")</f>
        <v>C</v>
      </c>
      <c r="E345" s="199">
        <v>44763.6875</v>
      </c>
      <c r="F345" s="200" t="s">
        <v>115</v>
      </c>
      <c r="G345" s="235">
        <v>164.86799999999999</v>
      </c>
      <c r="H345" s="235">
        <v>165.47399999999999</v>
      </c>
      <c r="I345" s="247">
        <f>ABS(G345-H345)</f>
        <v>0.60599999999999454</v>
      </c>
      <c r="J345" s="235">
        <v>163.136</v>
      </c>
      <c r="K345" s="199">
        <v>44764.90902777778</v>
      </c>
      <c r="L345" s="235">
        <v>163.136</v>
      </c>
      <c r="M345" s="248">
        <f>ROUND(IF(C345="L",(L345-G345),(G345-L345)),4)</f>
        <v>1.732</v>
      </c>
      <c r="N345" s="249">
        <f>IFERROR(ROUND((M345/I345),2),"")</f>
        <v>2.86</v>
      </c>
      <c r="O345" s="250">
        <f>IF(D345="O",IF(N345&lt;0,N345,0),0)</f>
        <v>0</v>
      </c>
      <c r="P345" s="251">
        <f>IF(N345&gt;= 0,N345,0)</f>
        <v>2.86</v>
      </c>
      <c r="Q345" s="251">
        <f>IF(N345&lt;0,N345,0)</f>
        <v>0</v>
      </c>
      <c r="R3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39629</v>
      </c>
      <c r="T3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5" s="253">
        <f ca="1">IF(Tabla33610673[[#This Row],[Equity]]&lt;Tabla33610673[[#This Row],[Equity Peak]],(Tabla33610673[[#This Row],[Equity Peak]]-Tabla33610673[[#This Row],[Equity]])/Tabla33610673[[#This Row],[Equity Peak]],"")</f>
        <v>1.0783555078505279E-2</v>
      </c>
      <c r="V345" s="254">
        <f>IF(B345="FX",N345,0)</f>
        <v>2.86</v>
      </c>
      <c r="W345" s="254">
        <f>IF(D345="O",IF(V345&lt;0,V345,0),0)</f>
        <v>0</v>
      </c>
      <c r="X345" s="254">
        <f>IF(B345="COM",N345,0)</f>
        <v>0</v>
      </c>
      <c r="Y345" s="254">
        <f>IF(D345="O",IF(X345&lt;0,X345,0),0)</f>
        <v>0</v>
      </c>
      <c r="Z345" s="254">
        <f>IF(B345="IND",N345,0)</f>
        <v>0</v>
      </c>
      <c r="AA345" s="250">
        <f>IF(D345="O",IF(Z345&lt;0,Z345,0),0)</f>
        <v>0</v>
      </c>
      <c r="AB345" s="254">
        <f>IF(B345="CRYPTO",N345,0)</f>
        <v>0</v>
      </c>
      <c r="AC345" s="250">
        <f>IF(D345="O",IF(AB345&lt;0,AB345,0),0)</f>
        <v>0</v>
      </c>
      <c r="AD345" s="255">
        <f>IF(K345&lt;&gt;"",K345-E345,0)</f>
        <v>1.2215277777795563</v>
      </c>
      <c r="AE345" s="255">
        <f>IF(N345&gt;0,AD345,0)</f>
        <v>1.2215277777795563</v>
      </c>
      <c r="AF345" s="255">
        <f>IF(N345&lt;0,AD345,0)</f>
        <v>0</v>
      </c>
      <c r="AG345" s="255">
        <f>IF(N345=0,AD345,0)</f>
        <v>0</v>
      </c>
    </row>
    <row r="346" spans="2:33" ht="15" customHeight="1" x14ac:dyDescent="0.3">
      <c r="B346" s="196" t="s">
        <v>7</v>
      </c>
      <c r="C346" s="197" t="s">
        <v>13</v>
      </c>
      <c r="D346" s="246" t="str">
        <f>IF(E346&lt;&gt;"",IF(K346&lt;&gt;"","C","O"),"")</f>
        <v>C</v>
      </c>
      <c r="E346" s="199">
        <v>44764.708333333336</v>
      </c>
      <c r="F346" s="200" t="s">
        <v>116</v>
      </c>
      <c r="G346" s="235">
        <v>136.02799999999999</v>
      </c>
      <c r="H346" s="235">
        <v>136.285</v>
      </c>
      <c r="I346" s="247">
        <f>ABS(G346-H346)</f>
        <v>0.257000000000005</v>
      </c>
      <c r="J346" s="235">
        <v>133.358</v>
      </c>
      <c r="K346" s="199">
        <v>44764.728472222225</v>
      </c>
      <c r="L346" s="235">
        <v>136.065</v>
      </c>
      <c r="M346" s="248">
        <f>ROUND(IF(C346="L",(L346-G346),(G346-L346)),4)</f>
        <v>-3.6999999999999998E-2</v>
      </c>
      <c r="N346" s="249">
        <f>IFERROR(ROUND((M346/I346),2),"")</f>
        <v>-0.14000000000000001</v>
      </c>
      <c r="O346" s="250">
        <f>IF(D346="O",IF(N346&lt;0,N346,0),0)</f>
        <v>0</v>
      </c>
      <c r="P346" s="251">
        <f>IF(N346&gt;= 0,N346,0)</f>
        <v>0</v>
      </c>
      <c r="Q346" s="251">
        <f>IF(N346&lt;0,N346,0)</f>
        <v>-0.14000000000000001</v>
      </c>
      <c r="R3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39343</v>
      </c>
      <c r="T3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6" s="253">
        <f ca="1">IF(Tabla33610673[[#This Row],[Equity]]&lt;Tabla33610673[[#This Row],[Equity Peak]],(Tabla33610673[[#This Row],[Equity Peak]]-Tabla33610673[[#This Row],[Equity]])/Tabla33610673[[#This Row],[Equity Peak]],"")</f>
        <v>1.7922667931404609E-2</v>
      </c>
      <c r="V346" s="254">
        <f>IF(B346="FX",N346,0)</f>
        <v>-0.14000000000000001</v>
      </c>
      <c r="W346" s="254">
        <f>IF(D346="O",IF(V346&lt;0,V346,0),0)</f>
        <v>0</v>
      </c>
      <c r="X346" s="254">
        <f>IF(B346="COM",N346,0)</f>
        <v>0</v>
      </c>
      <c r="Y346" s="254">
        <f>IF(D346="O",IF(X346&lt;0,X346,0),0)</f>
        <v>0</v>
      </c>
      <c r="Z346" s="254">
        <f>IF(B346="IND",N346,0)</f>
        <v>0</v>
      </c>
      <c r="AA346" s="250">
        <f>IF(D346="O",IF(Z346&lt;0,Z346,0),0)</f>
        <v>0</v>
      </c>
      <c r="AB346" s="254">
        <f>IF(B346="CRYPTO",N346,0)</f>
        <v>0</v>
      </c>
      <c r="AC346" s="250">
        <f>IF(D346="O",IF(AB346&lt;0,AB346,0),0)</f>
        <v>0</v>
      </c>
      <c r="AD346" s="255">
        <f>IF(K346&lt;&gt;"",K346-E346,0)</f>
        <v>2.0138888889050577E-2</v>
      </c>
      <c r="AE346" s="255">
        <f>IF(N346&gt;0,AD346,0)</f>
        <v>0</v>
      </c>
      <c r="AF346" s="255">
        <f>IF(N346&lt;0,AD346,0)</f>
        <v>2.0138888889050577E-2</v>
      </c>
      <c r="AG346" s="255">
        <f>IF(N346=0,AD346,0)</f>
        <v>0</v>
      </c>
    </row>
    <row r="347" spans="2:33" ht="15" customHeight="1" x14ac:dyDescent="0.3">
      <c r="B347" s="196" t="s">
        <v>5</v>
      </c>
      <c r="C347" s="197" t="s">
        <v>15</v>
      </c>
      <c r="D347" s="246" t="str">
        <f>IF(E347&lt;&gt;"",IF(K347&lt;&gt;"","C","O"),"")</f>
        <v>C</v>
      </c>
      <c r="E347" s="199">
        <v>44763.802083333336</v>
      </c>
      <c r="F347" s="200" t="s">
        <v>92</v>
      </c>
      <c r="G347" s="235">
        <v>12542.06</v>
      </c>
      <c r="H347" s="235">
        <v>12498.89</v>
      </c>
      <c r="I347" s="247">
        <f>ABS(G347-H347)</f>
        <v>43.170000000000073</v>
      </c>
      <c r="J347" s="235">
        <v>13347.96</v>
      </c>
      <c r="K347" s="199">
        <v>44764.126388888886</v>
      </c>
      <c r="L347" s="235">
        <v>12498.89</v>
      </c>
      <c r="M347" s="248">
        <f>ROUND(IF(C347="L",(L347-G347),(G347-L347)),4)</f>
        <v>-43.17</v>
      </c>
      <c r="N347" s="249">
        <f>IFERROR(ROUND((M347/I347),2),"")</f>
        <v>-1</v>
      </c>
      <c r="O347" s="250">
        <f>IF(D347="O",IF(N347&lt;0,N347,0),0)</f>
        <v>0</v>
      </c>
      <c r="P347" s="251">
        <f>IF(N347&gt;= 0,N347,0)</f>
        <v>0</v>
      </c>
      <c r="Q347" s="251">
        <f>IF(N347&lt;0,N347,0)</f>
        <v>-1</v>
      </c>
      <c r="R3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39357</v>
      </c>
      <c r="T3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7" s="253">
        <f ca="1">IF(Tabla33610673[[#This Row],[Equity]]&lt;Tabla33610673[[#This Row],[Equity Peak]],(Tabla33610673[[#This Row],[Equity Peak]]-Tabla33610673[[#This Row],[Equity]])/Tabla33610673[[#This Row],[Equity Peak]],"")</f>
        <v>1.7573200868675271E-2</v>
      </c>
      <c r="V347" s="254">
        <f>IF(B347="FX",N347,0)</f>
        <v>0</v>
      </c>
      <c r="W347" s="254">
        <f>IF(D347="O",IF(V347&lt;0,V347,0),0)</f>
        <v>0</v>
      </c>
      <c r="X347" s="254">
        <f>IF(B347="COM",N347,0)</f>
        <v>0</v>
      </c>
      <c r="Y347" s="254">
        <f>IF(D347="O",IF(X347&lt;0,X347,0),0)</f>
        <v>0</v>
      </c>
      <c r="Z347" s="254">
        <f>IF(B347="IND",N347,0)</f>
        <v>-1</v>
      </c>
      <c r="AA347" s="250">
        <f>IF(D347="O",IF(Z347&lt;0,Z347,0),0)</f>
        <v>0</v>
      </c>
      <c r="AB347" s="254">
        <f>IF(B347="CRYPTO",N347,0)</f>
        <v>0</v>
      </c>
      <c r="AC347" s="250">
        <f>IF(D347="O",IF(AB347&lt;0,AB347,0),0)</f>
        <v>0</v>
      </c>
      <c r="AD347" s="255">
        <f>IF(K347&lt;&gt;"",K347-E347,0)</f>
        <v>0.32430555555038154</v>
      </c>
      <c r="AE347" s="255">
        <f>IF(N347&gt;0,AD347,0)</f>
        <v>0</v>
      </c>
      <c r="AF347" s="255">
        <f>IF(N347&lt;0,AD347,0)</f>
        <v>0.32430555555038154</v>
      </c>
      <c r="AG347" s="255">
        <f>IF(N347=0,AD347,0)</f>
        <v>0</v>
      </c>
    </row>
    <row r="348" spans="2:33" ht="15" customHeight="1" x14ac:dyDescent="0.3">
      <c r="B348" s="196" t="s">
        <v>5</v>
      </c>
      <c r="C348" s="197" t="s">
        <v>15</v>
      </c>
      <c r="D348" s="246" t="str">
        <f>IF(E348&lt;&gt;"",IF(K348&lt;&gt;"","C","O"),"")</f>
        <v>C</v>
      </c>
      <c r="E348" s="199">
        <v>44763.802083333336</v>
      </c>
      <c r="F348" s="200" t="s">
        <v>93</v>
      </c>
      <c r="G348" s="235">
        <v>12542.06</v>
      </c>
      <c r="H348" s="235">
        <v>12494.88</v>
      </c>
      <c r="I348" s="247">
        <f>ABS(G348-H348)</f>
        <v>47.180000000000291</v>
      </c>
      <c r="J348" s="235">
        <v>13045.27</v>
      </c>
      <c r="K348" s="199">
        <v>44764.04583333333</v>
      </c>
      <c r="L348" s="235">
        <v>12508.09</v>
      </c>
      <c r="M348" s="248">
        <f>ROUND(IF(C348="L",(L348-G348),(G348-L348)),4)</f>
        <v>-33.97</v>
      </c>
      <c r="N348" s="249">
        <f>IFERROR(ROUND((M348/I348),2),"")</f>
        <v>-0.72</v>
      </c>
      <c r="O348" s="250">
        <f>IF(D348="O",IF(N348&lt;0,N348,0),0)</f>
        <v>0</v>
      </c>
      <c r="P348" s="251">
        <f>IF(N348&gt;= 0,N348,0)</f>
        <v>0</v>
      </c>
      <c r="Q348" s="251">
        <f>IF(N348&lt;0,N348,0)</f>
        <v>-0.72</v>
      </c>
      <c r="R3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39457</v>
      </c>
      <c r="T3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8" s="253">
        <f ca="1">IF(Tabla33610673[[#This Row],[Equity]]&lt;Tabla33610673[[#This Row],[Equity Peak]],(Tabla33610673[[#This Row],[Equity Peak]]-Tabla33610673[[#This Row],[Equity]])/Tabla33610673[[#This Row],[Equity Peak]],"")</f>
        <v>1.5077007563465715E-2</v>
      </c>
      <c r="V348" s="254">
        <f>IF(B348="FX",N348,0)</f>
        <v>0</v>
      </c>
      <c r="W348" s="254">
        <f>IF(D348="O",IF(V348&lt;0,V348,0),0)</f>
        <v>0</v>
      </c>
      <c r="X348" s="254">
        <f>IF(B348="COM",N348,0)</f>
        <v>0</v>
      </c>
      <c r="Y348" s="254">
        <f>IF(D348="O",IF(X348&lt;0,X348,0),0)</f>
        <v>0</v>
      </c>
      <c r="Z348" s="254">
        <f>IF(B348="IND",N348,0)</f>
        <v>-0.72</v>
      </c>
      <c r="AA348" s="250">
        <f>IF(D348="O",IF(Z348&lt;0,Z348,0),0)</f>
        <v>0</v>
      </c>
      <c r="AB348" s="254">
        <f>IF(B348="CRYPTO",N348,0)</f>
        <v>0</v>
      </c>
      <c r="AC348" s="250">
        <f>IF(D348="O",IF(AB348&lt;0,AB348,0),0)</f>
        <v>0</v>
      </c>
      <c r="AD348" s="255">
        <f>IF(K348&lt;&gt;"",K348-E348,0)</f>
        <v>0.24374999999417923</v>
      </c>
      <c r="AE348" s="255">
        <f>IF(N348&gt;0,AD348,0)</f>
        <v>0</v>
      </c>
      <c r="AF348" s="255">
        <f>IF(N348&lt;0,AD348,0)</f>
        <v>0.24374999999417923</v>
      </c>
      <c r="AG348" s="255">
        <f>IF(N348=0,AD348,0)</f>
        <v>0</v>
      </c>
    </row>
    <row r="349" spans="2:33" ht="15" customHeight="1" x14ac:dyDescent="0.3">
      <c r="B349" s="196" t="s">
        <v>7</v>
      </c>
      <c r="C349" s="197" t="s">
        <v>15</v>
      </c>
      <c r="D349" s="246" t="str">
        <f>IF(E349&lt;&gt;"",IF(K349&lt;&gt;"","C","O"),"")</f>
        <v>C</v>
      </c>
      <c r="E349" s="199">
        <v>44763.65625</v>
      </c>
      <c r="F349" s="200" t="s">
        <v>114</v>
      </c>
      <c r="G349" s="235">
        <v>1.0276700000000001</v>
      </c>
      <c r="H349" s="235">
        <v>1.0240899999999999</v>
      </c>
      <c r="I349" s="247">
        <f>ABS(G349-H349)</f>
        <v>3.5800000000001386E-3</v>
      </c>
      <c r="J349" s="235">
        <v>1.05986</v>
      </c>
      <c r="K349" s="199">
        <v>44763.671527777777</v>
      </c>
      <c r="L349" s="235">
        <v>1.0240899999999999</v>
      </c>
      <c r="M349" s="248">
        <f>ROUND(IF(C349="L",(L349-G349),(G349-L349)),4)</f>
        <v>-3.5999999999999999E-3</v>
      </c>
      <c r="N349" s="249">
        <f>IFERROR(ROUND((M349/I349),2),"")</f>
        <v>-1.01</v>
      </c>
      <c r="O349" s="250">
        <f>IF(D349="O",IF(N349&lt;0,N349,0),0)</f>
        <v>0</v>
      </c>
      <c r="P349" s="251">
        <f>IF(N349&gt;= 0,N349,0)</f>
        <v>0</v>
      </c>
      <c r="Q349" s="251">
        <f>IF(N349&lt;0,N349,0)</f>
        <v>-1.01</v>
      </c>
      <c r="R3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39529</v>
      </c>
      <c r="T3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49" s="253">
        <f ca="1">IF(Tabla33610673[[#This Row],[Equity]]&lt;Tabla33610673[[#This Row],[Equity Peak]],(Tabla33610673[[#This Row],[Equity Peak]]-Tabla33610673[[#This Row],[Equity]])/Tabla33610673[[#This Row],[Equity Peak]],"")</f>
        <v>1.3279748383714835E-2</v>
      </c>
      <c r="V349" s="254">
        <f>IF(B349="FX",N349,0)</f>
        <v>-1.01</v>
      </c>
      <c r="W349" s="254">
        <f>IF(D349="O",IF(V349&lt;0,V349,0),0)</f>
        <v>0</v>
      </c>
      <c r="X349" s="254">
        <f>IF(B349="COM",N349,0)</f>
        <v>0</v>
      </c>
      <c r="Y349" s="254">
        <f>IF(D349="O",IF(X349&lt;0,X349,0),0)</f>
        <v>0</v>
      </c>
      <c r="Z349" s="254">
        <f>IF(B349="IND",N349,0)</f>
        <v>0</v>
      </c>
      <c r="AA349" s="250">
        <f>IF(D349="O",IF(Z349&lt;0,Z349,0),0)</f>
        <v>0</v>
      </c>
      <c r="AB349" s="254">
        <f>IF(B349="CRYPTO",N349,0)</f>
        <v>0</v>
      </c>
      <c r="AC349" s="250">
        <f>IF(D349="O",IF(AB349&lt;0,AB349,0),0)</f>
        <v>0</v>
      </c>
      <c r="AD349" s="255">
        <f>IF(K349&lt;&gt;"",K349-E349,0)</f>
        <v>1.5277777776645962E-2</v>
      </c>
      <c r="AE349" s="255">
        <f>IF(N349&gt;0,AD349,0)</f>
        <v>0</v>
      </c>
      <c r="AF349" s="255">
        <f>IF(N349&lt;0,AD349,0)</f>
        <v>1.5277777776645962E-2</v>
      </c>
      <c r="AG349" s="255">
        <f>IF(N349=0,AD349,0)</f>
        <v>0</v>
      </c>
    </row>
    <row r="350" spans="2:33" ht="15" customHeight="1" x14ac:dyDescent="0.3">
      <c r="B350" s="196" t="s">
        <v>19</v>
      </c>
      <c r="C350" s="197" t="s">
        <v>13</v>
      </c>
      <c r="D350" s="246" t="str">
        <f>IF(E350&lt;&gt;"",IF(K350&lt;&gt;"","C","O"),"")</f>
        <v>C</v>
      </c>
      <c r="E350" s="199">
        <v>44762.958333333336</v>
      </c>
      <c r="F350" s="200" t="s">
        <v>88</v>
      </c>
      <c r="G350" s="235">
        <v>1695.74</v>
      </c>
      <c r="H350" s="235">
        <v>1698.64</v>
      </c>
      <c r="I350" s="247">
        <f>ABS(G350-H350)</f>
        <v>2.9000000000000909</v>
      </c>
      <c r="J350" s="235">
        <v>1660.97</v>
      </c>
      <c r="K350" s="199">
        <v>44763.649305555555</v>
      </c>
      <c r="L350" s="235">
        <v>1694.32</v>
      </c>
      <c r="M350" s="248">
        <f>ROUND(IF(C350="L",(L350-G350),(G350-L350)),4)</f>
        <v>1.42</v>
      </c>
      <c r="N350" s="249">
        <f>IFERROR(ROUND((M350/I350),2),"")</f>
        <v>0.49</v>
      </c>
      <c r="O350" s="250">
        <f>IF(D350="O",IF(N350&lt;0,N350,0),0)</f>
        <v>0</v>
      </c>
      <c r="P350" s="251">
        <f>IF(N350&gt;= 0,N350,0)</f>
        <v>0.49</v>
      </c>
      <c r="Q350" s="251">
        <f>IF(N350&lt;0,N350,0)</f>
        <v>0</v>
      </c>
      <c r="R3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39630</v>
      </c>
      <c r="T3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0" s="253">
        <f ca="1">IF(Tabla33610673[[#This Row],[Equity]]&lt;Tabla33610673[[#This Row],[Equity Peak]],(Tabla33610673[[#This Row],[Equity Peak]]-Tabla33610673[[#This Row],[Equity]])/Tabla33610673[[#This Row],[Equity Peak]],"")</f>
        <v>1.0758593145453185E-2</v>
      </c>
      <c r="V350" s="254">
        <f>IF(B350="FX",N350,0)</f>
        <v>0</v>
      </c>
      <c r="W350" s="254">
        <f>IF(D350="O",IF(V350&lt;0,V350,0),0)</f>
        <v>0</v>
      </c>
      <c r="X350" s="254">
        <f>IF(B350="COM",N350,0)</f>
        <v>0.49</v>
      </c>
      <c r="Y350" s="254">
        <f>IF(D350="O",IF(X350&lt;0,X350,0),0)</f>
        <v>0</v>
      </c>
      <c r="Z350" s="254">
        <f>IF(B350="IND",N350,0)</f>
        <v>0</v>
      </c>
      <c r="AA350" s="250">
        <f>IF(D350="O",IF(Z350&lt;0,Z350,0),0)</f>
        <v>0</v>
      </c>
      <c r="AB350" s="254">
        <f>IF(B350="CRYPTO",N350,0)</f>
        <v>0</v>
      </c>
      <c r="AC350" s="250">
        <f>IF(D350="O",IF(AB350&lt;0,AB350,0),0)</f>
        <v>0</v>
      </c>
      <c r="AD350" s="255">
        <f>IF(K350&lt;&gt;"",K350-E350,0)</f>
        <v>0.69097222221898846</v>
      </c>
      <c r="AE350" s="255">
        <f>IF(N350&gt;0,AD350,0)</f>
        <v>0.69097222221898846</v>
      </c>
      <c r="AF350" s="255">
        <f>IF(N350&lt;0,AD350,0)</f>
        <v>0</v>
      </c>
      <c r="AG350" s="255">
        <f>IF(N350=0,AD350,0)</f>
        <v>0</v>
      </c>
    </row>
    <row r="351" spans="2:33" ht="15" customHeight="1" x14ac:dyDescent="0.3">
      <c r="B351" s="196" t="s">
        <v>5</v>
      </c>
      <c r="C351" s="197" t="s">
        <v>15</v>
      </c>
      <c r="D351" s="246" t="str">
        <f>IF(E351&lt;&gt;"",IF(K351&lt;&gt;"","C","O"),"")</f>
        <v>C</v>
      </c>
      <c r="E351" s="199">
        <v>44761.822916666664</v>
      </c>
      <c r="F351" s="200" t="s">
        <v>92</v>
      </c>
      <c r="G351" s="235">
        <v>12160.33</v>
      </c>
      <c r="H351" s="235">
        <v>12126.63</v>
      </c>
      <c r="I351" s="247">
        <f>ABS(G351-H351)</f>
        <v>33.700000000000728</v>
      </c>
      <c r="J351" s="235">
        <v>12789.38</v>
      </c>
      <c r="K351" s="199">
        <v>44762.839583333334</v>
      </c>
      <c r="L351" s="235">
        <v>12362.04</v>
      </c>
      <c r="M351" s="248">
        <f>ROUND(IF(C351="L",(L351-G351),(G351-L351)),4)</f>
        <v>201.71</v>
      </c>
      <c r="N351" s="249">
        <f>IFERROR(ROUND((M351/I351),2),"")</f>
        <v>5.99</v>
      </c>
      <c r="O351" s="250">
        <f>IF(D351="O",IF(N351&lt;0,N351,0),0)</f>
        <v>0</v>
      </c>
      <c r="P351" s="251">
        <f>IF(N351&gt;= 0,N351,0)</f>
        <v>5.99</v>
      </c>
      <c r="Q351" s="251">
        <f>IF(N351&lt;0,N351,0)</f>
        <v>0</v>
      </c>
      <c r="R3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39581</v>
      </c>
      <c r="T3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1" s="253">
        <f ca="1">IF(Tabla33610673[[#This Row],[Equity]]&lt;Tabla33610673[[#This Row],[Equity Peak]],(Tabla33610673[[#This Row],[Equity Peak]]-Tabla33610673[[#This Row],[Equity]])/Tabla33610673[[#This Row],[Equity Peak]],"")</f>
        <v>1.1981727865005867E-2</v>
      </c>
      <c r="V351" s="254">
        <f>IF(B351="FX",N351,0)</f>
        <v>0</v>
      </c>
      <c r="W351" s="254">
        <f>IF(D351="O",IF(V351&lt;0,V351,0),0)</f>
        <v>0</v>
      </c>
      <c r="X351" s="254">
        <f>IF(B351="COM",N351,0)</f>
        <v>0</v>
      </c>
      <c r="Y351" s="254">
        <f>IF(D351="O",IF(X351&lt;0,X351,0),0)</f>
        <v>0</v>
      </c>
      <c r="Z351" s="254">
        <f>IF(B351="IND",N351,0)</f>
        <v>5.99</v>
      </c>
      <c r="AA351" s="250">
        <f>IF(D351="O",IF(Z351&lt;0,Z351,0),0)</f>
        <v>0</v>
      </c>
      <c r="AB351" s="254">
        <f>IF(B351="CRYPTO",N351,0)</f>
        <v>0</v>
      </c>
      <c r="AC351" s="250">
        <f>IF(D351="O",IF(AB351&lt;0,AB351,0),0)</f>
        <v>0</v>
      </c>
      <c r="AD351" s="255">
        <f>IF(K351&lt;&gt;"",K351-E351,0)</f>
        <v>1.0166666666700621</v>
      </c>
      <c r="AE351" s="255">
        <f>IF(N351&gt;0,AD351,0)</f>
        <v>1.0166666666700621</v>
      </c>
      <c r="AF351" s="255">
        <f>IF(N351&lt;0,AD351,0)</f>
        <v>0</v>
      </c>
      <c r="AG351" s="255">
        <f>IF(N351=0,AD351,0)</f>
        <v>0</v>
      </c>
    </row>
    <row r="352" spans="2:33" ht="15" customHeight="1" x14ac:dyDescent="0.3">
      <c r="B352" s="196" t="s">
        <v>5</v>
      </c>
      <c r="C352" s="197" t="s">
        <v>15</v>
      </c>
      <c r="D352" s="246" t="str">
        <f>IF(E352&lt;&gt;"",IF(K352&lt;&gt;"","C","O"),"")</f>
        <v>C</v>
      </c>
      <c r="E352" s="199">
        <v>44761.822916666664</v>
      </c>
      <c r="F352" s="200" t="s">
        <v>93</v>
      </c>
      <c r="G352" s="235">
        <v>12160.33</v>
      </c>
      <c r="H352" s="235">
        <v>12122.43</v>
      </c>
      <c r="I352" s="247">
        <f>ABS(G352-H352)</f>
        <v>37.899999999999636</v>
      </c>
      <c r="J352" s="235">
        <v>12564.6</v>
      </c>
      <c r="K352" s="199">
        <v>44762.567361111112</v>
      </c>
      <c r="L352" s="235">
        <v>12235.98</v>
      </c>
      <c r="M352" s="248">
        <f>ROUND(IF(C352="L",(L352-G352),(G352-L352)),4)</f>
        <v>75.650000000000006</v>
      </c>
      <c r="N352" s="249">
        <f>IFERROR(ROUND((M352/I352),2),"")</f>
        <v>2</v>
      </c>
      <c r="O352" s="250">
        <f>IF(D352="O",IF(N352&lt;0,N352,0),0)</f>
        <v>0</v>
      </c>
      <c r="P352" s="251">
        <f>IF(N352&gt;= 0,N352,0)</f>
        <v>2</v>
      </c>
      <c r="Q352" s="251">
        <f>IF(N352&lt;0,N352,0)</f>
        <v>0</v>
      </c>
      <c r="R3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38982</v>
      </c>
      <c r="T3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2" s="253">
        <f ca="1">IF(Tabla33610673[[#This Row],[Equity]]&lt;Tabla33610673[[#This Row],[Equity Peak]],(Tabla33610673[[#This Row],[Equity Peak]]-Tabla33610673[[#This Row],[Equity]])/Tabla33610673[[#This Row],[Equity Peak]],"")</f>
        <v>2.6933925763211103E-2</v>
      </c>
      <c r="V352" s="254">
        <f>IF(B352="FX",N352,0)</f>
        <v>0</v>
      </c>
      <c r="W352" s="254">
        <f>IF(D352="O",IF(V352&lt;0,V352,0),0)</f>
        <v>0</v>
      </c>
      <c r="X352" s="254">
        <f>IF(B352="COM",N352,0)</f>
        <v>0</v>
      </c>
      <c r="Y352" s="254">
        <f>IF(D352="O",IF(X352&lt;0,X352,0),0)</f>
        <v>0</v>
      </c>
      <c r="Z352" s="254">
        <f>IF(B352="IND",N352,0)</f>
        <v>2</v>
      </c>
      <c r="AA352" s="250">
        <f>IF(D352="O",IF(Z352&lt;0,Z352,0),0)</f>
        <v>0</v>
      </c>
      <c r="AB352" s="254">
        <f>IF(B352="CRYPTO",N352,0)</f>
        <v>0</v>
      </c>
      <c r="AC352" s="250">
        <f>IF(D352="O",IF(AB352&lt;0,AB352,0),0)</f>
        <v>0</v>
      </c>
      <c r="AD352" s="255">
        <f>IF(K352&lt;&gt;"",K352-E352,0)</f>
        <v>0.74444444444816327</v>
      </c>
      <c r="AE352" s="255">
        <f>IF(N352&gt;0,AD352,0)</f>
        <v>0.74444444444816327</v>
      </c>
      <c r="AF352" s="255">
        <f>IF(N352&lt;0,AD352,0)</f>
        <v>0</v>
      </c>
      <c r="AG352" s="255">
        <f>IF(N352=0,AD352,0)</f>
        <v>0</v>
      </c>
    </row>
    <row r="353" spans="2:33" ht="15" customHeight="1" x14ac:dyDescent="0.3">
      <c r="B353" s="196" t="s">
        <v>7</v>
      </c>
      <c r="C353" s="197" t="s">
        <v>15</v>
      </c>
      <c r="D353" s="246" t="str">
        <f>IF(E353&lt;&gt;"",IF(K353&lt;&gt;"","C","O"),"")</f>
        <v>C</v>
      </c>
      <c r="E353" s="199">
        <v>44762.135416666664</v>
      </c>
      <c r="F353" s="200" t="s">
        <v>115</v>
      </c>
      <c r="G353" s="235">
        <v>166.1</v>
      </c>
      <c r="H353" s="235">
        <v>165.55500000000001</v>
      </c>
      <c r="I353" s="247">
        <f>ABS(G353-H353)</f>
        <v>0.54499999999998749</v>
      </c>
      <c r="J353" s="235">
        <v>167.65600000000001</v>
      </c>
      <c r="K353" s="199">
        <v>44762.566666666666</v>
      </c>
      <c r="L353" s="235">
        <v>165.57300000000001</v>
      </c>
      <c r="M353" s="248">
        <f>ROUND(IF(C353="L",(L353-G353),(G353-L353)),4)</f>
        <v>-0.52700000000000002</v>
      </c>
      <c r="N353" s="249">
        <f>IFERROR(ROUND((M353/I353),2),"")</f>
        <v>-0.97</v>
      </c>
      <c r="O353" s="250">
        <f>IF(D353="O",IF(N353&lt;0,N353,0),0)</f>
        <v>0</v>
      </c>
      <c r="P353" s="251">
        <f>IF(N353&gt;= 0,N353,0)</f>
        <v>0</v>
      </c>
      <c r="Q353" s="251">
        <f>IF(N353&lt;0,N353,0)</f>
        <v>-0.97</v>
      </c>
      <c r="R3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38782</v>
      </c>
      <c r="T3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3" s="253">
        <f ca="1">IF(Tabla33610673[[#This Row],[Equity]]&lt;Tabla33610673[[#This Row],[Equity Peak]],(Tabla33610673[[#This Row],[Equity Peak]]-Tabla33610673[[#This Row],[Equity]])/Tabla33610673[[#This Row],[Equity Peak]],"")</f>
        <v>3.1926312373630215E-2</v>
      </c>
      <c r="V353" s="254">
        <f>IF(B353="FX",N353,0)</f>
        <v>-0.97</v>
      </c>
      <c r="W353" s="254">
        <f>IF(D353="O",IF(V353&lt;0,V353,0),0)</f>
        <v>0</v>
      </c>
      <c r="X353" s="254">
        <f>IF(B353="COM",N353,0)</f>
        <v>0</v>
      </c>
      <c r="Y353" s="254">
        <f>IF(D353="O",IF(X353&lt;0,X353,0),0)</f>
        <v>0</v>
      </c>
      <c r="Z353" s="254">
        <f>IF(B353="IND",N353,0)</f>
        <v>0</v>
      </c>
      <c r="AA353" s="250">
        <f>IF(D353="O",IF(Z353&lt;0,Z353,0),0)</f>
        <v>0</v>
      </c>
      <c r="AB353" s="254">
        <f>IF(B353="CRYPTO",N353,0)</f>
        <v>0</v>
      </c>
      <c r="AC353" s="250">
        <f>IF(D353="O",IF(AB353&lt;0,AB353,0),0)</f>
        <v>0</v>
      </c>
      <c r="AD353" s="255">
        <f>IF(K353&lt;&gt;"",K353-E353,0)</f>
        <v>0.43125000000145519</v>
      </c>
      <c r="AE353" s="255">
        <f>IF(N353&gt;0,AD353,0)</f>
        <v>0</v>
      </c>
      <c r="AF353" s="255">
        <f>IF(N353&lt;0,AD353,0)</f>
        <v>0.43125000000145519</v>
      </c>
      <c r="AG353" s="255">
        <f>IF(N353=0,AD353,0)</f>
        <v>0</v>
      </c>
    </row>
    <row r="354" spans="2:33" ht="15" customHeight="1" x14ac:dyDescent="0.3">
      <c r="B354" s="196" t="s">
        <v>7</v>
      </c>
      <c r="C354" s="197" t="s">
        <v>15</v>
      </c>
      <c r="D354" s="246" t="str">
        <f>IF(E354&lt;&gt;"",IF(K354&lt;&gt;"","C","O"),"")</f>
        <v>C</v>
      </c>
      <c r="E354" s="199">
        <v>44761.447916666664</v>
      </c>
      <c r="F354" s="200" t="s">
        <v>114</v>
      </c>
      <c r="G354" s="235">
        <v>1.02108</v>
      </c>
      <c r="H354" s="235">
        <v>1.0187900000000001</v>
      </c>
      <c r="I354" s="247">
        <f>ABS(G354-H354)</f>
        <v>2.2899999999999032E-3</v>
      </c>
      <c r="J354" s="235">
        <v>1.04172</v>
      </c>
      <c r="K354" s="199">
        <v>44762.459027777775</v>
      </c>
      <c r="L354" s="235">
        <v>1.0220199999999999</v>
      </c>
      <c r="M354" s="248">
        <f>ROUND(IF(C354="L",(L354-G354),(G354-L354)),4)</f>
        <v>8.9999999999999998E-4</v>
      </c>
      <c r="N354" s="249">
        <f>IFERROR(ROUND((M354/I354),2),"")</f>
        <v>0.39</v>
      </c>
      <c r="O354" s="250">
        <f>IF(D354="O",IF(N354&lt;0,N354,0),0)</f>
        <v>0</v>
      </c>
      <c r="P354" s="251">
        <f>IF(N354&gt;= 0,N354,0)</f>
        <v>0.39</v>
      </c>
      <c r="Q354" s="251">
        <f>IF(N354&lt;0,N354,0)</f>
        <v>0</v>
      </c>
      <c r="R3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38879</v>
      </c>
      <c r="T3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4" s="253">
        <f ca="1">IF(Tabla33610673[[#This Row],[Equity]]&lt;Tabla33610673[[#This Row],[Equity Peak]],(Tabla33610673[[#This Row],[Equity Peak]]-Tabla33610673[[#This Row],[Equity]])/Tabla33610673[[#This Row],[Equity Peak]],"")</f>
        <v>2.9505004867576946E-2</v>
      </c>
      <c r="V354" s="254">
        <f>IF(B354="FX",N354,0)</f>
        <v>0.39</v>
      </c>
      <c r="W354" s="254">
        <f>IF(D354="O",IF(V354&lt;0,V354,0),0)</f>
        <v>0</v>
      </c>
      <c r="X354" s="254">
        <f>IF(B354="COM",N354,0)</f>
        <v>0</v>
      </c>
      <c r="Y354" s="254">
        <f>IF(D354="O",IF(X354&lt;0,X354,0),0)</f>
        <v>0</v>
      </c>
      <c r="Z354" s="254">
        <f>IF(B354="IND",N354,0)</f>
        <v>0</v>
      </c>
      <c r="AA354" s="250">
        <f>IF(D354="O",IF(Z354&lt;0,Z354,0),0)</f>
        <v>0</v>
      </c>
      <c r="AB354" s="254">
        <f>IF(B354="CRYPTO",N354,0)</f>
        <v>0</v>
      </c>
      <c r="AC354" s="250">
        <f>IF(D354="O",IF(AB354&lt;0,AB354,0),0)</f>
        <v>0</v>
      </c>
      <c r="AD354" s="255">
        <f>IF(K354&lt;&gt;"",K354-E354,0)</f>
        <v>1.0111111111109494</v>
      </c>
      <c r="AE354" s="255">
        <f>IF(N354&gt;0,AD354,0)</f>
        <v>1.0111111111109494</v>
      </c>
      <c r="AF354" s="255">
        <f>IF(N354&lt;0,AD354,0)</f>
        <v>0</v>
      </c>
      <c r="AG354" s="255">
        <f>IF(N354=0,AD354,0)</f>
        <v>0</v>
      </c>
    </row>
    <row r="355" spans="2:33" ht="15" customHeight="1" x14ac:dyDescent="0.3">
      <c r="B355" s="196" t="s">
        <v>5</v>
      </c>
      <c r="C355" s="197" t="s">
        <v>15</v>
      </c>
      <c r="D355" s="246" t="str">
        <f>IF(E355&lt;&gt;"",IF(K355&lt;&gt;"","C","O"),"")</f>
        <v>C</v>
      </c>
      <c r="E355" s="199">
        <v>44761.708333333336</v>
      </c>
      <c r="F355" s="200" t="s">
        <v>91</v>
      </c>
      <c r="G355" s="235">
        <v>13102.78</v>
      </c>
      <c r="H355" s="235">
        <v>13060.99</v>
      </c>
      <c r="I355" s="247">
        <f>ABS(G355-H355)</f>
        <v>41.790000000000873</v>
      </c>
      <c r="J355" s="235">
        <v>13882.8</v>
      </c>
      <c r="K355" s="199">
        <v>44762.446527777778</v>
      </c>
      <c r="L355" s="235">
        <v>13293.37</v>
      </c>
      <c r="M355" s="248">
        <f>ROUND(IF(C355="L",(L355-G355),(G355-L355)),4)</f>
        <v>190.59</v>
      </c>
      <c r="N355" s="249">
        <f>IFERROR(ROUND((M355/I355),2),"")</f>
        <v>4.5599999999999996</v>
      </c>
      <c r="O355" s="250">
        <f>IF(D355="O",IF(N355&lt;0,N355,0),0)</f>
        <v>0</v>
      </c>
      <c r="P355" s="251">
        <f>IF(N355&gt;= 0,N355,0)</f>
        <v>4.5599999999999996</v>
      </c>
      <c r="Q355" s="251">
        <f>IF(N355&lt;0,N355,0)</f>
        <v>0</v>
      </c>
      <c r="R3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38840</v>
      </c>
      <c r="T3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5" s="253">
        <f ca="1">IF(Tabla33610673[[#This Row],[Equity]]&lt;Tabla33610673[[#This Row],[Equity Peak]],(Tabla33610673[[#This Row],[Equity Peak]]-Tabla33610673[[#This Row],[Equity]])/Tabla33610673[[#This Row],[Equity Peak]],"")</f>
        <v>3.047852025660867E-2</v>
      </c>
      <c r="V355" s="254">
        <f>IF(B355="FX",N355,0)</f>
        <v>0</v>
      </c>
      <c r="W355" s="254">
        <f>IF(D355="O",IF(V355&lt;0,V355,0),0)</f>
        <v>0</v>
      </c>
      <c r="X355" s="254">
        <f>IF(B355="COM",N355,0)</f>
        <v>0</v>
      </c>
      <c r="Y355" s="254">
        <f>IF(D355="O",IF(X355&lt;0,X355,0),0)</f>
        <v>0</v>
      </c>
      <c r="Z355" s="254">
        <f>IF(B355="IND",N355,0)</f>
        <v>4.5599999999999996</v>
      </c>
      <c r="AA355" s="250">
        <f>IF(D355="O",IF(Z355&lt;0,Z355,0),0)</f>
        <v>0</v>
      </c>
      <c r="AB355" s="254">
        <f>IF(B355="CRYPTO",N355,0)</f>
        <v>0</v>
      </c>
      <c r="AC355" s="250">
        <f>IF(D355="O",IF(AB355&lt;0,AB355,0),0)</f>
        <v>0</v>
      </c>
      <c r="AD355" s="255">
        <f>IF(K355&lt;&gt;"",K355-E355,0)</f>
        <v>0.7381944444423425</v>
      </c>
      <c r="AE355" s="255">
        <f>IF(N355&gt;0,AD355,0)</f>
        <v>0.7381944444423425</v>
      </c>
      <c r="AF355" s="255">
        <f>IF(N355&lt;0,AD355,0)</f>
        <v>0</v>
      </c>
      <c r="AG355" s="255">
        <f>IF(N355=0,AD355,0)</f>
        <v>0</v>
      </c>
    </row>
    <row r="356" spans="2:33" ht="15" customHeight="1" x14ac:dyDescent="0.3">
      <c r="B356" s="196" t="s">
        <v>7</v>
      </c>
      <c r="C356" s="197" t="s">
        <v>15</v>
      </c>
      <c r="D356" s="246" t="str">
        <f>IF(E356&lt;&gt;"",IF(K356&lt;&gt;"","C","O"),"")</f>
        <v>C</v>
      </c>
      <c r="E356" s="199">
        <v>44760.427083333336</v>
      </c>
      <c r="F356" s="200" t="s">
        <v>115</v>
      </c>
      <c r="G356" s="235">
        <v>164.798</v>
      </c>
      <c r="H356" s="235">
        <v>164.256</v>
      </c>
      <c r="I356" s="247">
        <f>ABS(G356-H356)</f>
        <v>0.54200000000000159</v>
      </c>
      <c r="J356" s="235">
        <v>166.34700000000001</v>
      </c>
      <c r="K356" s="199">
        <v>44760.865972222222</v>
      </c>
      <c r="L356" s="235">
        <v>165.15</v>
      </c>
      <c r="M356" s="248">
        <f>ROUND(IF(C356="L",(L356-G356),(G356-L356)),4)</f>
        <v>0.35199999999999998</v>
      </c>
      <c r="N356" s="249">
        <f>IFERROR(ROUND((M356/I356),2),"")</f>
        <v>0.65</v>
      </c>
      <c r="O356" s="250">
        <f>IF(D356="O",IF(N356&lt;0,N356,0),0)</f>
        <v>0</v>
      </c>
      <c r="P356" s="251">
        <f>IF(N356&gt;= 0,N356,0)</f>
        <v>0.65</v>
      </c>
      <c r="Q356" s="251">
        <f>IF(N356&lt;0,N356,0)</f>
        <v>0</v>
      </c>
      <c r="R3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38384</v>
      </c>
      <c r="T3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6" s="253">
        <f ca="1">IF(Tabla33610673[[#This Row],[Equity]]&lt;Tabla33610673[[#This Row],[Equity Peak]],(Tabla33610673[[#This Row],[Equity Peak]]-Tabla33610673[[#This Row],[Equity]])/Tabla33610673[[#This Row],[Equity Peak]],"")</f>
        <v>4.1861161728364245E-2</v>
      </c>
      <c r="V356" s="254">
        <f>IF(B356="FX",N356,0)</f>
        <v>0.65</v>
      </c>
      <c r="W356" s="254">
        <f>IF(D356="O",IF(V356&lt;0,V356,0),0)</f>
        <v>0</v>
      </c>
      <c r="X356" s="254">
        <f>IF(B356="COM",N356,0)</f>
        <v>0</v>
      </c>
      <c r="Y356" s="254">
        <f>IF(D356="O",IF(X356&lt;0,X356,0),0)</f>
        <v>0</v>
      </c>
      <c r="Z356" s="254">
        <f>IF(B356="IND",N356,0)</f>
        <v>0</v>
      </c>
      <c r="AA356" s="250">
        <f>IF(D356="O",IF(Z356&lt;0,Z356,0),0)</f>
        <v>0</v>
      </c>
      <c r="AB356" s="254">
        <f>IF(B356="CRYPTO",N356,0)</f>
        <v>0</v>
      </c>
      <c r="AC356" s="250">
        <f>IF(D356="O",IF(AB356&lt;0,AB356,0),0)</f>
        <v>0</v>
      </c>
      <c r="AD356" s="255">
        <f>IF(K356&lt;&gt;"",K356-E356,0)</f>
        <v>0.43888888888614019</v>
      </c>
      <c r="AE356" s="255">
        <f>IF(N356&gt;0,AD356,0)</f>
        <v>0.43888888888614019</v>
      </c>
      <c r="AF356" s="255">
        <f>IF(N356&lt;0,AD356,0)</f>
        <v>0</v>
      </c>
      <c r="AG356" s="255">
        <f>IF(N356=0,AD356,0)</f>
        <v>0</v>
      </c>
    </row>
    <row r="357" spans="2:33" ht="15" customHeight="1" x14ac:dyDescent="0.3">
      <c r="B357" s="196" t="s">
        <v>5</v>
      </c>
      <c r="C357" s="197" t="s">
        <v>15</v>
      </c>
      <c r="D357" s="246" t="str">
        <f>IF(E357&lt;&gt;"",IF(K357&lt;&gt;"","C","O"),"")</f>
        <v>C</v>
      </c>
      <c r="E357" s="199">
        <v>44757.958333333336</v>
      </c>
      <c r="F357" s="200" t="s">
        <v>92</v>
      </c>
      <c r="G357" s="235">
        <v>11970.87</v>
      </c>
      <c r="H357" s="235">
        <v>11931.06</v>
      </c>
      <c r="I357" s="247">
        <f>ABS(G357-H357)</f>
        <v>39.81000000000131</v>
      </c>
      <c r="J357" s="235">
        <v>12713.99</v>
      </c>
      <c r="K357" s="199">
        <v>44760.856944444444</v>
      </c>
      <c r="L357" s="235">
        <v>12045.38</v>
      </c>
      <c r="M357" s="248">
        <f>ROUND(IF(C357="L",(L357-G357),(G357-L357)),4)</f>
        <v>74.510000000000005</v>
      </c>
      <c r="N357" s="249">
        <f>IFERROR(ROUND((M357/I357),2),"")</f>
        <v>1.87</v>
      </c>
      <c r="O357" s="250">
        <f>IF(D357="O",IF(N357&lt;0,N357,0),0)</f>
        <v>0</v>
      </c>
      <c r="P357" s="251">
        <f>IF(N357&gt;= 0,N357,0)</f>
        <v>1.87</v>
      </c>
      <c r="Q357" s="251">
        <f>IF(N357&lt;0,N357,0)</f>
        <v>0</v>
      </c>
      <c r="R3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38319</v>
      </c>
      <c r="T3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7" s="253">
        <f ca="1">IF(Tabla33610673[[#This Row],[Equity]]&lt;Tabla33610673[[#This Row],[Equity Peak]],(Tabla33610673[[#This Row],[Equity Peak]]-Tabla33610673[[#This Row],[Equity]])/Tabla33610673[[#This Row],[Equity Peak]],"")</f>
        <v>4.3483687376750457E-2</v>
      </c>
      <c r="V357" s="254">
        <f>IF(B357="FX",N357,0)</f>
        <v>0</v>
      </c>
      <c r="W357" s="254">
        <f>IF(D357="O",IF(V357&lt;0,V357,0),0)</f>
        <v>0</v>
      </c>
      <c r="X357" s="254">
        <f>IF(B357="COM",N357,0)</f>
        <v>0</v>
      </c>
      <c r="Y357" s="254">
        <f>IF(D357="O",IF(X357&lt;0,X357,0),0)</f>
        <v>0</v>
      </c>
      <c r="Z357" s="254">
        <f>IF(B357="IND",N357,0)</f>
        <v>1.87</v>
      </c>
      <c r="AA357" s="250">
        <f>IF(D357="O",IF(Z357&lt;0,Z357,0),0)</f>
        <v>0</v>
      </c>
      <c r="AB357" s="254">
        <f>IF(B357="CRYPTO",N357,0)</f>
        <v>0</v>
      </c>
      <c r="AC357" s="250">
        <f>IF(D357="O",IF(AB357&lt;0,AB357,0),0)</f>
        <v>0</v>
      </c>
      <c r="AD357" s="255">
        <f>IF(K357&lt;&gt;"",K357-E357,0)</f>
        <v>2.898611111108039</v>
      </c>
      <c r="AE357" s="255">
        <f>IF(N357&gt;0,AD357,0)</f>
        <v>2.898611111108039</v>
      </c>
      <c r="AF357" s="255">
        <f>IF(N357&lt;0,AD357,0)</f>
        <v>0</v>
      </c>
      <c r="AG357" s="255">
        <f>IF(N357=0,AD357,0)</f>
        <v>0</v>
      </c>
    </row>
    <row r="358" spans="2:33" ht="15" customHeight="1" x14ac:dyDescent="0.3">
      <c r="B358" s="196" t="s">
        <v>5</v>
      </c>
      <c r="C358" s="197" t="s">
        <v>15</v>
      </c>
      <c r="D358" s="246" t="str">
        <f>IF(E358&lt;&gt;"",IF(K358&lt;&gt;"","C","O"),"")</f>
        <v>C</v>
      </c>
      <c r="E358" s="199">
        <v>44757.958333333336</v>
      </c>
      <c r="F358" s="200" t="s">
        <v>93</v>
      </c>
      <c r="G358" s="235">
        <v>11970.87</v>
      </c>
      <c r="H358" s="235">
        <v>11933.18</v>
      </c>
      <c r="I358" s="247">
        <f>ABS(G358-H358)</f>
        <v>37.690000000000509</v>
      </c>
      <c r="J358" s="235">
        <v>12372.87</v>
      </c>
      <c r="K358" s="199">
        <v>44760.847916666666</v>
      </c>
      <c r="L358" s="235">
        <v>12073.99</v>
      </c>
      <c r="M358" s="248">
        <f>ROUND(IF(C358="L",(L358-G358),(G358-L358)),4)</f>
        <v>103.12</v>
      </c>
      <c r="N358" s="249">
        <f>IFERROR(ROUND((M358/I358),2),"")</f>
        <v>2.74</v>
      </c>
      <c r="O358" s="250">
        <f>IF(D358="O",IF(N358&lt;0,N358,0),0)</f>
        <v>0</v>
      </c>
      <c r="P358" s="251">
        <f>IF(N358&gt;= 0,N358,0)</f>
        <v>2.74</v>
      </c>
      <c r="Q358" s="251">
        <f>IF(N358&lt;0,N358,0)</f>
        <v>0</v>
      </c>
      <c r="R3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38132</v>
      </c>
      <c r="T3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8" s="253">
        <f ca="1">IF(Tabla33610673[[#This Row],[Equity]]&lt;Tabla33610673[[#This Row],[Equity Peak]],(Tabla33610673[[#This Row],[Equity Peak]]-Tabla33610673[[#This Row],[Equity]])/Tabla33610673[[#This Row],[Equity Peak]],"")</f>
        <v>4.8151568857492326E-2</v>
      </c>
      <c r="V358" s="254">
        <f>IF(B358="FX",N358,0)</f>
        <v>0</v>
      </c>
      <c r="W358" s="254">
        <f>IF(D358="O",IF(V358&lt;0,V358,0),0)</f>
        <v>0</v>
      </c>
      <c r="X358" s="254">
        <f>IF(B358="COM",N358,0)</f>
        <v>0</v>
      </c>
      <c r="Y358" s="254">
        <f>IF(D358="O",IF(X358&lt;0,X358,0),0)</f>
        <v>0</v>
      </c>
      <c r="Z358" s="254">
        <f>IF(B358="IND",N358,0)</f>
        <v>2.74</v>
      </c>
      <c r="AA358" s="250">
        <f>IF(D358="O",IF(Z358&lt;0,Z358,0),0)</f>
        <v>0</v>
      </c>
      <c r="AB358" s="254">
        <f>IF(B358="CRYPTO",N358,0)</f>
        <v>0</v>
      </c>
      <c r="AC358" s="250">
        <f>IF(D358="O",IF(AB358&lt;0,AB358,0),0)</f>
        <v>0</v>
      </c>
      <c r="AD358" s="255">
        <f>IF(K358&lt;&gt;"",K358-E358,0)</f>
        <v>2.8895833333299379</v>
      </c>
      <c r="AE358" s="255">
        <f>IF(N358&gt;0,AD358,0)</f>
        <v>2.8895833333299379</v>
      </c>
      <c r="AF358" s="255">
        <f>IF(N358&lt;0,AD358,0)</f>
        <v>0</v>
      </c>
      <c r="AG358" s="255">
        <f>IF(N358=0,AD358,0)</f>
        <v>0</v>
      </c>
    </row>
    <row r="359" spans="2:33" ht="15" customHeight="1" x14ac:dyDescent="0.3">
      <c r="B359" s="196" t="s">
        <v>7</v>
      </c>
      <c r="C359" s="197" t="s">
        <v>15</v>
      </c>
      <c r="D359" s="246" t="str">
        <f>IF(E359&lt;&gt;"",IF(K359&lt;&gt;"","C","O"),"")</f>
        <v>C</v>
      </c>
      <c r="E359" s="199">
        <v>44760.75</v>
      </c>
      <c r="F359" s="200" t="s">
        <v>114</v>
      </c>
      <c r="G359" s="235">
        <v>1.0194399999999999</v>
      </c>
      <c r="H359" s="235">
        <v>1.0168900000000001</v>
      </c>
      <c r="I359" s="247">
        <f>ABS(G359-H359)</f>
        <v>2.5499999999998302E-3</v>
      </c>
      <c r="J359" s="235">
        <v>1.04236</v>
      </c>
      <c r="K359" s="199">
        <v>44760.763888888891</v>
      </c>
      <c r="L359" s="235">
        <v>1.0168900000000001</v>
      </c>
      <c r="M359" s="248">
        <f>ROUND(IF(C359="L",(L359-G359),(G359-L359)),4)</f>
        <v>-2.5000000000000001E-3</v>
      </c>
      <c r="N359" s="249">
        <f>IFERROR(ROUND((M359/I359),2),"")</f>
        <v>-0.98</v>
      </c>
      <c r="O359" s="250">
        <f>IF(D359="O",IF(N359&lt;0,N359,0),0)</f>
        <v>0</v>
      </c>
      <c r="P359" s="251">
        <f>IF(N359&gt;= 0,N359,0)</f>
        <v>0</v>
      </c>
      <c r="Q359" s="251">
        <f>IF(N359&lt;0,N359,0)</f>
        <v>-0.98</v>
      </c>
      <c r="R3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37858</v>
      </c>
      <c r="T3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59" s="253">
        <f ca="1">IF(Tabla33610673[[#This Row],[Equity]]&lt;Tabla33610673[[#This Row],[Equity Peak]],(Tabla33610673[[#This Row],[Equity Peak]]-Tabla33610673[[#This Row],[Equity]])/Tabla33610673[[#This Row],[Equity Peak]],"")</f>
        <v>5.4991138513766503E-2</v>
      </c>
      <c r="V359" s="254">
        <f>IF(B359="FX",N359,0)</f>
        <v>-0.98</v>
      </c>
      <c r="W359" s="254">
        <f>IF(D359="O",IF(V359&lt;0,V359,0),0)</f>
        <v>0</v>
      </c>
      <c r="X359" s="254">
        <f>IF(B359="COM",N359,0)</f>
        <v>0</v>
      </c>
      <c r="Y359" s="254">
        <f>IF(D359="O",IF(X359&lt;0,X359,0),0)</f>
        <v>0</v>
      </c>
      <c r="Z359" s="254">
        <f>IF(B359="IND",N359,0)</f>
        <v>0</v>
      </c>
      <c r="AA359" s="250">
        <f>IF(D359="O",IF(Z359&lt;0,Z359,0),0)</f>
        <v>0</v>
      </c>
      <c r="AB359" s="254">
        <f>IF(B359="CRYPTO",N359,0)</f>
        <v>0</v>
      </c>
      <c r="AC359" s="250">
        <f>IF(D359="O",IF(AB359&lt;0,AB359,0),0)</f>
        <v>0</v>
      </c>
      <c r="AD359" s="255">
        <f>IF(K359&lt;&gt;"",K359-E359,0)</f>
        <v>1.3888888890505768E-2</v>
      </c>
      <c r="AE359" s="255">
        <f>IF(N359&gt;0,AD359,0)</f>
        <v>0</v>
      </c>
      <c r="AF359" s="255">
        <f>IF(N359&lt;0,AD359,0)</f>
        <v>1.3888888890505768E-2</v>
      </c>
      <c r="AG359" s="255">
        <f>IF(N359=0,AD359,0)</f>
        <v>0</v>
      </c>
    </row>
    <row r="360" spans="2:33" ht="15" customHeight="1" x14ac:dyDescent="0.3">
      <c r="B360" s="196" t="s">
        <v>5</v>
      </c>
      <c r="C360" s="197" t="s">
        <v>15</v>
      </c>
      <c r="D360" s="246" t="str">
        <f>IF(E360&lt;&gt;"",IF(K360&lt;&gt;"","C","O"),"")</f>
        <v>C</v>
      </c>
      <c r="E360" s="199">
        <v>44760.447916666664</v>
      </c>
      <c r="F360" s="200" t="s">
        <v>91</v>
      </c>
      <c r="G360" s="235">
        <v>13023.46</v>
      </c>
      <c r="H360" s="235">
        <v>12978.94</v>
      </c>
      <c r="I360" s="247">
        <f>ABS(G360-H360)</f>
        <v>44.519999999998618</v>
      </c>
      <c r="J360" s="235">
        <v>13854.56</v>
      </c>
      <c r="K360" s="199">
        <v>44760.640277777777</v>
      </c>
      <c r="L360" s="235">
        <v>12989.52</v>
      </c>
      <c r="M360" s="248">
        <f>ROUND(IF(C360="L",(L360-G360),(G360-L360)),4)</f>
        <v>-33.94</v>
      </c>
      <c r="N360" s="249">
        <f>IFERROR(ROUND((M360/I360),2),"")</f>
        <v>-0.76</v>
      </c>
      <c r="O360" s="250">
        <f>IF(D360="O",IF(N360&lt;0,N360,0),0)</f>
        <v>0</v>
      </c>
      <c r="P360" s="251">
        <f>IF(N360&gt;= 0,N360,0)</f>
        <v>0</v>
      </c>
      <c r="Q360" s="251">
        <f>IF(N360&lt;0,N360,0)</f>
        <v>-0.76</v>
      </c>
      <c r="R3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37956</v>
      </c>
      <c r="T3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0" s="253">
        <f ca="1">IF(Tabla33610673[[#This Row],[Equity]]&lt;Tabla33610673[[#This Row],[Equity Peak]],(Tabla33610673[[#This Row],[Equity Peak]]-Tabla33610673[[#This Row],[Equity]])/Tabla33610673[[#This Row],[Equity Peak]],"")</f>
        <v>5.2544869074661139E-2</v>
      </c>
      <c r="V360" s="254">
        <f>IF(B360="FX",N360,0)</f>
        <v>0</v>
      </c>
      <c r="W360" s="254">
        <f>IF(D360="O",IF(V360&lt;0,V360,0),0)</f>
        <v>0</v>
      </c>
      <c r="X360" s="254">
        <f>IF(B360="COM",N360,0)</f>
        <v>0</v>
      </c>
      <c r="Y360" s="254">
        <f>IF(D360="O",IF(X360&lt;0,X360,0),0)</f>
        <v>0</v>
      </c>
      <c r="Z360" s="254">
        <f>IF(B360="IND",N360,0)</f>
        <v>-0.76</v>
      </c>
      <c r="AA360" s="250">
        <f>IF(D360="O",IF(Z360&lt;0,Z360,0),0)</f>
        <v>0</v>
      </c>
      <c r="AB360" s="254">
        <f>IF(B360="CRYPTO",N360,0)</f>
        <v>0</v>
      </c>
      <c r="AC360" s="250">
        <f>IF(D360="O",IF(AB360&lt;0,AB360,0),0)</f>
        <v>0</v>
      </c>
      <c r="AD360" s="255">
        <f>IF(K360&lt;&gt;"",K360-E360,0)</f>
        <v>0.19236111111240461</v>
      </c>
      <c r="AE360" s="255">
        <f>IF(N360&gt;0,AD360,0)</f>
        <v>0</v>
      </c>
      <c r="AF360" s="255">
        <f>IF(N360&lt;0,AD360,0)</f>
        <v>0.19236111111240461</v>
      </c>
      <c r="AG360" s="255">
        <f>IF(N360=0,AD360,0)</f>
        <v>0</v>
      </c>
    </row>
    <row r="361" spans="2:33" ht="15" customHeight="1" x14ac:dyDescent="0.3">
      <c r="B361" s="196" t="s">
        <v>5</v>
      </c>
      <c r="C361" s="197" t="s">
        <v>15</v>
      </c>
      <c r="D361" s="246" t="str">
        <f>IF(E361&lt;&gt;"",IF(K361&lt;&gt;"","C","O"),"")</f>
        <v>C</v>
      </c>
      <c r="E361" s="199">
        <v>44757.760416666664</v>
      </c>
      <c r="F361" s="200" t="s">
        <v>92</v>
      </c>
      <c r="G361" s="235">
        <v>11949.07</v>
      </c>
      <c r="H361" s="235">
        <v>11908.81</v>
      </c>
      <c r="I361" s="247">
        <f>ABS(G361-H361)</f>
        <v>40.260000000000218</v>
      </c>
      <c r="J361" s="235">
        <v>12700.63</v>
      </c>
      <c r="K361" s="199">
        <v>44757.792361111111</v>
      </c>
      <c r="L361" s="235">
        <v>11908.81</v>
      </c>
      <c r="M361" s="248">
        <f>ROUND(IF(C361="L",(L361-G361),(G361-L361)),4)</f>
        <v>-40.26</v>
      </c>
      <c r="N361" s="249">
        <f>IFERROR(ROUND((M361/I361),2),"")</f>
        <v>-1</v>
      </c>
      <c r="O361" s="250">
        <f>IF(D361="O",IF(N361&lt;0,N361,0),0)</f>
        <v>0</v>
      </c>
      <c r="P361" s="251">
        <f>IF(N361&gt;= 0,N361,0)</f>
        <v>0</v>
      </c>
      <c r="Q361" s="251">
        <f>IF(N361&lt;0,N361,0)</f>
        <v>-1</v>
      </c>
      <c r="R3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38032</v>
      </c>
      <c r="T3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1" s="253">
        <f ca="1">IF(Tabla33610673[[#This Row],[Equity]]&lt;Tabla33610673[[#This Row],[Equity Peak]],(Tabla33610673[[#This Row],[Equity Peak]]-Tabla33610673[[#This Row],[Equity]])/Tabla33610673[[#This Row],[Equity Peak]],"")</f>
        <v>5.0647762162701879E-2</v>
      </c>
      <c r="V361" s="254">
        <f>IF(B361="FX",N361,0)</f>
        <v>0</v>
      </c>
      <c r="W361" s="254">
        <f>IF(D361="O",IF(V361&lt;0,V361,0),0)</f>
        <v>0</v>
      </c>
      <c r="X361" s="254">
        <f>IF(B361="COM",N361,0)</f>
        <v>0</v>
      </c>
      <c r="Y361" s="254">
        <f>IF(D361="O",IF(X361&lt;0,X361,0),0)</f>
        <v>0</v>
      </c>
      <c r="Z361" s="254">
        <f>IF(B361="IND",N361,0)</f>
        <v>-1</v>
      </c>
      <c r="AA361" s="250">
        <f>IF(D361="O",IF(Z361&lt;0,Z361,0),0)</f>
        <v>0</v>
      </c>
      <c r="AB361" s="254">
        <f>IF(B361="CRYPTO",N361,0)</f>
        <v>0</v>
      </c>
      <c r="AC361" s="250">
        <f>IF(D361="O",IF(AB361&lt;0,AB361,0),0)</f>
        <v>0</v>
      </c>
      <c r="AD361" s="255">
        <f>IF(K361&lt;&gt;"",K361-E361,0)</f>
        <v>3.1944444446708076E-2</v>
      </c>
      <c r="AE361" s="255">
        <f>IF(N361&gt;0,AD361,0)</f>
        <v>0</v>
      </c>
      <c r="AF361" s="255">
        <f>IF(N361&lt;0,AD361,0)</f>
        <v>3.1944444446708076E-2</v>
      </c>
      <c r="AG361" s="255">
        <f>IF(N361=0,AD361,0)</f>
        <v>0</v>
      </c>
    </row>
    <row r="362" spans="2:33" ht="15" customHeight="1" x14ac:dyDescent="0.3">
      <c r="B362" s="196" t="s">
        <v>5</v>
      </c>
      <c r="C362" s="197" t="s">
        <v>15</v>
      </c>
      <c r="D362" s="246" t="str">
        <f>IF(E362&lt;&gt;"",IF(K362&lt;&gt;"","C","O"),"")</f>
        <v>C</v>
      </c>
      <c r="E362" s="199">
        <v>44757.760416666664</v>
      </c>
      <c r="F362" s="200" t="s">
        <v>93</v>
      </c>
      <c r="G362" s="235">
        <v>11949.07</v>
      </c>
      <c r="H362" s="235">
        <v>11906.67</v>
      </c>
      <c r="I362" s="247">
        <f>ABS(G362-H362)</f>
        <v>42.399999999999636</v>
      </c>
      <c r="J362" s="235">
        <v>12401.3</v>
      </c>
      <c r="K362" s="199">
        <v>44757.792361111111</v>
      </c>
      <c r="L362" s="235">
        <v>11906.67</v>
      </c>
      <c r="M362" s="248">
        <f>ROUND(IF(C362="L",(L362-G362),(G362-L362)),4)</f>
        <v>-42.4</v>
      </c>
      <c r="N362" s="249">
        <f>IFERROR(ROUND((M362/I362),2),"")</f>
        <v>-1</v>
      </c>
      <c r="O362" s="250">
        <f>IF(D362="O",IF(N362&lt;0,N362,0),0)</f>
        <v>0</v>
      </c>
      <c r="P362" s="251">
        <f>IF(N362&gt;= 0,N362,0)</f>
        <v>0</v>
      </c>
      <c r="Q362" s="251">
        <f>IF(N362&lt;0,N362,0)</f>
        <v>-1</v>
      </c>
      <c r="R3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38132</v>
      </c>
      <c r="T3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2" s="253">
        <f ca="1">IF(Tabla33610673[[#This Row],[Equity]]&lt;Tabla33610673[[#This Row],[Equity Peak]],(Tabla33610673[[#This Row],[Equity Peak]]-Tabla33610673[[#This Row],[Equity]])/Tabla33610673[[#This Row],[Equity Peak]],"")</f>
        <v>4.8151568857492326E-2</v>
      </c>
      <c r="V362" s="254">
        <f>IF(B362="FX",N362,0)</f>
        <v>0</v>
      </c>
      <c r="W362" s="254">
        <f>IF(D362="O",IF(V362&lt;0,V362,0),0)</f>
        <v>0</v>
      </c>
      <c r="X362" s="254">
        <f>IF(B362="COM",N362,0)</f>
        <v>0</v>
      </c>
      <c r="Y362" s="254">
        <f>IF(D362="O",IF(X362&lt;0,X362,0),0)</f>
        <v>0</v>
      </c>
      <c r="Z362" s="254">
        <f>IF(B362="IND",N362,0)</f>
        <v>-1</v>
      </c>
      <c r="AA362" s="250">
        <f>IF(D362="O",IF(Z362&lt;0,Z362,0),0)</f>
        <v>0</v>
      </c>
      <c r="AB362" s="254">
        <f>IF(B362="CRYPTO",N362,0)</f>
        <v>0</v>
      </c>
      <c r="AC362" s="250">
        <f>IF(D362="O",IF(AB362&lt;0,AB362,0),0)</f>
        <v>0</v>
      </c>
      <c r="AD362" s="255">
        <f>IF(K362&lt;&gt;"",K362-E362,0)</f>
        <v>3.1944444446708076E-2</v>
      </c>
      <c r="AE362" s="255">
        <f>IF(N362&gt;0,AD362,0)</f>
        <v>0</v>
      </c>
      <c r="AF362" s="255">
        <f>IF(N362&lt;0,AD362,0)</f>
        <v>3.1944444446708076E-2</v>
      </c>
      <c r="AG362" s="255">
        <f>IF(N362=0,AD362,0)</f>
        <v>0</v>
      </c>
    </row>
    <row r="363" spans="2:33" ht="15" customHeight="1" x14ac:dyDescent="0.3">
      <c r="B363" s="196" t="s">
        <v>5</v>
      </c>
      <c r="C363" s="197" t="s">
        <v>13</v>
      </c>
      <c r="D363" s="246" t="str">
        <f>IF(E363&lt;&gt;"",IF(K363&lt;&gt;"","C","O"),"")</f>
        <v>C</v>
      </c>
      <c r="E363" s="199">
        <v>44756.614583333336</v>
      </c>
      <c r="F363" s="200" t="s">
        <v>91</v>
      </c>
      <c r="G363" s="235">
        <v>12606.39</v>
      </c>
      <c r="H363" s="235">
        <v>12649.16</v>
      </c>
      <c r="I363" s="247">
        <f>ABS(G363-H363)</f>
        <v>42.770000000000437</v>
      </c>
      <c r="J363" s="235">
        <v>11807.95</v>
      </c>
      <c r="K363" s="199">
        <v>44756.9</v>
      </c>
      <c r="L363" s="235">
        <v>12594.42</v>
      </c>
      <c r="M363" s="248">
        <f>ROUND(IF(C363="L",(L363-G363),(G363-L363)),4)</f>
        <v>11.97</v>
      </c>
      <c r="N363" s="249">
        <f>IFERROR(ROUND((M363/I363),2),"")</f>
        <v>0.28000000000000003</v>
      </c>
      <c r="O363" s="250">
        <f>IF(D363="O",IF(N363&lt;0,N363,0),0)</f>
        <v>0</v>
      </c>
      <c r="P363" s="251">
        <f>IF(N363&gt;= 0,N363,0)</f>
        <v>0.28000000000000003</v>
      </c>
      <c r="Q363" s="251">
        <f>IF(N363&lt;0,N363,0)</f>
        <v>0</v>
      </c>
      <c r="R3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38232</v>
      </c>
      <c r="T3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3" s="253">
        <f ca="1">IF(Tabla33610673[[#This Row],[Equity]]&lt;Tabla33610673[[#This Row],[Equity Peak]],(Tabla33610673[[#This Row],[Equity Peak]]-Tabla33610673[[#This Row],[Equity]])/Tabla33610673[[#This Row],[Equity Peak]],"")</f>
        <v>4.5655375552282766E-2</v>
      </c>
      <c r="V363" s="254">
        <f>IF(B363="FX",N363,0)</f>
        <v>0</v>
      </c>
      <c r="W363" s="254">
        <f>IF(D363="O",IF(V363&lt;0,V363,0),0)</f>
        <v>0</v>
      </c>
      <c r="X363" s="254">
        <f>IF(B363="COM",N363,0)</f>
        <v>0</v>
      </c>
      <c r="Y363" s="254">
        <f>IF(D363="O",IF(X363&lt;0,X363,0),0)</f>
        <v>0</v>
      </c>
      <c r="Z363" s="254">
        <f>IF(B363="IND",N363,0)</f>
        <v>0.28000000000000003</v>
      </c>
      <c r="AA363" s="250">
        <f>IF(D363="O",IF(Z363&lt;0,Z363,0),0)</f>
        <v>0</v>
      </c>
      <c r="AB363" s="254">
        <f>IF(B363="CRYPTO",N363,0)</f>
        <v>0</v>
      </c>
      <c r="AC363" s="250">
        <f>IF(D363="O",IF(AB363&lt;0,AB363,0),0)</f>
        <v>0</v>
      </c>
      <c r="AD363" s="255">
        <f>IF(K363&lt;&gt;"",K363-E363,0)</f>
        <v>0.28541666666569654</v>
      </c>
      <c r="AE363" s="255">
        <f>IF(N363&gt;0,AD363,0)</f>
        <v>0.28541666666569654</v>
      </c>
      <c r="AF363" s="255">
        <f>IF(N363&lt;0,AD363,0)</f>
        <v>0</v>
      </c>
      <c r="AG363" s="255">
        <f>IF(N363=0,AD363,0)</f>
        <v>0</v>
      </c>
    </row>
    <row r="364" spans="2:33" ht="15" customHeight="1" x14ac:dyDescent="0.3">
      <c r="B364" s="196" t="s">
        <v>19</v>
      </c>
      <c r="C364" s="197" t="s">
        <v>13</v>
      </c>
      <c r="D364" s="246" t="str">
        <f>IF(E364&lt;&gt;"",IF(K364&lt;&gt;"","C","O"),"")</f>
        <v>C</v>
      </c>
      <c r="E364" s="199">
        <v>44756.677083333336</v>
      </c>
      <c r="F364" s="200" t="s">
        <v>88</v>
      </c>
      <c r="G364" s="235">
        <v>1707.17</v>
      </c>
      <c r="H364" s="235">
        <v>1710.9</v>
      </c>
      <c r="I364" s="247">
        <f>ABS(G364-H364)</f>
        <v>3.7300000000000182</v>
      </c>
      <c r="J364" s="235">
        <v>1662.45</v>
      </c>
      <c r="K364" s="199">
        <v>44756.75</v>
      </c>
      <c r="L364" s="235">
        <v>1710.2</v>
      </c>
      <c r="M364" s="248">
        <f>ROUND(IF(C364="L",(L364-G364),(G364-L364)),4)</f>
        <v>-3.03</v>
      </c>
      <c r="N364" s="249">
        <f>IFERROR(ROUND((M364/I364),2),"")</f>
        <v>-0.81</v>
      </c>
      <c r="O364" s="250">
        <f>IF(D364="O",IF(N364&lt;0,N364,0),0)</f>
        <v>0</v>
      </c>
      <c r="P364" s="251">
        <f>IF(N364&gt;= 0,N364,0)</f>
        <v>0</v>
      </c>
      <c r="Q364" s="251">
        <f>IF(N364&lt;0,N364,0)</f>
        <v>-0.81</v>
      </c>
      <c r="R3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38204</v>
      </c>
      <c r="T3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4" s="253">
        <f ca="1">IF(Tabla33610673[[#This Row],[Equity]]&lt;Tabla33610673[[#This Row],[Equity Peak]],(Tabla33610673[[#This Row],[Equity Peak]]-Tabla33610673[[#This Row],[Equity]])/Tabla33610673[[#This Row],[Equity Peak]],"")</f>
        <v>4.6354309677741443E-2</v>
      </c>
      <c r="V364" s="254">
        <f>IF(B364="FX",N364,0)</f>
        <v>0</v>
      </c>
      <c r="W364" s="254">
        <f>IF(D364="O",IF(V364&lt;0,V364,0),0)</f>
        <v>0</v>
      </c>
      <c r="X364" s="254">
        <f>IF(B364="COM",N364,0)</f>
        <v>-0.81</v>
      </c>
      <c r="Y364" s="254">
        <f>IF(D364="O",IF(X364&lt;0,X364,0),0)</f>
        <v>0</v>
      </c>
      <c r="Z364" s="254">
        <f>IF(B364="IND",N364,0)</f>
        <v>0</v>
      </c>
      <c r="AA364" s="250">
        <f>IF(D364="O",IF(Z364&lt;0,Z364,0),0)</f>
        <v>0</v>
      </c>
      <c r="AB364" s="254">
        <f>IF(B364="CRYPTO",N364,0)</f>
        <v>0</v>
      </c>
      <c r="AC364" s="250">
        <f>IF(D364="O",IF(AB364&lt;0,AB364,0),0)</f>
        <v>0</v>
      </c>
      <c r="AD364" s="255">
        <f>IF(K364&lt;&gt;"",K364-E364,0)</f>
        <v>7.2916666664241347E-2</v>
      </c>
      <c r="AE364" s="255">
        <f>IF(N364&gt;0,AD364,0)</f>
        <v>0</v>
      </c>
      <c r="AF364" s="255">
        <f>IF(N364&lt;0,AD364,0)</f>
        <v>7.2916666664241347E-2</v>
      </c>
      <c r="AG364" s="255">
        <f>IF(N364=0,AD364,0)</f>
        <v>0</v>
      </c>
    </row>
    <row r="365" spans="2:33" ht="15" customHeight="1" x14ac:dyDescent="0.3">
      <c r="B365" s="196" t="s">
        <v>7</v>
      </c>
      <c r="C365" s="197" t="s">
        <v>13</v>
      </c>
      <c r="D365" s="246" t="str">
        <f>IF(E365&lt;&gt;"",IF(K365&lt;&gt;"","C","O"),"")</f>
        <v>C</v>
      </c>
      <c r="E365" s="199">
        <v>44756.6875</v>
      </c>
      <c r="F365" s="200" t="s">
        <v>114</v>
      </c>
      <c r="G365" s="235">
        <v>0.99722999999999995</v>
      </c>
      <c r="H365" s="235">
        <v>0.99961999999999995</v>
      </c>
      <c r="I365" s="247">
        <f>ABS(G365-H365)</f>
        <v>2.3900000000000032E-3</v>
      </c>
      <c r="J365" s="235">
        <v>0.97568999999999995</v>
      </c>
      <c r="K365" s="199">
        <v>44756.736111111109</v>
      </c>
      <c r="L365" s="235">
        <v>0.99919000000000002</v>
      </c>
      <c r="M365" s="248">
        <f>ROUND(IF(C365="L",(L365-G365),(G365-L365)),4)</f>
        <v>-2E-3</v>
      </c>
      <c r="N365" s="249">
        <f>IFERROR(ROUND((M365/I365),2),"")</f>
        <v>-0.84</v>
      </c>
      <c r="O365" s="250">
        <f>IF(D365="O",IF(N365&lt;0,N365,0),0)</f>
        <v>0</v>
      </c>
      <c r="P365" s="251">
        <f>IF(N365&gt;= 0,N365,0)</f>
        <v>0</v>
      </c>
      <c r="Q365" s="251">
        <f>IF(N365&lt;0,N365,0)</f>
        <v>-0.84</v>
      </c>
      <c r="R3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38285</v>
      </c>
      <c r="T3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5" s="253">
        <f ca="1">IF(Tabla33610673[[#This Row],[Equity]]&lt;Tabla33610673[[#This Row],[Equity Peak]],(Tabla33610673[[#This Row],[Equity Peak]]-Tabla33610673[[#This Row],[Equity]])/Tabla33610673[[#This Row],[Equity Peak]],"")</f>
        <v>4.4332393100521707E-2</v>
      </c>
      <c r="V365" s="254">
        <f>IF(B365="FX",N365,0)</f>
        <v>-0.84</v>
      </c>
      <c r="W365" s="254">
        <f>IF(D365="O",IF(V365&lt;0,V365,0),0)</f>
        <v>0</v>
      </c>
      <c r="X365" s="254">
        <f>IF(B365="COM",N365,0)</f>
        <v>0</v>
      </c>
      <c r="Y365" s="254">
        <f>IF(D365="O",IF(X365&lt;0,X365,0),0)</f>
        <v>0</v>
      </c>
      <c r="Z365" s="254">
        <f>IF(B365="IND",N365,0)</f>
        <v>0</v>
      </c>
      <c r="AA365" s="250">
        <f>IF(D365="O",IF(Z365&lt;0,Z365,0),0)</f>
        <v>0</v>
      </c>
      <c r="AB365" s="254">
        <f>IF(B365="CRYPTO",N365,0)</f>
        <v>0</v>
      </c>
      <c r="AC365" s="250">
        <f>IF(D365="O",IF(AB365&lt;0,AB365,0),0)</f>
        <v>0</v>
      </c>
      <c r="AD365" s="255">
        <f>IF(K365&lt;&gt;"",K365-E365,0)</f>
        <v>4.8611111109494232E-2</v>
      </c>
      <c r="AE365" s="255">
        <f>IF(N365&gt;0,AD365,0)</f>
        <v>0</v>
      </c>
      <c r="AF365" s="255">
        <f>IF(N365&lt;0,AD365,0)</f>
        <v>4.8611111109494232E-2</v>
      </c>
      <c r="AG365" s="255">
        <f>IF(N365=0,AD365,0)</f>
        <v>0</v>
      </c>
    </row>
    <row r="366" spans="2:33" ht="15" customHeight="1" x14ac:dyDescent="0.3">
      <c r="B366" s="196" t="s">
        <v>7</v>
      </c>
      <c r="C366" s="197" t="s">
        <v>15</v>
      </c>
      <c r="D366" s="246" t="str">
        <f>IF(E366&lt;&gt;"",IF(K366&lt;&gt;"","C","O"),"")</f>
        <v>C</v>
      </c>
      <c r="E366" s="199">
        <v>44756.395833333336</v>
      </c>
      <c r="F366" s="200" t="s">
        <v>115</v>
      </c>
      <c r="G366" s="235">
        <v>164.12799999999999</v>
      </c>
      <c r="H366" s="235">
        <v>163.529</v>
      </c>
      <c r="I366" s="247">
        <f>ABS(G366-H366)</f>
        <v>0.59899999999998954</v>
      </c>
      <c r="J366" s="235">
        <v>165.83799999999999</v>
      </c>
      <c r="K366" s="199">
        <v>44756.611111111109</v>
      </c>
      <c r="L366" s="235">
        <v>164.101</v>
      </c>
      <c r="M366" s="248">
        <f>ROUND(IF(C366="L",(L366-G366),(G366-L366)),4)</f>
        <v>-2.7E-2</v>
      </c>
      <c r="N366" s="249">
        <f>IFERROR(ROUND((M366/I366),2),"")</f>
        <v>-0.05</v>
      </c>
      <c r="O366" s="250">
        <f>IF(D366="O",IF(N366&lt;0,N366,0),0)</f>
        <v>0</v>
      </c>
      <c r="P366" s="251">
        <f>IF(N366&gt;= 0,N366,0)</f>
        <v>0</v>
      </c>
      <c r="Q366" s="251">
        <f>IF(N366&lt;0,N366,0)</f>
        <v>-0.05</v>
      </c>
      <c r="R3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38369</v>
      </c>
      <c r="T3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6" s="253">
        <f ca="1">IF(Tabla33610673[[#This Row],[Equity]]&lt;Tabla33610673[[#This Row],[Equity Peak]],(Tabla33610673[[#This Row],[Equity Peak]]-Tabla33610673[[#This Row],[Equity]])/Tabla33610673[[#This Row],[Equity Peak]],"")</f>
        <v>4.2235590724145677E-2</v>
      </c>
      <c r="V366" s="254">
        <f>IF(B366="FX",N366,0)</f>
        <v>-0.05</v>
      </c>
      <c r="W366" s="254">
        <f>IF(D366="O",IF(V366&lt;0,V366,0),0)</f>
        <v>0</v>
      </c>
      <c r="X366" s="254">
        <f>IF(B366="COM",N366,0)</f>
        <v>0</v>
      </c>
      <c r="Y366" s="254">
        <f>IF(D366="O",IF(X366&lt;0,X366,0),0)</f>
        <v>0</v>
      </c>
      <c r="Z366" s="254">
        <f>IF(B366="IND",N366,0)</f>
        <v>0</v>
      </c>
      <c r="AA366" s="250">
        <f>IF(D366="O",IF(Z366&lt;0,Z366,0),0)</f>
        <v>0</v>
      </c>
      <c r="AB366" s="254">
        <f>IF(B366="CRYPTO",N366,0)</f>
        <v>0</v>
      </c>
      <c r="AC366" s="250">
        <f>IF(D366="O",IF(AB366&lt;0,AB366,0),0)</f>
        <v>0</v>
      </c>
      <c r="AD366" s="255">
        <f>IF(K366&lt;&gt;"",K366-E366,0)</f>
        <v>0.21527777777373558</v>
      </c>
      <c r="AE366" s="255">
        <f>IF(N366&gt;0,AD366,0)</f>
        <v>0</v>
      </c>
      <c r="AF366" s="255">
        <f>IF(N366&lt;0,AD366,0)</f>
        <v>0.21527777777373558</v>
      </c>
      <c r="AG366" s="255">
        <f>IF(N366=0,AD366,0)</f>
        <v>0</v>
      </c>
    </row>
    <row r="367" spans="2:33" ht="15" customHeight="1" x14ac:dyDescent="0.3">
      <c r="B367" s="196" t="s">
        <v>7</v>
      </c>
      <c r="C367" s="197" t="s">
        <v>15</v>
      </c>
      <c r="D367" s="246" t="str">
        <f>IF(E367&lt;&gt;"",IF(K367&lt;&gt;"","C","O"),"")</f>
        <v>C</v>
      </c>
      <c r="E367" s="199">
        <v>44756.333333333336</v>
      </c>
      <c r="F367" s="200" t="s">
        <v>116</v>
      </c>
      <c r="G367" s="235">
        <v>138.239</v>
      </c>
      <c r="H367" s="235">
        <v>137.97399999999999</v>
      </c>
      <c r="I367" s="247">
        <f>ABS(G367-H367)</f>
        <v>0.26500000000001478</v>
      </c>
      <c r="J367" s="235">
        <v>140.99199999999999</v>
      </c>
      <c r="K367" s="199">
        <v>44756.505555555559</v>
      </c>
      <c r="L367" s="235">
        <v>138.81800000000001</v>
      </c>
      <c r="M367" s="248">
        <f>ROUND(IF(C367="L",(L367-G367),(G367-L367)),4)</f>
        <v>0.57899999999999996</v>
      </c>
      <c r="N367" s="249">
        <f>IFERROR(ROUND((M367/I367),2),"")</f>
        <v>2.1800000000000002</v>
      </c>
      <c r="O367" s="250">
        <f>IF(D367="O",IF(N367&lt;0,N367,0),0)</f>
        <v>0</v>
      </c>
      <c r="P367" s="251">
        <f>IF(N367&gt;= 0,N367,0)</f>
        <v>2.1800000000000002</v>
      </c>
      <c r="Q367" s="251">
        <f>IF(N367&lt;0,N367,0)</f>
        <v>0</v>
      </c>
      <c r="R3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38374</v>
      </c>
      <c r="T3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7" s="253">
        <f ca="1">IF(Tabla33610673[[#This Row],[Equity]]&lt;Tabla33610673[[#This Row],[Equity Peak]],(Tabla33610673[[#This Row],[Equity Peak]]-Tabla33610673[[#This Row],[Equity]])/Tabla33610673[[#This Row],[Equity Peak]],"")</f>
        <v>4.2110781058885202E-2</v>
      </c>
      <c r="V367" s="254">
        <f>IF(B367="FX",N367,0)</f>
        <v>2.1800000000000002</v>
      </c>
      <c r="W367" s="254">
        <f>IF(D367="O",IF(V367&lt;0,V367,0),0)</f>
        <v>0</v>
      </c>
      <c r="X367" s="254">
        <f>IF(B367="COM",N367,0)</f>
        <v>0</v>
      </c>
      <c r="Y367" s="254">
        <f>IF(D367="O",IF(X367&lt;0,X367,0),0)</f>
        <v>0</v>
      </c>
      <c r="Z367" s="254">
        <f>IF(B367="IND",N367,0)</f>
        <v>0</v>
      </c>
      <c r="AA367" s="250">
        <f>IF(D367="O",IF(Z367&lt;0,Z367,0),0)</f>
        <v>0</v>
      </c>
      <c r="AB367" s="254">
        <f>IF(B367="CRYPTO",N367,0)</f>
        <v>0</v>
      </c>
      <c r="AC367" s="250">
        <f>IF(D367="O",IF(AB367&lt;0,AB367,0),0)</f>
        <v>0</v>
      </c>
      <c r="AD367" s="255">
        <f>IF(K367&lt;&gt;"",K367-E367,0)</f>
        <v>0.17222222222335404</v>
      </c>
      <c r="AE367" s="255">
        <f>IF(N367&gt;0,AD367,0)</f>
        <v>0.17222222222335404</v>
      </c>
      <c r="AF367" s="255">
        <f>IF(N367&lt;0,AD367,0)</f>
        <v>0</v>
      </c>
      <c r="AG367" s="255">
        <f>IF(N367=0,AD367,0)</f>
        <v>0</v>
      </c>
    </row>
    <row r="368" spans="2:33" ht="15" customHeight="1" x14ac:dyDescent="0.3">
      <c r="B368" s="196" t="s">
        <v>7</v>
      </c>
      <c r="C368" s="197" t="s">
        <v>15</v>
      </c>
      <c r="D368" s="246" t="str">
        <f>IF(E368&lt;&gt;"",IF(K368&lt;&gt;"","C","O"),"")</f>
        <v>C</v>
      </c>
      <c r="E368" s="199">
        <v>44756.166666666664</v>
      </c>
      <c r="F368" s="200" t="s">
        <v>116</v>
      </c>
      <c r="G368" s="235">
        <v>137.91800000000001</v>
      </c>
      <c r="H368" s="235">
        <v>137.65299999999999</v>
      </c>
      <c r="I368" s="247">
        <f>ABS(G368-H368)</f>
        <v>0.26500000000001478</v>
      </c>
      <c r="J368" s="235">
        <v>140.67400000000001</v>
      </c>
      <c r="K368" s="199">
        <v>44756.225694444445</v>
      </c>
      <c r="L368" s="235">
        <v>137.78299999999999</v>
      </c>
      <c r="M368" s="248">
        <f>ROUND(IF(C368="L",(L368-G368),(G368-L368)),4)</f>
        <v>-0.13500000000000001</v>
      </c>
      <c r="N368" s="249">
        <f>IFERROR(ROUND((M368/I368),2),"")</f>
        <v>-0.51</v>
      </c>
      <c r="O368" s="250">
        <f>IF(D368="O",IF(N368&lt;0,N368,0),0)</f>
        <v>0</v>
      </c>
      <c r="P368" s="251">
        <f>IF(N368&gt;= 0,N368,0)</f>
        <v>0</v>
      </c>
      <c r="Q368" s="251">
        <f>IF(N368&lt;0,N368,0)</f>
        <v>-0.51</v>
      </c>
      <c r="R3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38156</v>
      </c>
      <c r="T3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8" s="253">
        <f ca="1">IF(Tabla33610673[[#This Row],[Equity]]&lt;Tabla33610673[[#This Row],[Equity Peak]],(Tabla33610673[[#This Row],[Equity Peak]]-Tabla33610673[[#This Row],[Equity]])/Tabla33610673[[#This Row],[Equity Peak]],"")</f>
        <v>4.7552482464242034E-2</v>
      </c>
      <c r="V368" s="254">
        <f>IF(B368="FX",N368,0)</f>
        <v>-0.51</v>
      </c>
      <c r="W368" s="254">
        <f>IF(D368="O",IF(V368&lt;0,V368,0),0)</f>
        <v>0</v>
      </c>
      <c r="X368" s="254">
        <f>IF(B368="COM",N368,0)</f>
        <v>0</v>
      </c>
      <c r="Y368" s="254">
        <f>IF(D368="O",IF(X368&lt;0,X368,0),0)</f>
        <v>0</v>
      </c>
      <c r="Z368" s="254">
        <f>IF(B368="IND",N368,0)</f>
        <v>0</v>
      </c>
      <c r="AA368" s="250">
        <f>IF(D368="O",IF(Z368&lt;0,Z368,0),0)</f>
        <v>0</v>
      </c>
      <c r="AB368" s="254">
        <f>IF(B368="CRYPTO",N368,0)</f>
        <v>0</v>
      </c>
      <c r="AC368" s="250">
        <f>IF(D368="O",IF(AB368&lt;0,AB368,0),0)</f>
        <v>0</v>
      </c>
      <c r="AD368" s="255">
        <f>IF(K368&lt;&gt;"",K368-E368,0)</f>
        <v>5.9027777781011537E-2</v>
      </c>
      <c r="AE368" s="255">
        <f>IF(N368&gt;0,AD368,0)</f>
        <v>0</v>
      </c>
      <c r="AF368" s="255">
        <f>IF(N368&lt;0,AD368,0)</f>
        <v>5.9027777781011537E-2</v>
      </c>
      <c r="AG368" s="255">
        <f>IF(N368=0,AD368,0)</f>
        <v>0</v>
      </c>
    </row>
    <row r="369" spans="2:33" ht="15" customHeight="1" x14ac:dyDescent="0.3">
      <c r="B369" s="196" t="s">
        <v>7</v>
      </c>
      <c r="C369" s="197" t="s">
        <v>15</v>
      </c>
      <c r="D369" s="246" t="str">
        <f>IF(E369&lt;&gt;"",IF(K369&lt;&gt;"","C","O"),"")</f>
        <v>C</v>
      </c>
      <c r="E369" s="199">
        <v>44755.75</v>
      </c>
      <c r="F369" s="200" t="s">
        <v>115</v>
      </c>
      <c r="G369" s="235">
        <v>163.857</v>
      </c>
      <c r="H369" s="235">
        <v>163.19</v>
      </c>
      <c r="I369" s="247">
        <f>ABS(G369-H369)</f>
        <v>0.66700000000000159</v>
      </c>
      <c r="J369" s="235">
        <v>165.762</v>
      </c>
      <c r="K369" s="199">
        <v>44755.999305555553</v>
      </c>
      <c r="L369" s="235">
        <v>163.22999999999999</v>
      </c>
      <c r="M369" s="248">
        <f>ROUND(IF(C369="L",(L369-G369),(G369-L369)),4)</f>
        <v>-0.627</v>
      </c>
      <c r="N369" s="249">
        <f>IFERROR(ROUND((M369/I369),2),"")</f>
        <v>-0.94</v>
      </c>
      <c r="O369" s="250">
        <f>IF(D369="O",IF(N369&lt;0,N369,0),0)</f>
        <v>0</v>
      </c>
      <c r="P369" s="251">
        <f>IF(N369&gt;= 0,N369,0)</f>
        <v>0</v>
      </c>
      <c r="Q369" s="251">
        <f>IF(N369&lt;0,N369,0)</f>
        <v>-0.94</v>
      </c>
      <c r="R3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38207</v>
      </c>
      <c r="T3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69" s="253">
        <f ca="1">IF(Tabla33610673[[#This Row],[Equity]]&lt;Tabla33610673[[#This Row],[Equity Peak]],(Tabla33610673[[#This Row],[Equity Peak]]-Tabla33610673[[#This Row],[Equity]])/Tabla33610673[[#This Row],[Equity Peak]],"")</f>
        <v>4.6279423878585156E-2</v>
      </c>
      <c r="V369" s="254">
        <f>IF(B369="FX",N369,0)</f>
        <v>-0.94</v>
      </c>
      <c r="W369" s="254">
        <f>IF(D369="O",IF(V369&lt;0,V369,0),0)</f>
        <v>0</v>
      </c>
      <c r="X369" s="254">
        <f>IF(B369="COM",N369,0)</f>
        <v>0</v>
      </c>
      <c r="Y369" s="254">
        <f>IF(D369="O",IF(X369&lt;0,X369,0),0)</f>
        <v>0</v>
      </c>
      <c r="Z369" s="254">
        <f>IF(B369="IND",N369,0)</f>
        <v>0</v>
      </c>
      <c r="AA369" s="250">
        <f>IF(D369="O",IF(Z369&lt;0,Z369,0),0)</f>
        <v>0</v>
      </c>
      <c r="AB369" s="254">
        <f>IF(B369="CRYPTO",N369,0)</f>
        <v>0</v>
      </c>
      <c r="AC369" s="250">
        <f>IF(D369="O",IF(AB369&lt;0,AB369,0),0)</f>
        <v>0</v>
      </c>
      <c r="AD369" s="255">
        <f>IF(K369&lt;&gt;"",K369-E369,0)</f>
        <v>0.24930555555329192</v>
      </c>
      <c r="AE369" s="255">
        <f>IF(N369&gt;0,AD369,0)</f>
        <v>0</v>
      </c>
      <c r="AF369" s="255">
        <f>IF(N369&lt;0,AD369,0)</f>
        <v>0.24930555555329192</v>
      </c>
      <c r="AG369" s="255">
        <f>IF(N369=0,AD369,0)</f>
        <v>0</v>
      </c>
    </row>
    <row r="370" spans="2:33" ht="15" customHeight="1" x14ac:dyDescent="0.3">
      <c r="B370" s="196" t="s">
        <v>7</v>
      </c>
      <c r="C370" s="197" t="s">
        <v>15</v>
      </c>
      <c r="D370" s="246" t="str">
        <f>IF(E370&lt;&gt;"",IF(K370&lt;&gt;"","C","O"),"")</f>
        <v>C</v>
      </c>
      <c r="E370" s="199">
        <v>44755.71875</v>
      </c>
      <c r="F370" s="200" t="s">
        <v>116</v>
      </c>
      <c r="G370" s="235">
        <v>137.762</v>
      </c>
      <c r="H370" s="235">
        <v>137.49600000000001</v>
      </c>
      <c r="I370" s="247">
        <f>ABS(G370-H370)</f>
        <v>0.26599999999999113</v>
      </c>
      <c r="J370" s="235">
        <v>140.53</v>
      </c>
      <c r="K370" s="199">
        <v>44755.730555555558</v>
      </c>
      <c r="L370" s="235">
        <v>137.49600000000001</v>
      </c>
      <c r="M370" s="248">
        <f>ROUND(IF(C370="L",(L370-G370),(G370-L370)),4)</f>
        <v>-0.26600000000000001</v>
      </c>
      <c r="N370" s="249">
        <f>IFERROR(ROUND((M370/I370),2),"")</f>
        <v>-1</v>
      </c>
      <c r="O370" s="250">
        <f>IF(D370="O",IF(N370&lt;0,N370,0),0)</f>
        <v>0</v>
      </c>
      <c r="P370" s="251">
        <f>IF(N370&gt;= 0,N370,0)</f>
        <v>0</v>
      </c>
      <c r="Q370" s="251">
        <f>IF(N370&lt;0,N370,0)</f>
        <v>-1</v>
      </c>
      <c r="R3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38301</v>
      </c>
      <c r="T3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0" s="253">
        <f ca="1">IF(Tabla33610673[[#This Row],[Equity]]&lt;Tabla33610673[[#This Row],[Equity Peak]],(Tabla33610673[[#This Row],[Equity Peak]]-Tabla33610673[[#This Row],[Equity]])/Tabla33610673[[#This Row],[Equity Peak]],"")</f>
        <v>4.3933002171688176E-2</v>
      </c>
      <c r="V370" s="254">
        <f>IF(B370="FX",N370,0)</f>
        <v>-1</v>
      </c>
      <c r="W370" s="254">
        <f>IF(D370="O",IF(V370&lt;0,V370,0),0)</f>
        <v>0</v>
      </c>
      <c r="X370" s="254">
        <f>IF(B370="COM",N370,0)</f>
        <v>0</v>
      </c>
      <c r="Y370" s="254">
        <f>IF(D370="O",IF(X370&lt;0,X370,0),0)</f>
        <v>0</v>
      </c>
      <c r="Z370" s="254">
        <f>IF(B370="IND",N370,0)</f>
        <v>0</v>
      </c>
      <c r="AA370" s="250">
        <f>IF(D370="O",IF(Z370&lt;0,Z370,0),0)</f>
        <v>0</v>
      </c>
      <c r="AB370" s="254">
        <f>IF(B370="CRYPTO",N370,0)</f>
        <v>0</v>
      </c>
      <c r="AC370" s="250">
        <f>IF(D370="O",IF(AB370&lt;0,AB370,0),0)</f>
        <v>0</v>
      </c>
      <c r="AD370" s="255">
        <f>IF(K370&lt;&gt;"",K370-E370,0)</f>
        <v>1.1805555557657499E-2</v>
      </c>
      <c r="AE370" s="255">
        <f>IF(N370&gt;0,AD370,0)</f>
        <v>0</v>
      </c>
      <c r="AF370" s="255">
        <f>IF(N370&lt;0,AD370,0)</f>
        <v>1.1805555557657499E-2</v>
      </c>
      <c r="AG370" s="255">
        <f>IF(N370=0,AD370,0)</f>
        <v>0</v>
      </c>
    </row>
    <row r="371" spans="2:33" ht="15" customHeight="1" x14ac:dyDescent="0.3">
      <c r="B371" s="196" t="s">
        <v>5</v>
      </c>
      <c r="C371" s="197" t="s">
        <v>13</v>
      </c>
      <c r="D371" s="246" t="str">
        <f>IF(E371&lt;&gt;"",IF(K371&lt;&gt;"","C","O"),"")</f>
        <v>C</v>
      </c>
      <c r="E371" s="199">
        <v>44755.65625</v>
      </c>
      <c r="F371" s="200" t="s">
        <v>92</v>
      </c>
      <c r="G371" s="235">
        <v>11480.06</v>
      </c>
      <c r="H371" s="235">
        <v>11522.06</v>
      </c>
      <c r="I371" s="247">
        <f>ABS(G371-H371)</f>
        <v>42</v>
      </c>
      <c r="J371" s="235">
        <v>10696.07</v>
      </c>
      <c r="K371" s="199">
        <v>44755.665972222225</v>
      </c>
      <c r="L371" s="235">
        <v>11522.06</v>
      </c>
      <c r="M371" s="248">
        <f>ROUND(IF(C371="L",(L371-G371),(G371-L371)),4)</f>
        <v>-42</v>
      </c>
      <c r="N371" s="249">
        <f>IFERROR(ROUND((M371/I371),2),"")</f>
        <v>-1</v>
      </c>
      <c r="O371" s="250">
        <f>IF(D371="O",IF(N371&lt;0,N371,0),0)</f>
        <v>0</v>
      </c>
      <c r="P371" s="251">
        <f>IF(N371&gt;= 0,N371,0)</f>
        <v>0</v>
      </c>
      <c r="Q371" s="251">
        <f>IF(N371&lt;0,N371,0)</f>
        <v>-1</v>
      </c>
      <c r="R3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38401</v>
      </c>
      <c r="T3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1" s="253">
        <f ca="1">IF(Tabla33610673[[#This Row],[Equity]]&lt;Tabla33610673[[#This Row],[Equity Peak]],(Tabla33610673[[#This Row],[Equity Peak]]-Tabla33610673[[#This Row],[Equity]])/Tabla33610673[[#This Row],[Equity Peak]],"")</f>
        <v>4.1436808866478624E-2</v>
      </c>
      <c r="V371" s="254">
        <f>IF(B371="FX",N371,0)</f>
        <v>0</v>
      </c>
      <c r="W371" s="254">
        <f>IF(D371="O",IF(V371&lt;0,V371,0),0)</f>
        <v>0</v>
      </c>
      <c r="X371" s="254">
        <f>IF(B371="COM",N371,0)</f>
        <v>0</v>
      </c>
      <c r="Y371" s="254">
        <f>IF(D371="O",IF(X371&lt;0,X371,0),0)</f>
        <v>0</v>
      </c>
      <c r="Z371" s="254">
        <f>IF(B371="IND",N371,0)</f>
        <v>-1</v>
      </c>
      <c r="AA371" s="250">
        <f>IF(D371="O",IF(Z371&lt;0,Z371,0),0)</f>
        <v>0</v>
      </c>
      <c r="AB371" s="254">
        <f>IF(B371="CRYPTO",N371,0)</f>
        <v>0</v>
      </c>
      <c r="AC371" s="250">
        <f>IF(D371="O",IF(AB371&lt;0,AB371,0),0)</f>
        <v>0</v>
      </c>
      <c r="AD371" s="255">
        <f>IF(K371&lt;&gt;"",K371-E371,0)</f>
        <v>9.7222222248092294E-3</v>
      </c>
      <c r="AE371" s="255">
        <f>IF(N371&gt;0,AD371,0)</f>
        <v>0</v>
      </c>
      <c r="AF371" s="255">
        <f>IF(N371&lt;0,AD371,0)</f>
        <v>9.7222222248092294E-3</v>
      </c>
      <c r="AG371" s="255">
        <f>IF(N371=0,AD371,0)</f>
        <v>0</v>
      </c>
    </row>
    <row r="372" spans="2:33" ht="15" customHeight="1" x14ac:dyDescent="0.3">
      <c r="B372" s="196" t="s">
        <v>5</v>
      </c>
      <c r="C372" s="197" t="s">
        <v>13</v>
      </c>
      <c r="D372" s="246" t="str">
        <f>IF(E372&lt;&gt;"",IF(K372&lt;&gt;"","C","O"),"")</f>
        <v>C</v>
      </c>
      <c r="E372" s="199">
        <v>44755.65625</v>
      </c>
      <c r="F372" s="200" t="s">
        <v>93</v>
      </c>
      <c r="G372" s="235">
        <v>11480.06</v>
      </c>
      <c r="H372" s="235">
        <v>11528.29</v>
      </c>
      <c r="I372" s="247">
        <f>ABS(G372-H372)</f>
        <v>48.230000000001382</v>
      </c>
      <c r="J372" s="235">
        <v>10965.62</v>
      </c>
      <c r="K372" s="199">
        <v>44755.665972222225</v>
      </c>
      <c r="L372" s="235">
        <v>11528.29</v>
      </c>
      <c r="M372" s="248">
        <f>ROUND(IF(C372="L",(L372-G372),(G372-L372)),4)</f>
        <v>-48.23</v>
      </c>
      <c r="N372" s="249">
        <f>IFERROR(ROUND((M372/I372),2),"")</f>
        <v>-1</v>
      </c>
      <c r="O372" s="250">
        <f>IF(D372="O",IF(N372&lt;0,N372,0),0)</f>
        <v>0</v>
      </c>
      <c r="P372" s="251">
        <f>IF(N372&gt;= 0,N372,0)</f>
        <v>0</v>
      </c>
      <c r="Q372" s="251">
        <f>IF(N372&lt;0,N372,0)</f>
        <v>-1</v>
      </c>
      <c r="R3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38501</v>
      </c>
      <c r="T3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2" s="253">
        <f ca="1">IF(Tabla33610673[[#This Row],[Equity]]&lt;Tabla33610673[[#This Row],[Equity Peak]],(Tabla33610673[[#This Row],[Equity Peak]]-Tabla33610673[[#This Row],[Equity]])/Tabla33610673[[#This Row],[Equity Peak]],"")</f>
        <v>3.8940615561269064E-2</v>
      </c>
      <c r="V372" s="254">
        <f>IF(B372="FX",N372,0)</f>
        <v>0</v>
      </c>
      <c r="W372" s="254">
        <f>IF(D372="O",IF(V372&lt;0,V372,0),0)</f>
        <v>0</v>
      </c>
      <c r="X372" s="254">
        <f>IF(B372="COM",N372,0)</f>
        <v>0</v>
      </c>
      <c r="Y372" s="254">
        <f>IF(D372="O",IF(X372&lt;0,X372,0),0)</f>
        <v>0</v>
      </c>
      <c r="Z372" s="254">
        <f>IF(B372="IND",N372,0)</f>
        <v>-1</v>
      </c>
      <c r="AA372" s="250">
        <f>IF(D372="O",IF(Z372&lt;0,Z372,0),0)</f>
        <v>0</v>
      </c>
      <c r="AB372" s="254">
        <f>IF(B372="CRYPTO",N372,0)</f>
        <v>0</v>
      </c>
      <c r="AC372" s="250">
        <f>IF(D372="O",IF(AB372&lt;0,AB372,0),0)</f>
        <v>0</v>
      </c>
      <c r="AD372" s="255">
        <f>IF(K372&lt;&gt;"",K372-E372,0)</f>
        <v>9.7222222248092294E-3</v>
      </c>
      <c r="AE372" s="255">
        <f>IF(N372&gt;0,AD372,0)</f>
        <v>0</v>
      </c>
      <c r="AF372" s="255">
        <f>IF(N372&lt;0,AD372,0)</f>
        <v>9.7222222248092294E-3</v>
      </c>
      <c r="AG372" s="255">
        <f>IF(N372=0,AD372,0)</f>
        <v>0</v>
      </c>
    </row>
    <row r="373" spans="2:33" ht="15" customHeight="1" x14ac:dyDescent="0.3">
      <c r="B373" s="196" t="s">
        <v>19</v>
      </c>
      <c r="C373" s="197" t="s">
        <v>13</v>
      </c>
      <c r="D373" s="246" t="str">
        <f>IF(E373&lt;&gt;"",IF(K373&lt;&gt;"","C","O"),"")</f>
        <v>C</v>
      </c>
      <c r="E373" s="199">
        <v>44755.65625</v>
      </c>
      <c r="F373" s="200" t="s">
        <v>88</v>
      </c>
      <c r="G373" s="235">
        <v>1709.18</v>
      </c>
      <c r="H373" s="235">
        <v>1712.02</v>
      </c>
      <c r="I373" s="247">
        <f>ABS(G373-H373)</f>
        <v>2.8399999999999181</v>
      </c>
      <c r="J373" s="235">
        <v>1675.15</v>
      </c>
      <c r="K373" s="199">
        <v>44755.65902777778</v>
      </c>
      <c r="L373" s="235">
        <v>1712.02</v>
      </c>
      <c r="M373" s="248">
        <f>ROUND(IF(C373="L",(L373-G373),(G373-L373)),4)</f>
        <v>-2.84</v>
      </c>
      <c r="N373" s="249">
        <f>IFERROR(ROUND((M373/I373),2),"")</f>
        <v>-1</v>
      </c>
      <c r="O373" s="250">
        <f>IF(D373="O",IF(N373&lt;0,N373,0),0)</f>
        <v>0</v>
      </c>
      <c r="P373" s="251">
        <f>IF(N373&gt;= 0,N373,0)</f>
        <v>0</v>
      </c>
      <c r="Q373" s="251">
        <f>IF(N373&lt;0,N373,0)</f>
        <v>-1</v>
      </c>
      <c r="R3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38601</v>
      </c>
      <c r="T3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3" s="253">
        <f ca="1">IF(Tabla33610673[[#This Row],[Equity]]&lt;Tabla33610673[[#This Row],[Equity Peak]],(Tabla33610673[[#This Row],[Equity Peak]]-Tabla33610673[[#This Row],[Equity]])/Tabla33610673[[#This Row],[Equity Peak]],"")</f>
        <v>3.6444422256059511E-2</v>
      </c>
      <c r="V373" s="254">
        <f>IF(B373="FX",N373,0)</f>
        <v>0</v>
      </c>
      <c r="W373" s="254">
        <f>IF(D373="O",IF(V373&lt;0,V373,0),0)</f>
        <v>0</v>
      </c>
      <c r="X373" s="254">
        <f>IF(B373="COM",N373,0)</f>
        <v>-1</v>
      </c>
      <c r="Y373" s="254">
        <f>IF(D373="O",IF(X373&lt;0,X373,0),0)</f>
        <v>0</v>
      </c>
      <c r="Z373" s="254">
        <f>IF(B373="IND",N373,0)</f>
        <v>0</v>
      </c>
      <c r="AA373" s="250">
        <f>IF(D373="O",IF(Z373&lt;0,Z373,0),0)</f>
        <v>0</v>
      </c>
      <c r="AB373" s="254">
        <f>IF(B373="CRYPTO",N373,0)</f>
        <v>0</v>
      </c>
      <c r="AC373" s="250">
        <f>IF(D373="O",IF(AB373&lt;0,AB373,0),0)</f>
        <v>0</v>
      </c>
      <c r="AD373" s="255">
        <f>IF(K373&lt;&gt;"",K373-E373,0)</f>
        <v>2.7777777795563452E-3</v>
      </c>
      <c r="AE373" s="255">
        <f>IF(N373&gt;0,AD373,0)</f>
        <v>0</v>
      </c>
      <c r="AF373" s="255">
        <f>IF(N373&lt;0,AD373,0)</f>
        <v>2.7777777795563452E-3</v>
      </c>
      <c r="AG373" s="255">
        <f>IF(N373=0,AD373,0)</f>
        <v>0</v>
      </c>
    </row>
    <row r="374" spans="2:33" ht="15" customHeight="1" x14ac:dyDescent="0.3">
      <c r="B374" s="196" t="s">
        <v>5</v>
      </c>
      <c r="C374" s="197" t="s">
        <v>13</v>
      </c>
      <c r="D374" s="246" t="str">
        <f>IF(E374&lt;&gt;"",IF(K374&lt;&gt;"","C","O"),"")</f>
        <v>C</v>
      </c>
      <c r="E374" s="199">
        <v>44754.9375</v>
      </c>
      <c r="F374" s="200" t="s">
        <v>92</v>
      </c>
      <c r="G374" s="235">
        <v>11713.78</v>
      </c>
      <c r="H374" s="235">
        <v>11757.52</v>
      </c>
      <c r="I374" s="247">
        <f>ABS(G374-H374)</f>
        <v>43.739999999999782</v>
      </c>
      <c r="J374" s="235">
        <v>10897.38</v>
      </c>
      <c r="K374" s="199">
        <v>44755.127083333333</v>
      </c>
      <c r="L374" s="235">
        <v>11757.52</v>
      </c>
      <c r="M374" s="248">
        <f>ROUND(IF(C374="L",(L374-G374),(G374-L374)),4)</f>
        <v>-43.74</v>
      </c>
      <c r="N374" s="249">
        <f>IFERROR(ROUND((M374/I374),2),"")</f>
        <v>-1</v>
      </c>
      <c r="O374" s="250">
        <f>IF(D374="O",IF(N374&lt;0,N374,0),0)</f>
        <v>0</v>
      </c>
      <c r="P374" s="251">
        <f>IF(N374&gt;= 0,N374,0)</f>
        <v>0</v>
      </c>
      <c r="Q374" s="251">
        <f>IF(N374&lt;0,N374,0)</f>
        <v>-1</v>
      </c>
      <c r="R3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38701</v>
      </c>
      <c r="T3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4" s="253">
        <f ca="1">IF(Tabla33610673[[#This Row],[Equity]]&lt;Tabla33610673[[#This Row],[Equity Peak]],(Tabla33610673[[#This Row],[Equity Peak]]-Tabla33610673[[#This Row],[Equity]])/Tabla33610673[[#This Row],[Equity Peak]],"")</f>
        <v>3.3948228950849951E-2</v>
      </c>
      <c r="V374" s="254">
        <f>IF(B374="FX",N374,0)</f>
        <v>0</v>
      </c>
      <c r="W374" s="254">
        <f>IF(D374="O",IF(V374&lt;0,V374,0),0)</f>
        <v>0</v>
      </c>
      <c r="X374" s="254">
        <f>IF(B374="COM",N374,0)</f>
        <v>0</v>
      </c>
      <c r="Y374" s="254">
        <f>IF(D374="O",IF(X374&lt;0,X374,0),0)</f>
        <v>0</v>
      </c>
      <c r="Z374" s="254">
        <f>IF(B374="IND",N374,0)</f>
        <v>-1</v>
      </c>
      <c r="AA374" s="250">
        <f>IF(D374="O",IF(Z374&lt;0,Z374,0),0)</f>
        <v>0</v>
      </c>
      <c r="AB374" s="254">
        <f>IF(B374="CRYPTO",N374,0)</f>
        <v>0</v>
      </c>
      <c r="AC374" s="250">
        <f>IF(D374="O",IF(AB374&lt;0,AB374,0),0)</f>
        <v>0</v>
      </c>
      <c r="AD374" s="255">
        <f>IF(K374&lt;&gt;"",K374-E374,0)</f>
        <v>0.18958333333284827</v>
      </c>
      <c r="AE374" s="255">
        <f>IF(N374&gt;0,AD374,0)</f>
        <v>0</v>
      </c>
      <c r="AF374" s="255">
        <f>IF(N374&lt;0,AD374,0)</f>
        <v>0.18958333333284827</v>
      </c>
      <c r="AG374" s="255">
        <f>IF(N374=0,AD374,0)</f>
        <v>0</v>
      </c>
    </row>
    <row r="375" spans="2:33" ht="15" customHeight="1" x14ac:dyDescent="0.3">
      <c r="B375" s="196" t="s">
        <v>5</v>
      </c>
      <c r="C375" s="197" t="s">
        <v>13</v>
      </c>
      <c r="D375" s="246" t="str">
        <f>IF(E375&lt;&gt;"",IF(K375&lt;&gt;"","C","O"),"")</f>
        <v>C</v>
      </c>
      <c r="E375" s="199">
        <v>44754.9375</v>
      </c>
      <c r="F375" s="200" t="s">
        <v>93</v>
      </c>
      <c r="G375" s="235">
        <v>11713.78</v>
      </c>
      <c r="H375" s="235">
        <v>11754.72</v>
      </c>
      <c r="I375" s="247">
        <f>ABS(G375-H375)</f>
        <v>40.93999999999869</v>
      </c>
      <c r="J375" s="235">
        <v>11277.08</v>
      </c>
      <c r="K375" s="199">
        <v>44754.95416666667</v>
      </c>
      <c r="L375" s="235">
        <v>11754.72</v>
      </c>
      <c r="M375" s="248">
        <f>ROUND(IF(C375="L",(L375-G375),(G375-L375)),4)</f>
        <v>-40.94</v>
      </c>
      <c r="N375" s="249">
        <f>IFERROR(ROUND((M375/I375),2),"")</f>
        <v>-1</v>
      </c>
      <c r="O375" s="250">
        <f>IF(D375="O",IF(N375&lt;0,N375,0),0)</f>
        <v>0</v>
      </c>
      <c r="P375" s="251">
        <f>IF(N375&gt;= 0,N375,0)</f>
        <v>0</v>
      </c>
      <c r="Q375" s="251">
        <f>IF(N375&lt;0,N375,0)</f>
        <v>-1</v>
      </c>
      <c r="R3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38801</v>
      </c>
      <c r="T3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5" s="253">
        <f ca="1">IF(Tabla33610673[[#This Row],[Equity]]&lt;Tabla33610673[[#This Row],[Equity Peak]],(Tabla33610673[[#This Row],[Equity Peak]]-Tabla33610673[[#This Row],[Equity]])/Tabla33610673[[#This Row],[Equity Peak]],"")</f>
        <v>3.1452035645640398E-2</v>
      </c>
      <c r="V375" s="254">
        <f>IF(B375="FX",N375,0)</f>
        <v>0</v>
      </c>
      <c r="W375" s="254">
        <f>IF(D375="O",IF(V375&lt;0,V375,0),0)</f>
        <v>0</v>
      </c>
      <c r="X375" s="254">
        <f>IF(B375="COM",N375,0)</f>
        <v>0</v>
      </c>
      <c r="Y375" s="254">
        <f>IF(D375="O",IF(X375&lt;0,X375,0),0)</f>
        <v>0</v>
      </c>
      <c r="Z375" s="254">
        <f>IF(B375="IND",N375,0)</f>
        <v>-1</v>
      </c>
      <c r="AA375" s="250">
        <f>IF(D375="O",IF(Z375&lt;0,Z375,0),0)</f>
        <v>0</v>
      </c>
      <c r="AB375" s="254">
        <f>IF(B375="CRYPTO",N375,0)</f>
        <v>0</v>
      </c>
      <c r="AC375" s="250">
        <f>IF(D375="O",IF(AB375&lt;0,AB375,0),0)</f>
        <v>0</v>
      </c>
      <c r="AD375" s="255">
        <f>IF(K375&lt;&gt;"",K375-E375,0)</f>
        <v>1.6666666670062114E-2</v>
      </c>
      <c r="AE375" s="255">
        <f>IF(N375&gt;0,AD375,0)</f>
        <v>0</v>
      </c>
      <c r="AF375" s="255">
        <f>IF(N375&lt;0,AD375,0)</f>
        <v>1.6666666670062114E-2</v>
      </c>
      <c r="AG375" s="255">
        <f>IF(N375=0,AD375,0)</f>
        <v>0</v>
      </c>
    </row>
    <row r="376" spans="2:33" ht="15" customHeight="1" x14ac:dyDescent="0.3">
      <c r="B376" s="196" t="s">
        <v>7</v>
      </c>
      <c r="C376" s="197" t="s">
        <v>13</v>
      </c>
      <c r="D376" s="246" t="str">
        <f>IF(E376&lt;&gt;"",IF(K376&lt;&gt;"","C","O"),"")</f>
        <v>C</v>
      </c>
      <c r="E376" s="199">
        <v>44754.177083333336</v>
      </c>
      <c r="F376" s="200" t="s">
        <v>115</v>
      </c>
      <c r="G376" s="235">
        <v>162.91200000000001</v>
      </c>
      <c r="H376" s="235">
        <v>163.553</v>
      </c>
      <c r="I376" s="247">
        <f>ABS(G376-H376)</f>
        <v>0.64099999999999113</v>
      </c>
      <c r="J376" s="235">
        <v>161.08199999999999</v>
      </c>
      <c r="K376" s="199">
        <v>44754.808333333334</v>
      </c>
      <c r="L376" s="235">
        <v>162.85400000000001</v>
      </c>
      <c r="M376" s="248">
        <f>ROUND(IF(C376="L",(L376-G376),(G376-L376)),4)</f>
        <v>5.8000000000000003E-2</v>
      </c>
      <c r="N376" s="249">
        <f>IFERROR(ROUND((M376/I376),2),"")</f>
        <v>0.09</v>
      </c>
      <c r="O376" s="250">
        <f>IF(D376="O",IF(N376&lt;0,N376,0),0)</f>
        <v>0</v>
      </c>
      <c r="P376" s="251">
        <f>IF(N376&gt;= 0,N376,0)</f>
        <v>0.09</v>
      </c>
      <c r="Q376" s="251">
        <f>IF(N376&lt;0,N376,0)</f>
        <v>0</v>
      </c>
      <c r="R3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38901</v>
      </c>
      <c r="T3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6" s="253">
        <f ca="1">IF(Tabla33610673[[#This Row],[Equity]]&lt;Tabla33610673[[#This Row],[Equity Peak]],(Tabla33610673[[#This Row],[Equity Peak]]-Tabla33610673[[#This Row],[Equity]])/Tabla33610673[[#This Row],[Equity Peak]],"")</f>
        <v>2.8955842340430842E-2</v>
      </c>
      <c r="V376" s="254">
        <f>IF(B376="FX",N376,0)</f>
        <v>0.09</v>
      </c>
      <c r="W376" s="254">
        <f>IF(D376="O",IF(V376&lt;0,V376,0),0)</f>
        <v>0</v>
      </c>
      <c r="X376" s="254">
        <f>IF(B376="COM",N376,0)</f>
        <v>0</v>
      </c>
      <c r="Y376" s="254">
        <f>IF(D376="O",IF(X376&lt;0,X376,0),0)</f>
        <v>0</v>
      </c>
      <c r="Z376" s="254">
        <f>IF(B376="IND",N376,0)</f>
        <v>0</v>
      </c>
      <c r="AA376" s="250">
        <f>IF(D376="O",IF(Z376&lt;0,Z376,0),0)</f>
        <v>0</v>
      </c>
      <c r="AB376" s="254">
        <f>IF(B376="CRYPTO",N376,0)</f>
        <v>0</v>
      </c>
      <c r="AC376" s="250">
        <f>IF(D376="O",IF(AB376&lt;0,AB376,0),0)</f>
        <v>0</v>
      </c>
      <c r="AD376" s="255">
        <f>IF(K376&lt;&gt;"",K376-E376,0)</f>
        <v>0.63124999999854481</v>
      </c>
      <c r="AE376" s="255">
        <f>IF(N376&gt;0,AD376,0)</f>
        <v>0.63124999999854481</v>
      </c>
      <c r="AF376" s="255">
        <f>IF(N376&lt;0,AD376,0)</f>
        <v>0</v>
      </c>
      <c r="AG376" s="255">
        <f>IF(N376=0,AD376,0)</f>
        <v>0</v>
      </c>
    </row>
    <row r="377" spans="2:33" ht="15" customHeight="1" x14ac:dyDescent="0.3">
      <c r="B377" s="196" t="s">
        <v>5</v>
      </c>
      <c r="C377" s="197" t="s">
        <v>13</v>
      </c>
      <c r="D377" s="246" t="str">
        <f>IF(E377&lt;&gt;"",IF(K377&lt;&gt;"","C","O"),"")</f>
        <v>C</v>
      </c>
      <c r="E377" s="199">
        <v>44754.166666666664</v>
      </c>
      <c r="F377" s="200" t="s">
        <v>92</v>
      </c>
      <c r="G377" s="235">
        <v>11777.71</v>
      </c>
      <c r="H377" s="235">
        <v>11817.15</v>
      </c>
      <c r="I377" s="247">
        <f>ABS(G377-H377)</f>
        <v>39.440000000000509</v>
      </c>
      <c r="J377" s="235">
        <v>11041.49</v>
      </c>
      <c r="K377" s="199">
        <v>44754.597222222219</v>
      </c>
      <c r="L377" s="235">
        <v>11817.15</v>
      </c>
      <c r="M377" s="248">
        <f>ROUND(IF(C377="L",(L377-G377),(G377-L377)),4)</f>
        <v>-39.44</v>
      </c>
      <c r="N377" s="249">
        <f>IFERROR(ROUND((M377/I377),2),"")</f>
        <v>-1</v>
      </c>
      <c r="O377" s="250">
        <f>IF(D377="O",IF(N377&lt;0,N377,0),0)</f>
        <v>0</v>
      </c>
      <c r="P377" s="251">
        <f>IF(N377&gt;= 0,N377,0)</f>
        <v>0</v>
      </c>
      <c r="Q377" s="251">
        <f>IF(N377&lt;0,N377,0)</f>
        <v>-1</v>
      </c>
      <c r="R3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38892</v>
      </c>
      <c r="T3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7" s="253">
        <f ca="1">IF(Tabla33610673[[#This Row],[Equity]]&lt;Tabla33610673[[#This Row],[Equity Peak]],(Tabla33610673[[#This Row],[Equity Peak]]-Tabla33610673[[#This Row],[Equity]])/Tabla33610673[[#This Row],[Equity Peak]],"")</f>
        <v>2.9180499737899702E-2</v>
      </c>
      <c r="V377" s="254">
        <f>IF(B377="FX",N377,0)</f>
        <v>0</v>
      </c>
      <c r="W377" s="254">
        <f>IF(D377="O",IF(V377&lt;0,V377,0),0)</f>
        <v>0</v>
      </c>
      <c r="X377" s="254">
        <f>IF(B377="COM",N377,0)</f>
        <v>0</v>
      </c>
      <c r="Y377" s="254">
        <f>IF(D377="O",IF(X377&lt;0,X377,0),0)</f>
        <v>0</v>
      </c>
      <c r="Z377" s="254">
        <f>IF(B377="IND",N377,0)</f>
        <v>-1</v>
      </c>
      <c r="AA377" s="250">
        <f>IF(D377="O",IF(Z377&lt;0,Z377,0),0)</f>
        <v>0</v>
      </c>
      <c r="AB377" s="254">
        <f>IF(B377="CRYPTO",N377,0)</f>
        <v>0</v>
      </c>
      <c r="AC377" s="250">
        <f>IF(D377="O",IF(AB377&lt;0,AB377,0),0)</f>
        <v>0</v>
      </c>
      <c r="AD377" s="255">
        <f>IF(K377&lt;&gt;"",K377-E377,0)</f>
        <v>0.43055555555474712</v>
      </c>
      <c r="AE377" s="255">
        <f>IF(N377&gt;0,AD377,0)</f>
        <v>0</v>
      </c>
      <c r="AF377" s="255">
        <f>IF(N377&lt;0,AD377,0)</f>
        <v>0.43055555555474712</v>
      </c>
      <c r="AG377" s="255">
        <f>IF(N377=0,AD377,0)</f>
        <v>0</v>
      </c>
    </row>
    <row r="378" spans="2:33" ht="15" customHeight="1" x14ac:dyDescent="0.3">
      <c r="B378" s="196" t="s">
        <v>5</v>
      </c>
      <c r="C378" s="197" t="s">
        <v>13</v>
      </c>
      <c r="D378" s="246" t="str">
        <f>IF(E378&lt;&gt;"",IF(K378&lt;&gt;"","C","O"),"")</f>
        <v>C</v>
      </c>
      <c r="E378" s="199">
        <v>44754.166666666664</v>
      </c>
      <c r="F378" s="200" t="s">
        <v>93</v>
      </c>
      <c r="G378" s="235">
        <v>11777.71</v>
      </c>
      <c r="H378" s="235">
        <v>11815.65</v>
      </c>
      <c r="I378" s="247">
        <f>ABS(G378-H378)</f>
        <v>37.940000000000509</v>
      </c>
      <c r="J378" s="235">
        <v>11373.07</v>
      </c>
      <c r="K378" s="199">
        <v>44754.59652777778</v>
      </c>
      <c r="L378" s="235">
        <v>11815.65</v>
      </c>
      <c r="M378" s="248">
        <f>ROUND(IF(C378="L",(L378-G378),(G378-L378)),4)</f>
        <v>-37.94</v>
      </c>
      <c r="N378" s="249">
        <f>IFERROR(ROUND((M378/I378),2),"")</f>
        <v>-1</v>
      </c>
      <c r="O378" s="250">
        <f>IF(D378="O",IF(N378&lt;0,N378,0),0)</f>
        <v>0</v>
      </c>
      <c r="P378" s="251">
        <f>IF(N378&gt;= 0,N378,0)</f>
        <v>0</v>
      </c>
      <c r="Q378" s="251">
        <f>IF(N378&lt;0,N378,0)</f>
        <v>-1</v>
      </c>
      <c r="R3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38992</v>
      </c>
      <c r="T3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8" s="253">
        <f ca="1">IF(Tabla33610673[[#This Row],[Equity]]&lt;Tabla33610673[[#This Row],[Equity Peak]],(Tabla33610673[[#This Row],[Equity Peak]]-Tabla33610673[[#This Row],[Equity]])/Tabla33610673[[#This Row],[Equity Peak]],"")</f>
        <v>2.6684306432690149E-2</v>
      </c>
      <c r="V378" s="254">
        <f>IF(B378="FX",N378,0)</f>
        <v>0</v>
      </c>
      <c r="W378" s="254">
        <f>IF(D378="O",IF(V378&lt;0,V378,0),0)</f>
        <v>0</v>
      </c>
      <c r="X378" s="254">
        <f>IF(B378="COM",N378,0)</f>
        <v>0</v>
      </c>
      <c r="Y378" s="254">
        <f>IF(D378="O",IF(X378&lt;0,X378,0),0)</f>
        <v>0</v>
      </c>
      <c r="Z378" s="254">
        <f>IF(B378="IND",N378,0)</f>
        <v>-1</v>
      </c>
      <c r="AA378" s="250">
        <f>IF(D378="O",IF(Z378&lt;0,Z378,0),0)</f>
        <v>0</v>
      </c>
      <c r="AB378" s="254">
        <f>IF(B378="CRYPTO",N378,0)</f>
        <v>0</v>
      </c>
      <c r="AC378" s="250">
        <f>IF(D378="O",IF(AB378&lt;0,AB378,0),0)</f>
        <v>0</v>
      </c>
      <c r="AD378" s="255">
        <f>IF(K378&lt;&gt;"",K378-E378,0)</f>
        <v>0.429861111115315</v>
      </c>
      <c r="AE378" s="255">
        <f>IF(N378&gt;0,AD378,0)</f>
        <v>0</v>
      </c>
      <c r="AF378" s="255">
        <f>IF(N378&lt;0,AD378,0)</f>
        <v>0.429861111115315</v>
      </c>
      <c r="AG378" s="255">
        <f>IF(N378=0,AD378,0)</f>
        <v>0</v>
      </c>
    </row>
    <row r="379" spans="2:33" ht="15" customHeight="1" x14ac:dyDescent="0.3">
      <c r="B379" s="196" t="s">
        <v>7</v>
      </c>
      <c r="C379" s="197" t="s">
        <v>13</v>
      </c>
      <c r="D379" s="246" t="str">
        <f>IF(E379&lt;&gt;"",IF(K379&lt;&gt;"","C","O"),"")</f>
        <v>C</v>
      </c>
      <c r="E379" s="199">
        <v>44753.9375</v>
      </c>
      <c r="F379" s="200" t="s">
        <v>114</v>
      </c>
      <c r="G379" s="235">
        <v>1.0046900000000001</v>
      </c>
      <c r="H379" s="235">
        <v>1.0068699999999999</v>
      </c>
      <c r="I379" s="247">
        <f>ABS(G379-H379)</f>
        <v>2.1799999999998487E-3</v>
      </c>
      <c r="J379" s="235">
        <v>0.98509000000000002</v>
      </c>
      <c r="K379" s="199">
        <v>44754.595833333333</v>
      </c>
      <c r="L379" s="235">
        <v>1.00471</v>
      </c>
      <c r="M379" s="248">
        <f>ROUND(IF(C379="L",(L379-G379),(G379-L379)),4)</f>
        <v>0</v>
      </c>
      <c r="N379" s="249">
        <f>IFERROR(ROUND((M379/I379),2),"")</f>
        <v>0</v>
      </c>
      <c r="O379" s="250">
        <f>IF(D379="O",IF(N379&lt;0,N379,0),0)</f>
        <v>0</v>
      </c>
      <c r="P379" s="251">
        <f>IF(N379&gt;= 0,N379,0)</f>
        <v>0</v>
      </c>
      <c r="Q379" s="251">
        <f>IF(N379&lt;0,N379,0)</f>
        <v>0</v>
      </c>
      <c r="R3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39092</v>
      </c>
      <c r="T3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79" s="253">
        <f ca="1">IF(Tabla33610673[[#This Row],[Equity]]&lt;Tabla33610673[[#This Row],[Equity Peak]],(Tabla33610673[[#This Row],[Equity Peak]]-Tabla33610673[[#This Row],[Equity]])/Tabla33610673[[#This Row],[Equity Peak]],"")</f>
        <v>2.4188113127480593E-2</v>
      </c>
      <c r="V379" s="254">
        <f>IF(B379="FX",N379,0)</f>
        <v>0</v>
      </c>
      <c r="W379" s="254">
        <f>IF(D379="O",IF(V379&lt;0,V379,0),0)</f>
        <v>0</v>
      </c>
      <c r="X379" s="254">
        <f>IF(B379="COM",N379,0)</f>
        <v>0</v>
      </c>
      <c r="Y379" s="254">
        <f>IF(D379="O",IF(X379&lt;0,X379,0),0)</f>
        <v>0</v>
      </c>
      <c r="Z379" s="254">
        <f>IF(B379="IND",N379,0)</f>
        <v>0</v>
      </c>
      <c r="AA379" s="250">
        <f>IF(D379="O",IF(Z379&lt;0,Z379,0),0)</f>
        <v>0</v>
      </c>
      <c r="AB379" s="254">
        <f>IF(B379="CRYPTO",N379,0)</f>
        <v>0</v>
      </c>
      <c r="AC379" s="250">
        <f>IF(D379="O",IF(AB379&lt;0,AB379,0),0)</f>
        <v>0</v>
      </c>
      <c r="AD379" s="255">
        <f>IF(K379&lt;&gt;"",K379-E379,0)</f>
        <v>0.65833333333284827</v>
      </c>
      <c r="AE379" s="255">
        <f>IF(N379&gt;0,AD379,0)</f>
        <v>0</v>
      </c>
      <c r="AF379" s="255">
        <f>IF(N379&lt;0,AD379,0)</f>
        <v>0</v>
      </c>
      <c r="AG379" s="255">
        <f>IF(N379=0,AD379,0)</f>
        <v>0.65833333333284827</v>
      </c>
    </row>
    <row r="380" spans="2:33" ht="15" customHeight="1" x14ac:dyDescent="0.3">
      <c r="B380" s="196" t="s">
        <v>19</v>
      </c>
      <c r="C380" s="197" t="s">
        <v>13</v>
      </c>
      <c r="D380" s="246" t="str">
        <f>IF(E380&lt;&gt;"",IF(K380&lt;&gt;"","C","O"),"")</f>
        <v>C</v>
      </c>
      <c r="E380" s="199">
        <v>44754.177083333336</v>
      </c>
      <c r="F380" s="200" t="s">
        <v>88</v>
      </c>
      <c r="G380" s="235">
        <v>1724.74</v>
      </c>
      <c r="H380" s="235">
        <v>1727.62</v>
      </c>
      <c r="I380" s="247">
        <f>ABS(G380-H380)</f>
        <v>2.8799999999998818</v>
      </c>
      <c r="J380" s="235">
        <v>1690.14</v>
      </c>
      <c r="K380" s="199">
        <v>44754.186805555553</v>
      </c>
      <c r="L380" s="235">
        <v>1727.62</v>
      </c>
      <c r="M380" s="248">
        <f>ROUND(IF(C380="L",(L380-G380),(G380-L380)),4)</f>
        <v>-2.88</v>
      </c>
      <c r="N380" s="249">
        <f>IFERROR(ROUND((M380/I380),2),"")</f>
        <v>-1</v>
      </c>
      <c r="O380" s="250">
        <f>IF(D380="O",IF(N380&lt;0,N380,0),0)</f>
        <v>0</v>
      </c>
      <c r="P380" s="251">
        <f>IF(N380&gt;= 0,N380,0)</f>
        <v>0</v>
      </c>
      <c r="Q380" s="251">
        <f>IF(N380&lt;0,N380,0)</f>
        <v>-1</v>
      </c>
      <c r="R3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39092</v>
      </c>
      <c r="T3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0" s="253">
        <f ca="1">IF(Tabla33610673[[#This Row],[Equity]]&lt;Tabla33610673[[#This Row],[Equity Peak]],(Tabla33610673[[#This Row],[Equity Peak]]-Tabla33610673[[#This Row],[Equity]])/Tabla33610673[[#This Row],[Equity Peak]],"")</f>
        <v>2.4188113127480593E-2</v>
      </c>
      <c r="V380" s="254">
        <f>IF(B380="FX",N380,0)</f>
        <v>0</v>
      </c>
      <c r="W380" s="254">
        <f>IF(D380="O",IF(V380&lt;0,V380,0),0)</f>
        <v>0</v>
      </c>
      <c r="X380" s="254">
        <f>IF(B380="COM",N380,0)</f>
        <v>-1</v>
      </c>
      <c r="Y380" s="254">
        <f>IF(D380="O",IF(X380&lt;0,X380,0),0)</f>
        <v>0</v>
      </c>
      <c r="Z380" s="254">
        <f>IF(B380="IND",N380,0)</f>
        <v>0</v>
      </c>
      <c r="AA380" s="250">
        <f>IF(D380="O",IF(Z380&lt;0,Z380,0),0)</f>
        <v>0</v>
      </c>
      <c r="AB380" s="254">
        <f>IF(B380="CRYPTO",N380,0)</f>
        <v>0</v>
      </c>
      <c r="AC380" s="250">
        <f>IF(D380="O",IF(AB380&lt;0,AB380,0),0)</f>
        <v>0</v>
      </c>
      <c r="AD380" s="255">
        <f>IF(K380&lt;&gt;"",K380-E380,0)</f>
        <v>9.7222222175332718E-3</v>
      </c>
      <c r="AE380" s="255">
        <f>IF(N380&gt;0,AD380,0)</f>
        <v>0</v>
      </c>
      <c r="AF380" s="255">
        <f>IF(N380&lt;0,AD380,0)</f>
        <v>9.7222222175332718E-3</v>
      </c>
      <c r="AG380" s="255">
        <f>IF(N380=0,AD380,0)</f>
        <v>0</v>
      </c>
    </row>
    <row r="381" spans="2:33" ht="15" customHeight="1" x14ac:dyDescent="0.3">
      <c r="B381" s="196" t="s">
        <v>19</v>
      </c>
      <c r="C381" s="197" t="s">
        <v>13</v>
      </c>
      <c r="D381" s="246" t="str">
        <f>IF(E381&lt;&gt;"",IF(K381&lt;&gt;"","C","O"),"")</f>
        <v>C</v>
      </c>
      <c r="E381" s="199">
        <v>44753.947916666664</v>
      </c>
      <c r="F381" s="200" t="s">
        <v>88</v>
      </c>
      <c r="G381" s="235">
        <v>1731.56</v>
      </c>
      <c r="H381" s="235">
        <v>1734.38</v>
      </c>
      <c r="I381" s="247">
        <f>ABS(G381-H381)</f>
        <v>2.8200000000001637</v>
      </c>
      <c r="J381" s="235">
        <v>1697.7</v>
      </c>
      <c r="K381" s="199">
        <v>44754.089583333334</v>
      </c>
      <c r="L381" s="235">
        <v>1734.38</v>
      </c>
      <c r="M381" s="248">
        <f>ROUND(IF(C381="L",(L381-G381),(G381-L381)),4)</f>
        <v>-2.82</v>
      </c>
      <c r="N381" s="249">
        <f>IFERROR(ROUND((M381/I381),2),"")</f>
        <v>-1</v>
      </c>
      <c r="O381" s="250">
        <f>IF(D381="O",IF(N381&lt;0,N381,0),0)</f>
        <v>0</v>
      </c>
      <c r="P381" s="251">
        <f>IF(N381&gt;= 0,N381,0)</f>
        <v>0</v>
      </c>
      <c r="Q381" s="251">
        <f>IF(N381&lt;0,N381,0)</f>
        <v>-1</v>
      </c>
      <c r="R3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39192</v>
      </c>
      <c r="T3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1" s="253">
        <f ca="1">IF(Tabla33610673[[#This Row],[Equity]]&lt;Tabla33610673[[#This Row],[Equity Peak]],(Tabla33610673[[#This Row],[Equity Peak]]-Tabla33610673[[#This Row],[Equity]])/Tabla33610673[[#This Row],[Equity Peak]],"")</f>
        <v>2.1691919822271036E-2</v>
      </c>
      <c r="V381" s="254">
        <f>IF(B381="FX",N381,0)</f>
        <v>0</v>
      </c>
      <c r="W381" s="254">
        <f>IF(D381="O",IF(V381&lt;0,V381,0),0)</f>
        <v>0</v>
      </c>
      <c r="X381" s="254">
        <f>IF(B381="COM",N381,0)</f>
        <v>-1</v>
      </c>
      <c r="Y381" s="254">
        <f>IF(D381="O",IF(X381&lt;0,X381,0),0)</f>
        <v>0</v>
      </c>
      <c r="Z381" s="254">
        <f>IF(B381="IND",N381,0)</f>
        <v>0</v>
      </c>
      <c r="AA381" s="250">
        <f>IF(D381="O",IF(Z381&lt;0,Z381,0),0)</f>
        <v>0</v>
      </c>
      <c r="AB381" s="254">
        <f>IF(B381="CRYPTO",N381,0)</f>
        <v>0</v>
      </c>
      <c r="AC381" s="250">
        <f>IF(D381="O",IF(AB381&lt;0,AB381,0),0)</f>
        <v>0</v>
      </c>
      <c r="AD381" s="255">
        <f>IF(K381&lt;&gt;"",K381-E381,0)</f>
        <v>0.14166666667006211</v>
      </c>
      <c r="AE381" s="255">
        <f>IF(N381&gt;0,AD381,0)</f>
        <v>0</v>
      </c>
      <c r="AF381" s="255">
        <f>IF(N381&lt;0,AD381,0)</f>
        <v>0.14166666667006211</v>
      </c>
      <c r="AG381" s="255">
        <f>IF(N381=0,AD381,0)</f>
        <v>0</v>
      </c>
    </row>
    <row r="382" spans="2:33" ht="15" customHeight="1" x14ac:dyDescent="0.3">
      <c r="B382" s="196" t="s">
        <v>7</v>
      </c>
      <c r="C382" s="197" t="s">
        <v>13</v>
      </c>
      <c r="D382" s="246" t="str">
        <f>IF(E382&lt;&gt;"",IF(K382&lt;&gt;"","C","O"),"")</f>
        <v>C</v>
      </c>
      <c r="E382" s="199">
        <v>44753.677083333336</v>
      </c>
      <c r="F382" s="200" t="s">
        <v>114</v>
      </c>
      <c r="G382" s="235">
        <v>1.00566</v>
      </c>
      <c r="H382" s="235">
        <v>1.00806</v>
      </c>
      <c r="I382" s="247">
        <f>ABS(G382-H382)</f>
        <v>2.3999999999999577E-3</v>
      </c>
      <c r="J382" s="235">
        <v>0.98404000000000003</v>
      </c>
      <c r="K382" s="199">
        <v>44753.715277777781</v>
      </c>
      <c r="L382" s="235">
        <v>1.00806</v>
      </c>
      <c r="M382" s="248">
        <f>ROUND(IF(C382="L",(L382-G382),(G382-L382)),4)</f>
        <v>-2.3999999999999998E-3</v>
      </c>
      <c r="N382" s="249">
        <f>IFERROR(ROUND((M382/I382),2),"")</f>
        <v>-1</v>
      </c>
      <c r="O382" s="250">
        <f>IF(D382="O",IF(N382&lt;0,N382,0),0)</f>
        <v>0</v>
      </c>
      <c r="P382" s="251">
        <f>IF(N382&gt;= 0,N382,0)</f>
        <v>0</v>
      </c>
      <c r="Q382" s="251">
        <f>IF(N382&lt;0,N382,0)</f>
        <v>-1</v>
      </c>
      <c r="R3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39292</v>
      </c>
      <c r="T3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2" s="253">
        <f ca="1">IF(Tabla33610673[[#This Row],[Equity]]&lt;Tabla33610673[[#This Row],[Equity Peak]],(Tabla33610673[[#This Row],[Equity Peak]]-Tabla33610673[[#This Row],[Equity]])/Tabla33610673[[#This Row],[Equity Peak]],"")</f>
        <v>1.919572651706148E-2</v>
      </c>
      <c r="V382" s="254">
        <f>IF(B382="FX",N382,0)</f>
        <v>-1</v>
      </c>
      <c r="W382" s="254">
        <f>IF(D382="O",IF(V382&lt;0,V382,0),0)</f>
        <v>0</v>
      </c>
      <c r="X382" s="254">
        <f>IF(B382="COM",N382,0)</f>
        <v>0</v>
      </c>
      <c r="Y382" s="254">
        <f>IF(D382="O",IF(X382&lt;0,X382,0),0)</f>
        <v>0</v>
      </c>
      <c r="Z382" s="254">
        <f>IF(B382="IND",N382,0)</f>
        <v>0</v>
      </c>
      <c r="AA382" s="250">
        <f>IF(D382="O",IF(Z382&lt;0,Z382,0),0)</f>
        <v>0</v>
      </c>
      <c r="AB382" s="254">
        <f>IF(B382="CRYPTO",N382,0)</f>
        <v>0</v>
      </c>
      <c r="AC382" s="250">
        <f>IF(D382="O",IF(AB382&lt;0,AB382,0),0)</f>
        <v>0</v>
      </c>
      <c r="AD382" s="255">
        <f>IF(K382&lt;&gt;"",K382-E382,0)</f>
        <v>3.8194444445252884E-2</v>
      </c>
      <c r="AE382" s="255">
        <f>IF(N382&gt;0,AD382,0)</f>
        <v>0</v>
      </c>
      <c r="AF382" s="255">
        <f>IF(N382&lt;0,AD382,0)</f>
        <v>3.8194444445252884E-2</v>
      </c>
      <c r="AG382" s="255">
        <f>IF(N382=0,AD382,0)</f>
        <v>0</v>
      </c>
    </row>
    <row r="383" spans="2:33" ht="15" customHeight="1" x14ac:dyDescent="0.3">
      <c r="B383" s="196" t="s">
        <v>7</v>
      </c>
      <c r="C383" s="197" t="s">
        <v>15</v>
      </c>
      <c r="D383" s="246" t="str">
        <f>IF(E383&lt;&gt;"",IF(K383&lt;&gt;"","C","O"),"")</f>
        <v>C</v>
      </c>
      <c r="E383" s="199">
        <v>44753.625</v>
      </c>
      <c r="F383" s="200" t="s">
        <v>116</v>
      </c>
      <c r="G383" s="235">
        <v>137.35400000000001</v>
      </c>
      <c r="H383" s="235">
        <v>137.05000000000001</v>
      </c>
      <c r="I383" s="247">
        <f>ABS(G383-H383)</f>
        <v>0.30400000000000205</v>
      </c>
      <c r="J383" s="235">
        <v>140.52000000000001</v>
      </c>
      <c r="K383" s="199">
        <v>44753.704861111109</v>
      </c>
      <c r="L383" s="235">
        <v>137.32400000000001</v>
      </c>
      <c r="M383" s="248">
        <f>ROUND(IF(C383="L",(L383-G383),(G383-L383)),4)</f>
        <v>-0.03</v>
      </c>
      <c r="N383" s="249">
        <f>IFERROR(ROUND((M383/I383),2),"")</f>
        <v>-0.1</v>
      </c>
      <c r="O383" s="250">
        <f>IF(D383="O",IF(N383&lt;0,N383,0),0)</f>
        <v>0</v>
      </c>
      <c r="P383" s="251">
        <f>IF(N383&gt;= 0,N383,0)</f>
        <v>0</v>
      </c>
      <c r="Q383" s="251">
        <f>IF(N383&lt;0,N383,0)</f>
        <v>-0.1</v>
      </c>
      <c r="R3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39392</v>
      </c>
      <c r="T3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3" s="253">
        <f ca="1">IF(Tabla33610673[[#This Row],[Equity]]&lt;Tabla33610673[[#This Row],[Equity Peak]],(Tabla33610673[[#This Row],[Equity Peak]]-Tabla33610673[[#This Row],[Equity]])/Tabla33610673[[#This Row],[Equity Peak]],"")</f>
        <v>1.6699533211851927E-2</v>
      </c>
      <c r="V383" s="254">
        <f>IF(B383="FX",N383,0)</f>
        <v>-0.1</v>
      </c>
      <c r="W383" s="254">
        <f>IF(D383="O",IF(V383&lt;0,V383,0),0)</f>
        <v>0</v>
      </c>
      <c r="X383" s="254">
        <f>IF(B383="COM",N383,0)</f>
        <v>0</v>
      </c>
      <c r="Y383" s="254">
        <f>IF(D383="O",IF(X383&lt;0,X383,0),0)</f>
        <v>0</v>
      </c>
      <c r="Z383" s="254">
        <f>IF(B383="IND",N383,0)</f>
        <v>0</v>
      </c>
      <c r="AA383" s="250">
        <f>IF(D383="O",IF(Z383&lt;0,Z383,0),0)</f>
        <v>0</v>
      </c>
      <c r="AB383" s="254">
        <f>IF(B383="CRYPTO",N383,0)</f>
        <v>0</v>
      </c>
      <c r="AC383" s="250">
        <f>IF(D383="O",IF(AB383&lt;0,AB383,0),0)</f>
        <v>0</v>
      </c>
      <c r="AD383" s="255">
        <f>IF(K383&lt;&gt;"",K383-E383,0)</f>
        <v>7.9861111109494232E-2</v>
      </c>
      <c r="AE383" s="255">
        <f>IF(N383&gt;0,AD383,0)</f>
        <v>0</v>
      </c>
      <c r="AF383" s="255">
        <f>IF(N383&lt;0,AD383,0)</f>
        <v>7.9861111109494232E-2</v>
      </c>
      <c r="AG383" s="255">
        <f>IF(N383=0,AD383,0)</f>
        <v>0</v>
      </c>
    </row>
    <row r="384" spans="2:33" ht="15" customHeight="1" x14ac:dyDescent="0.3">
      <c r="B384" s="196" t="s">
        <v>7</v>
      </c>
      <c r="C384" s="197" t="s">
        <v>15</v>
      </c>
      <c r="D384" s="246" t="str">
        <f>IF(E384&lt;&gt;"",IF(K384&lt;&gt;"","C","O"),"")</f>
        <v>C</v>
      </c>
      <c r="E384" s="199">
        <v>44753.1875</v>
      </c>
      <c r="F384" s="200" t="s">
        <v>115</v>
      </c>
      <c r="G384" s="235">
        <v>164.18</v>
      </c>
      <c r="H384" s="235">
        <v>163.49</v>
      </c>
      <c r="I384" s="247">
        <f>ABS(G384-H384)</f>
        <v>0.68999999999999773</v>
      </c>
      <c r="J384" s="235">
        <v>166.15100000000001</v>
      </c>
      <c r="K384" s="199">
        <v>44753.436111111114</v>
      </c>
      <c r="L384" s="235">
        <v>163.66300000000001</v>
      </c>
      <c r="M384" s="248">
        <f>ROUND(IF(C384="L",(L384-G384),(G384-L384)),4)</f>
        <v>-0.51700000000000002</v>
      </c>
      <c r="N384" s="249">
        <f>IFERROR(ROUND((M384/I384),2),"")</f>
        <v>-0.75</v>
      </c>
      <c r="O384" s="250">
        <f>IF(D384="O",IF(N384&lt;0,N384,0),0)</f>
        <v>0</v>
      </c>
      <c r="P384" s="251">
        <f>IF(N384&gt;= 0,N384,0)</f>
        <v>0</v>
      </c>
      <c r="Q384" s="251">
        <f>IF(N384&lt;0,N384,0)</f>
        <v>-0.75</v>
      </c>
      <c r="R3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39402</v>
      </c>
      <c r="T3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4" s="253">
        <f ca="1">IF(Tabla33610673[[#This Row],[Equity]]&lt;Tabla33610673[[#This Row],[Equity Peak]],(Tabla33610673[[#This Row],[Equity Peak]]-Tabla33610673[[#This Row],[Equity]])/Tabla33610673[[#This Row],[Equity Peak]],"")</f>
        <v>1.644991388133097E-2</v>
      </c>
      <c r="V384" s="254">
        <f>IF(B384="FX",N384,0)</f>
        <v>-0.75</v>
      </c>
      <c r="W384" s="254">
        <f>IF(D384="O",IF(V384&lt;0,V384,0),0)</f>
        <v>0</v>
      </c>
      <c r="X384" s="254">
        <f>IF(B384="COM",N384,0)</f>
        <v>0</v>
      </c>
      <c r="Y384" s="254">
        <f>IF(D384="O",IF(X384&lt;0,X384,0),0)</f>
        <v>0</v>
      </c>
      <c r="Z384" s="254">
        <f>IF(B384="IND",N384,0)</f>
        <v>0</v>
      </c>
      <c r="AA384" s="250">
        <f>IF(D384="O",IF(Z384&lt;0,Z384,0),0)</f>
        <v>0</v>
      </c>
      <c r="AB384" s="254">
        <f>IF(B384="CRYPTO",N384,0)</f>
        <v>0</v>
      </c>
      <c r="AC384" s="250">
        <f>IF(D384="O",IF(AB384&lt;0,AB384,0),0)</f>
        <v>0</v>
      </c>
      <c r="AD384" s="255">
        <f>IF(K384&lt;&gt;"",K384-E384,0)</f>
        <v>0.24861111111385981</v>
      </c>
      <c r="AE384" s="255">
        <f>IF(N384&gt;0,AD384,0)</f>
        <v>0</v>
      </c>
      <c r="AF384" s="255">
        <f>IF(N384&lt;0,AD384,0)</f>
        <v>0.24861111111385981</v>
      </c>
      <c r="AG384" s="255">
        <f>IF(N384=0,AD384,0)</f>
        <v>0</v>
      </c>
    </row>
    <row r="385" spans="2:33" ht="15" customHeight="1" x14ac:dyDescent="0.3">
      <c r="B385" s="196" t="s">
        <v>7</v>
      </c>
      <c r="C385" s="197" t="s">
        <v>15</v>
      </c>
      <c r="D385" s="246" t="str">
        <f>IF(E385&lt;&gt;"",IF(K385&lt;&gt;"","C","O"),"")</f>
        <v>C</v>
      </c>
      <c r="E385" s="199">
        <v>44753.197916666664</v>
      </c>
      <c r="F385" s="200" t="s">
        <v>116</v>
      </c>
      <c r="G385" s="235">
        <v>137.22900000000001</v>
      </c>
      <c r="H385" s="235">
        <v>136.935</v>
      </c>
      <c r="I385" s="247">
        <f>ABS(G385-H385)</f>
        <v>0.29400000000001114</v>
      </c>
      <c r="J385" s="235">
        <v>140.28299999999999</v>
      </c>
      <c r="K385" s="199">
        <v>44753.230555555558</v>
      </c>
      <c r="L385" s="235">
        <v>136.935</v>
      </c>
      <c r="M385" s="248">
        <f>ROUND(IF(C385="L",(L385-G385),(G385-L385)),4)</f>
        <v>-0.29399999999999998</v>
      </c>
      <c r="N385" s="249">
        <f>IFERROR(ROUND((M385/I385),2),"")</f>
        <v>-1</v>
      </c>
      <c r="O385" s="250">
        <f>IF(D385="O",IF(N385&lt;0,N385,0),0)</f>
        <v>0</v>
      </c>
      <c r="P385" s="251">
        <f>IF(N385&gt;= 0,N385,0)</f>
        <v>0</v>
      </c>
      <c r="Q385" s="251">
        <f>IF(N385&lt;0,N385,0)</f>
        <v>-1</v>
      </c>
      <c r="R3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39477</v>
      </c>
      <c r="T3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5" s="253">
        <f ca="1">IF(Tabla33610673[[#This Row],[Equity]]&lt;Tabla33610673[[#This Row],[Equity Peak]],(Tabla33610673[[#This Row],[Equity Peak]]-Tabla33610673[[#This Row],[Equity]])/Tabla33610673[[#This Row],[Equity Peak]],"")</f>
        <v>1.4577768902423804E-2</v>
      </c>
      <c r="V385" s="254">
        <f>IF(B385="FX",N385,0)</f>
        <v>-1</v>
      </c>
      <c r="W385" s="254">
        <f>IF(D385="O",IF(V385&lt;0,V385,0),0)</f>
        <v>0</v>
      </c>
      <c r="X385" s="254">
        <f>IF(B385="COM",N385,0)</f>
        <v>0</v>
      </c>
      <c r="Y385" s="254">
        <f>IF(D385="O",IF(X385&lt;0,X385,0),0)</f>
        <v>0</v>
      </c>
      <c r="Z385" s="254">
        <f>IF(B385="IND",N385,0)</f>
        <v>0</v>
      </c>
      <c r="AA385" s="250">
        <f>IF(D385="O",IF(Z385&lt;0,Z385,0),0)</f>
        <v>0</v>
      </c>
      <c r="AB385" s="254">
        <f>IF(B385="CRYPTO",N385,0)</f>
        <v>0</v>
      </c>
      <c r="AC385" s="250">
        <f>IF(D385="O",IF(AB385&lt;0,AB385,0),0)</f>
        <v>0</v>
      </c>
      <c r="AD385" s="255">
        <f>IF(K385&lt;&gt;"",K385-E385,0)</f>
        <v>3.2638888893416151E-2</v>
      </c>
      <c r="AE385" s="255">
        <f>IF(N385&gt;0,AD385,0)</f>
        <v>0</v>
      </c>
      <c r="AF385" s="255">
        <f>IF(N385&lt;0,AD385,0)</f>
        <v>3.2638888893416151E-2</v>
      </c>
      <c r="AG385" s="255">
        <f>IF(N385=0,AD385,0)</f>
        <v>0</v>
      </c>
    </row>
    <row r="386" spans="2:33" ht="15" customHeight="1" x14ac:dyDescent="0.3">
      <c r="B386" s="196" t="s">
        <v>5</v>
      </c>
      <c r="C386" s="197" t="s">
        <v>15</v>
      </c>
      <c r="D386" s="246" t="str">
        <f>IF(E386&lt;&gt;"",IF(K386&lt;&gt;"","C","O"),"")</f>
        <v>C</v>
      </c>
      <c r="E386" s="199">
        <v>44750.760416666664</v>
      </c>
      <c r="F386" s="200" t="s">
        <v>92</v>
      </c>
      <c r="G386" s="235">
        <v>12130.03</v>
      </c>
      <c r="H386" s="235">
        <v>12094.67</v>
      </c>
      <c r="I386" s="247">
        <f>ABS(G386-H386)</f>
        <v>35.360000000000582</v>
      </c>
      <c r="J386" s="235">
        <v>12790.1</v>
      </c>
      <c r="K386" s="199">
        <v>44750.802083333336</v>
      </c>
      <c r="L386" s="235">
        <v>12094.67</v>
      </c>
      <c r="M386" s="248">
        <f>ROUND(IF(C386="L",(L386-G386),(G386-L386)),4)</f>
        <v>-35.36</v>
      </c>
      <c r="N386" s="249">
        <f>IFERROR(ROUND((M386/I386),2),"")</f>
        <v>-1</v>
      </c>
      <c r="O386" s="250">
        <f>IF(D386="O",IF(N386&lt;0,N386,0),0)</f>
        <v>0</v>
      </c>
      <c r="P386" s="251">
        <f>IF(N386&gt;= 0,N386,0)</f>
        <v>0</v>
      </c>
      <c r="Q386" s="251">
        <f>IF(N386&lt;0,N386,0)</f>
        <v>-1</v>
      </c>
      <c r="R3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39577</v>
      </c>
      <c r="T3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6" s="253">
        <f ca="1">IF(Tabla33610673[[#This Row],[Equity]]&lt;Tabla33610673[[#This Row],[Equity Peak]],(Tabla33610673[[#This Row],[Equity Peak]]-Tabla33610673[[#This Row],[Equity]])/Tabla33610673[[#This Row],[Equity Peak]],"")</f>
        <v>1.2081575597214247E-2</v>
      </c>
      <c r="V386" s="254">
        <f>IF(B386="FX",N386,0)</f>
        <v>0</v>
      </c>
      <c r="W386" s="254">
        <f>IF(D386="O",IF(V386&lt;0,V386,0),0)</f>
        <v>0</v>
      </c>
      <c r="X386" s="254">
        <f>IF(B386="COM",N386,0)</f>
        <v>0</v>
      </c>
      <c r="Y386" s="254">
        <f>IF(D386="O",IF(X386&lt;0,X386,0),0)</f>
        <v>0</v>
      </c>
      <c r="Z386" s="254">
        <f>IF(B386="IND",N386,0)</f>
        <v>-1</v>
      </c>
      <c r="AA386" s="250">
        <f>IF(D386="O",IF(Z386&lt;0,Z386,0),0)</f>
        <v>0</v>
      </c>
      <c r="AB386" s="254">
        <f>IF(B386="CRYPTO",N386,0)</f>
        <v>0</v>
      </c>
      <c r="AC386" s="250">
        <f>IF(D386="O",IF(AB386&lt;0,AB386,0),0)</f>
        <v>0</v>
      </c>
      <c r="AD386" s="255">
        <f>IF(K386&lt;&gt;"",K386-E386,0)</f>
        <v>4.1666666671517305E-2</v>
      </c>
      <c r="AE386" s="255">
        <f>IF(N386&gt;0,AD386,0)</f>
        <v>0</v>
      </c>
      <c r="AF386" s="255">
        <f>IF(N386&lt;0,AD386,0)</f>
        <v>4.1666666671517305E-2</v>
      </c>
      <c r="AG386" s="255">
        <f>IF(N386=0,AD386,0)</f>
        <v>0</v>
      </c>
    </row>
    <row r="387" spans="2:33" ht="15" customHeight="1" x14ac:dyDescent="0.3">
      <c r="B387" s="196" t="s">
        <v>5</v>
      </c>
      <c r="C387" s="197" t="s">
        <v>15</v>
      </c>
      <c r="D387" s="246" t="str">
        <f>IF(E387&lt;&gt;"",IF(K387&lt;&gt;"","C","O"),"")</f>
        <v>C</v>
      </c>
      <c r="E387" s="199">
        <v>44750.760416666664</v>
      </c>
      <c r="F387" s="200" t="s">
        <v>93</v>
      </c>
      <c r="G387" s="235">
        <v>12130.03</v>
      </c>
      <c r="H387" s="235">
        <v>12095.24</v>
      </c>
      <c r="I387" s="247">
        <f>ABS(G387-H387)</f>
        <v>34.790000000000873</v>
      </c>
      <c r="J387" s="235">
        <v>12501.08</v>
      </c>
      <c r="K387" s="199">
        <v>44750.802083333336</v>
      </c>
      <c r="L387" s="235">
        <v>12095.24</v>
      </c>
      <c r="M387" s="248">
        <f>ROUND(IF(C387="L",(L387-G387),(G387-L387)),4)</f>
        <v>-34.79</v>
      </c>
      <c r="N387" s="249">
        <f>IFERROR(ROUND((M387/I387),2),"")</f>
        <v>-1</v>
      </c>
      <c r="O387" s="250">
        <f>IF(D387="O",IF(N387&lt;0,N387,0),0)</f>
        <v>0</v>
      </c>
      <c r="P387" s="251">
        <f>IF(N387&gt;= 0,N387,0)</f>
        <v>0</v>
      </c>
      <c r="Q387" s="251">
        <f>IF(N387&lt;0,N387,0)</f>
        <v>-1</v>
      </c>
      <c r="R3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39677</v>
      </c>
      <c r="T3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7" s="253">
        <f ca="1">IF(Tabla33610673[[#This Row],[Equity]]&lt;Tabla33610673[[#This Row],[Equity Peak]],(Tabla33610673[[#This Row],[Equity Peak]]-Tabla33610673[[#This Row],[Equity]])/Tabla33610673[[#This Row],[Equity Peak]],"")</f>
        <v>9.5853822920046929E-3</v>
      </c>
      <c r="V387" s="254">
        <f>IF(B387="FX",N387,0)</f>
        <v>0</v>
      </c>
      <c r="W387" s="254">
        <f>IF(D387="O",IF(V387&lt;0,V387,0),0)</f>
        <v>0</v>
      </c>
      <c r="X387" s="254">
        <f>IF(B387="COM",N387,0)</f>
        <v>0</v>
      </c>
      <c r="Y387" s="254">
        <f>IF(D387="O",IF(X387&lt;0,X387,0),0)</f>
        <v>0</v>
      </c>
      <c r="Z387" s="254">
        <f>IF(B387="IND",N387,0)</f>
        <v>-1</v>
      </c>
      <c r="AA387" s="250">
        <f>IF(D387="O",IF(Z387&lt;0,Z387,0),0)</f>
        <v>0</v>
      </c>
      <c r="AB387" s="254">
        <f>IF(B387="CRYPTO",N387,0)</f>
        <v>0</v>
      </c>
      <c r="AC387" s="250">
        <f>IF(D387="O",IF(AB387&lt;0,AB387,0),0)</f>
        <v>0</v>
      </c>
      <c r="AD387" s="255">
        <f>IF(K387&lt;&gt;"",K387-E387,0)</f>
        <v>4.1666666671517305E-2</v>
      </c>
      <c r="AE387" s="255">
        <f>IF(N387&gt;0,AD387,0)</f>
        <v>0</v>
      </c>
      <c r="AF387" s="255">
        <f>IF(N387&lt;0,AD387,0)</f>
        <v>4.1666666671517305E-2</v>
      </c>
      <c r="AG387" s="255">
        <f>IF(N387=0,AD387,0)</f>
        <v>0</v>
      </c>
    </row>
    <row r="388" spans="2:33" ht="15" customHeight="1" x14ac:dyDescent="0.3">
      <c r="B388" s="196" t="s">
        <v>5</v>
      </c>
      <c r="C388" s="197" t="s">
        <v>15</v>
      </c>
      <c r="D388" s="246" t="str">
        <f>IF(E388&lt;&gt;"",IF(K388&lt;&gt;"","C","O"),"")</f>
        <v>C</v>
      </c>
      <c r="E388" s="199">
        <v>44749.697916666664</v>
      </c>
      <c r="F388" s="200" t="s">
        <v>92</v>
      </c>
      <c r="G388" s="235">
        <v>11983.23</v>
      </c>
      <c r="H388" s="235">
        <v>11946.35</v>
      </c>
      <c r="I388" s="247">
        <f>ABS(G388-H388)</f>
        <v>36.8799999999992</v>
      </c>
      <c r="J388" s="235">
        <v>12671.58</v>
      </c>
      <c r="K388" s="199">
        <v>44750.645833333336</v>
      </c>
      <c r="L388" s="235">
        <v>12004.56</v>
      </c>
      <c r="M388" s="248">
        <f>ROUND(IF(C388="L",(L388-G388),(G388-L388)),4)</f>
        <v>21.33</v>
      </c>
      <c r="N388" s="249">
        <f>IFERROR(ROUND((M388/I388),2),"")</f>
        <v>0.57999999999999996</v>
      </c>
      <c r="O388" s="250">
        <f>IF(D388="O",IF(N388&lt;0,N388,0),0)</f>
        <v>0</v>
      </c>
      <c r="P388" s="251">
        <f>IF(N388&gt;= 0,N388,0)</f>
        <v>0.57999999999999996</v>
      </c>
      <c r="Q388" s="251">
        <f>IF(N388&lt;0,N388,0)</f>
        <v>0</v>
      </c>
      <c r="R3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39777</v>
      </c>
      <c r="T3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8" s="253">
        <f ca="1">IF(Tabla33610673[[#This Row],[Equity]]&lt;Tabla33610673[[#This Row],[Equity Peak]],(Tabla33610673[[#This Row],[Equity Peak]]-Tabla33610673[[#This Row],[Equity]])/Tabla33610673[[#This Row],[Equity Peak]],"")</f>
        <v>7.0891889867951375E-3</v>
      </c>
      <c r="V388" s="254">
        <f>IF(B388="FX",N388,0)</f>
        <v>0</v>
      </c>
      <c r="W388" s="254">
        <f>IF(D388="O",IF(V388&lt;0,V388,0),0)</f>
        <v>0</v>
      </c>
      <c r="X388" s="254">
        <f>IF(B388="COM",N388,0)</f>
        <v>0</v>
      </c>
      <c r="Y388" s="254">
        <f>IF(D388="O",IF(X388&lt;0,X388,0),0)</f>
        <v>0</v>
      </c>
      <c r="Z388" s="254">
        <f>IF(B388="IND",N388,0)</f>
        <v>0.57999999999999996</v>
      </c>
      <c r="AA388" s="250">
        <f>IF(D388="O",IF(Z388&lt;0,Z388,0),0)</f>
        <v>0</v>
      </c>
      <c r="AB388" s="254">
        <f>IF(B388="CRYPTO",N388,0)</f>
        <v>0</v>
      </c>
      <c r="AC388" s="250">
        <f>IF(D388="O",IF(AB388&lt;0,AB388,0),0)</f>
        <v>0</v>
      </c>
      <c r="AD388" s="255">
        <f>IF(K388&lt;&gt;"",K388-E388,0)</f>
        <v>0.94791666667151731</v>
      </c>
      <c r="AE388" s="255">
        <f>IF(N388&gt;0,AD388,0)</f>
        <v>0.94791666667151731</v>
      </c>
      <c r="AF388" s="255">
        <f>IF(N388&lt;0,AD388,0)</f>
        <v>0</v>
      </c>
      <c r="AG388" s="255">
        <f>IF(N388=0,AD388,0)</f>
        <v>0</v>
      </c>
    </row>
    <row r="389" spans="2:33" ht="15" customHeight="1" x14ac:dyDescent="0.3">
      <c r="B389" s="196" t="s">
        <v>7</v>
      </c>
      <c r="C389" s="197" t="s">
        <v>13</v>
      </c>
      <c r="D389" s="246" t="str">
        <f>IF(E389&lt;&gt;"",IF(K389&lt;&gt;"","C","O"),"")</f>
        <v>C</v>
      </c>
      <c r="E389" s="199">
        <v>44750.4375</v>
      </c>
      <c r="F389" s="200" t="s">
        <v>114</v>
      </c>
      <c r="G389" s="235">
        <v>1.0113399999999999</v>
      </c>
      <c r="H389" s="235">
        <v>1.01342</v>
      </c>
      <c r="I389" s="247">
        <f>ABS(G389-H389)</f>
        <v>2.0800000000000818E-3</v>
      </c>
      <c r="J389" s="235">
        <v>0.99263000000000001</v>
      </c>
      <c r="K389" s="199">
        <v>44750.488888888889</v>
      </c>
      <c r="L389" s="235">
        <v>1.0115000000000001</v>
      </c>
      <c r="M389" s="248">
        <f>ROUND(IF(C389="L",(L389-G389),(G389-L389)),4)</f>
        <v>-2.0000000000000001E-4</v>
      </c>
      <c r="N389" s="249">
        <f>IFERROR(ROUND((M389/I389),2),"")</f>
        <v>-0.1</v>
      </c>
      <c r="O389" s="250">
        <f>IF(D389="O",IF(N389&lt;0,N389,0),0)</f>
        <v>0</v>
      </c>
      <c r="P389" s="251">
        <f>IF(N389&gt;= 0,N389,0)</f>
        <v>0</v>
      </c>
      <c r="Q389" s="251">
        <f>IF(N389&lt;0,N389,0)</f>
        <v>-0.1</v>
      </c>
      <c r="R3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39719</v>
      </c>
      <c r="T3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89" s="253">
        <f ca="1">IF(Tabla33610673[[#This Row],[Equity]]&lt;Tabla33610673[[#This Row],[Equity Peak]],(Tabla33610673[[#This Row],[Equity Peak]]-Tabla33610673[[#This Row],[Equity]])/Tabla33610673[[#This Row],[Equity Peak]],"")</f>
        <v>8.53698110381668E-3</v>
      </c>
      <c r="V389" s="254">
        <f>IF(B389="FX",N389,0)</f>
        <v>-0.1</v>
      </c>
      <c r="W389" s="254">
        <f>IF(D389="O",IF(V389&lt;0,V389,0),0)</f>
        <v>0</v>
      </c>
      <c r="X389" s="254">
        <f>IF(B389="COM",N389,0)</f>
        <v>0</v>
      </c>
      <c r="Y389" s="254">
        <f>IF(D389="O",IF(X389&lt;0,X389,0),0)</f>
        <v>0</v>
      </c>
      <c r="Z389" s="254">
        <f>IF(B389="IND",N389,0)</f>
        <v>0</v>
      </c>
      <c r="AA389" s="250">
        <f>IF(D389="O",IF(Z389&lt;0,Z389,0),0)</f>
        <v>0</v>
      </c>
      <c r="AB389" s="254">
        <f>IF(B389="CRYPTO",N389,0)</f>
        <v>0</v>
      </c>
      <c r="AC389" s="250">
        <f>IF(D389="O",IF(AB389&lt;0,AB389,0),0)</f>
        <v>0</v>
      </c>
      <c r="AD389" s="255">
        <f>IF(K389&lt;&gt;"",K389-E389,0)</f>
        <v>5.1388888889050577E-2</v>
      </c>
      <c r="AE389" s="255">
        <f>IF(N389&gt;0,AD389,0)</f>
        <v>0</v>
      </c>
      <c r="AF389" s="255">
        <f>IF(N389&lt;0,AD389,0)</f>
        <v>5.1388888889050577E-2</v>
      </c>
      <c r="AG389" s="255">
        <f>IF(N389=0,AD389,0)</f>
        <v>0</v>
      </c>
    </row>
    <row r="390" spans="2:33" ht="15" customHeight="1" x14ac:dyDescent="0.3">
      <c r="B390" s="196" t="s">
        <v>7</v>
      </c>
      <c r="C390" s="197" t="s">
        <v>13</v>
      </c>
      <c r="D390" s="246" t="str">
        <f>IF(E390&lt;&gt;"",IF(K390&lt;&gt;"","C","O"),"")</f>
        <v>C</v>
      </c>
      <c r="E390" s="199">
        <v>44750.302083333336</v>
      </c>
      <c r="F390" s="200" t="s">
        <v>114</v>
      </c>
      <c r="G390" s="235">
        <v>1.01403</v>
      </c>
      <c r="H390" s="235">
        <v>1.01539</v>
      </c>
      <c r="I390" s="247">
        <f>ABS(G390-H390)</f>
        <v>1.3600000000000279E-3</v>
      </c>
      <c r="J390" s="235">
        <v>1.00176</v>
      </c>
      <c r="K390" s="199">
        <v>44750.331250000003</v>
      </c>
      <c r="L390" s="235">
        <v>1.01539</v>
      </c>
      <c r="M390" s="248">
        <f>ROUND(IF(C390="L",(L390-G390),(G390-L390)),4)</f>
        <v>-1.4E-3</v>
      </c>
      <c r="N390" s="249">
        <f>IFERROR(ROUND((M390/I390),2),"")</f>
        <v>-1.03</v>
      </c>
      <c r="O390" s="250">
        <f>IF(D390="O",IF(N390&lt;0,N390,0),0)</f>
        <v>0</v>
      </c>
      <c r="P390" s="251">
        <f>IF(N390&gt;= 0,N390,0)</f>
        <v>0</v>
      </c>
      <c r="Q390" s="251">
        <f>IF(N390&lt;0,N390,0)</f>
        <v>-1.03</v>
      </c>
      <c r="R3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39729</v>
      </c>
      <c r="T3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0" s="253">
        <f ca="1">IF(Tabla33610673[[#This Row],[Equity]]&lt;Tabla33610673[[#This Row],[Equity Peak]],(Tabla33610673[[#This Row],[Equity Peak]]-Tabla33610673[[#This Row],[Equity]])/Tabla33610673[[#This Row],[Equity Peak]],"")</f>
        <v>8.2873617732957244E-3</v>
      </c>
      <c r="V390" s="254">
        <f>IF(B390="FX",N390,0)</f>
        <v>-1.03</v>
      </c>
      <c r="W390" s="254">
        <f>IF(D390="O",IF(V390&lt;0,V390,0),0)</f>
        <v>0</v>
      </c>
      <c r="X390" s="254">
        <f>IF(B390="COM",N390,0)</f>
        <v>0</v>
      </c>
      <c r="Y390" s="254">
        <f>IF(D390="O",IF(X390&lt;0,X390,0),0)</f>
        <v>0</v>
      </c>
      <c r="Z390" s="254">
        <f>IF(B390="IND",N390,0)</f>
        <v>0</v>
      </c>
      <c r="AA390" s="250">
        <f>IF(D390="O",IF(Z390&lt;0,Z390,0),0)</f>
        <v>0</v>
      </c>
      <c r="AB390" s="254">
        <f>IF(B390="CRYPTO",N390,0)</f>
        <v>0</v>
      </c>
      <c r="AC390" s="250">
        <f>IF(D390="O",IF(AB390&lt;0,AB390,0),0)</f>
        <v>0</v>
      </c>
      <c r="AD390" s="255">
        <f>IF(K390&lt;&gt;"",K390-E390,0)</f>
        <v>2.9166666667151731E-2</v>
      </c>
      <c r="AE390" s="255">
        <f>IF(N390&gt;0,AD390,0)</f>
        <v>0</v>
      </c>
      <c r="AF390" s="255">
        <f>IF(N390&lt;0,AD390,0)</f>
        <v>2.9166666667151731E-2</v>
      </c>
      <c r="AG390" s="255">
        <f>IF(N390=0,AD390,0)</f>
        <v>0</v>
      </c>
    </row>
    <row r="391" spans="2:33" ht="15" customHeight="1" x14ac:dyDescent="0.3">
      <c r="B391" s="196" t="s">
        <v>7</v>
      </c>
      <c r="C391" s="197" t="s">
        <v>15</v>
      </c>
      <c r="D391" s="246" t="str">
        <f>IF(E391&lt;&gt;"",IF(K391&lt;&gt;"","C","O"),"")</f>
        <v>C</v>
      </c>
      <c r="E391" s="199">
        <v>44749.875</v>
      </c>
      <c r="F391" s="200" t="s">
        <v>115</v>
      </c>
      <c r="G391" s="235">
        <v>163.447</v>
      </c>
      <c r="H391" s="235">
        <v>162.62700000000001</v>
      </c>
      <c r="I391" s="247">
        <f>ABS(G391-H391)</f>
        <v>0.81999999999999318</v>
      </c>
      <c r="J391" s="235">
        <v>165.78899999999999</v>
      </c>
      <c r="K391" s="199">
        <v>44750.248611111114</v>
      </c>
      <c r="L391" s="235">
        <v>163.04400000000001</v>
      </c>
      <c r="M391" s="248">
        <f>ROUND(IF(C391="L",(L391-G391),(G391-L391)),4)</f>
        <v>-0.40300000000000002</v>
      </c>
      <c r="N391" s="249">
        <f>IFERROR(ROUND((M391/I391),2),"")</f>
        <v>-0.49</v>
      </c>
      <c r="O391" s="250">
        <f>IF(D391="O",IF(N391&lt;0,N391,0),0)</f>
        <v>0</v>
      </c>
      <c r="P391" s="251">
        <f>IF(N391&gt;= 0,N391,0)</f>
        <v>0</v>
      </c>
      <c r="Q391" s="251">
        <f>IF(N391&lt;0,N391,0)</f>
        <v>-0.49</v>
      </c>
      <c r="R3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39832</v>
      </c>
      <c r="T3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1" s="253">
        <f ca="1">IF(Tabla33610673[[#This Row],[Equity]]&lt;Tabla33610673[[#This Row],[Equity Peak]],(Tabla33610673[[#This Row],[Equity Peak]]-Tabla33610673[[#This Row],[Equity]])/Tabla33610673[[#This Row],[Equity Peak]],"")</f>
        <v>5.7162826689298816E-3</v>
      </c>
      <c r="V391" s="254">
        <f>IF(B391="FX",N391,0)</f>
        <v>-0.49</v>
      </c>
      <c r="W391" s="254">
        <f>IF(D391="O",IF(V391&lt;0,V391,0),0)</f>
        <v>0</v>
      </c>
      <c r="X391" s="254">
        <f>IF(B391="COM",N391,0)</f>
        <v>0</v>
      </c>
      <c r="Y391" s="254">
        <f>IF(D391="O",IF(X391&lt;0,X391,0),0)</f>
        <v>0</v>
      </c>
      <c r="Z391" s="254">
        <f>IF(B391="IND",N391,0)</f>
        <v>0</v>
      </c>
      <c r="AA391" s="250">
        <f>IF(D391="O",IF(Z391&lt;0,Z391,0),0)</f>
        <v>0</v>
      </c>
      <c r="AB391" s="254">
        <f>IF(B391="CRYPTO",N391,0)</f>
        <v>0</v>
      </c>
      <c r="AC391" s="250">
        <f>IF(D391="O",IF(AB391&lt;0,AB391,0),0)</f>
        <v>0</v>
      </c>
      <c r="AD391" s="255">
        <f>IF(K391&lt;&gt;"",K391-E391,0)</f>
        <v>0.37361111111385981</v>
      </c>
      <c r="AE391" s="255">
        <f>IF(N391&gt;0,AD391,0)</f>
        <v>0</v>
      </c>
      <c r="AF391" s="255">
        <f>IF(N391&lt;0,AD391,0)</f>
        <v>0.37361111111385981</v>
      </c>
      <c r="AG391" s="255">
        <f>IF(N391=0,AD391,0)</f>
        <v>0</v>
      </c>
    </row>
    <row r="392" spans="2:33" ht="15" customHeight="1" x14ac:dyDescent="0.3">
      <c r="B392" s="196" t="s">
        <v>5</v>
      </c>
      <c r="C392" s="197" t="s">
        <v>15</v>
      </c>
      <c r="D392" s="246" t="str">
        <f>IF(E392&lt;&gt;"",IF(K392&lt;&gt;"","C","O"),"")</f>
        <v>C</v>
      </c>
      <c r="E392" s="199">
        <v>44749.697916666664</v>
      </c>
      <c r="F392" s="200" t="s">
        <v>93</v>
      </c>
      <c r="G392" s="235">
        <v>11983.23</v>
      </c>
      <c r="H392" s="235">
        <v>11942.55</v>
      </c>
      <c r="I392" s="247">
        <f>ABS(G392-H392)</f>
        <v>40.680000000000291</v>
      </c>
      <c r="J392" s="235">
        <v>12417.15</v>
      </c>
      <c r="K392" s="199">
        <v>44750.247916666667</v>
      </c>
      <c r="L392" s="235">
        <v>12040.75</v>
      </c>
      <c r="M392" s="248">
        <f>ROUND(IF(C392="L",(L392-G392),(G392-L392)),4)</f>
        <v>57.52</v>
      </c>
      <c r="N392" s="249">
        <f>IFERROR(ROUND((M392/I392),2),"")</f>
        <v>1.41</v>
      </c>
      <c r="O392" s="250">
        <f>IF(D392="O",IF(N392&lt;0,N392,0),0)</f>
        <v>0</v>
      </c>
      <c r="P392" s="251">
        <f>IF(N392&gt;= 0,N392,0)</f>
        <v>1.41</v>
      </c>
      <c r="Q392" s="251">
        <f>IF(N392&lt;0,N392,0)</f>
        <v>0</v>
      </c>
      <c r="R3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39881</v>
      </c>
      <c r="T3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2" s="253">
        <f ca="1">IF(Tabla33610673[[#This Row],[Equity]]&lt;Tabla33610673[[#This Row],[Equity Peak]],(Tabla33610673[[#This Row],[Equity Peak]]-Tabla33610673[[#This Row],[Equity]])/Tabla33610673[[#This Row],[Equity Peak]],"")</f>
        <v>4.4931479493771995E-3</v>
      </c>
      <c r="V392" s="254">
        <f>IF(B392="FX",N392,0)</f>
        <v>0</v>
      </c>
      <c r="W392" s="254">
        <f>IF(D392="O",IF(V392&lt;0,V392,0),0)</f>
        <v>0</v>
      </c>
      <c r="X392" s="254">
        <f>IF(B392="COM",N392,0)</f>
        <v>0</v>
      </c>
      <c r="Y392" s="254">
        <f>IF(D392="O",IF(X392&lt;0,X392,0),0)</f>
        <v>0</v>
      </c>
      <c r="Z392" s="254">
        <f>IF(B392="IND",N392,0)</f>
        <v>1.41</v>
      </c>
      <c r="AA392" s="250">
        <f>IF(D392="O",IF(Z392&lt;0,Z392,0),0)</f>
        <v>0</v>
      </c>
      <c r="AB392" s="254">
        <f>IF(B392="CRYPTO",N392,0)</f>
        <v>0</v>
      </c>
      <c r="AC392" s="250">
        <f>IF(D392="O",IF(AB392&lt;0,AB392,0),0)</f>
        <v>0</v>
      </c>
      <c r="AD392" s="255">
        <f>IF(K392&lt;&gt;"",K392-E392,0)</f>
        <v>0.55000000000291038</v>
      </c>
      <c r="AE392" s="255">
        <f>IF(N392&gt;0,AD392,0)</f>
        <v>0.55000000000291038</v>
      </c>
      <c r="AF392" s="255">
        <f>IF(N392&lt;0,AD392,0)</f>
        <v>0</v>
      </c>
      <c r="AG392" s="255">
        <f>IF(N392=0,AD392,0)</f>
        <v>0</v>
      </c>
    </row>
    <row r="393" spans="2:33" ht="15" customHeight="1" x14ac:dyDescent="0.3">
      <c r="B393" s="196" t="s">
        <v>7</v>
      </c>
      <c r="C393" s="197" t="s">
        <v>13</v>
      </c>
      <c r="D393" s="246" t="str">
        <f>IF(E393&lt;&gt;"",IF(K393&lt;&gt;"","C","O"),"")</f>
        <v>C</v>
      </c>
      <c r="E393" s="199">
        <v>44749.770833333336</v>
      </c>
      <c r="F393" s="200" t="s">
        <v>114</v>
      </c>
      <c r="G393" s="235">
        <v>1.0160199999999999</v>
      </c>
      <c r="H393" s="235">
        <v>1.01844</v>
      </c>
      <c r="I393" s="247">
        <f>ABS(G393-H393)</f>
        <v>2.4200000000000887E-3</v>
      </c>
      <c r="J393" s="235">
        <v>0.99426999999999999</v>
      </c>
      <c r="K393" s="199">
        <v>44750.151388888888</v>
      </c>
      <c r="L393" s="235">
        <v>1.01763</v>
      </c>
      <c r="M393" s="248">
        <f>ROUND(IF(C393="L",(L393-G393),(G393-L393)),4)</f>
        <v>-1.6000000000000001E-3</v>
      </c>
      <c r="N393" s="249">
        <f>IFERROR(ROUND((M393/I393),2),"")</f>
        <v>-0.66</v>
      </c>
      <c r="O393" s="250">
        <f>IF(D393="O",IF(N393&lt;0,N393,0),0)</f>
        <v>0</v>
      </c>
      <c r="P393" s="251">
        <f>IF(N393&gt;= 0,N393,0)</f>
        <v>0</v>
      </c>
      <c r="Q393" s="251">
        <f>IF(N393&lt;0,N393,0)</f>
        <v>-0.66</v>
      </c>
      <c r="R3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39740</v>
      </c>
      <c r="T3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3" s="253">
        <f ca="1">IF(Tabla33610673[[#This Row],[Equity]]&lt;Tabla33610673[[#This Row],[Equity Peak]],(Tabla33610673[[#This Row],[Equity Peak]]-Tabla33610673[[#This Row],[Equity]])/Tabla33610673[[#This Row],[Equity Peak]],"")</f>
        <v>8.0127805097226727E-3</v>
      </c>
      <c r="V393" s="254">
        <f>IF(B393="FX",N393,0)</f>
        <v>-0.66</v>
      </c>
      <c r="W393" s="254">
        <f>IF(D393="O",IF(V393&lt;0,V393,0),0)</f>
        <v>0</v>
      </c>
      <c r="X393" s="254">
        <f>IF(B393="COM",N393,0)</f>
        <v>0</v>
      </c>
      <c r="Y393" s="254">
        <f>IF(D393="O",IF(X393&lt;0,X393,0),0)</f>
        <v>0</v>
      </c>
      <c r="Z393" s="254">
        <f>IF(B393="IND",N393,0)</f>
        <v>0</v>
      </c>
      <c r="AA393" s="250">
        <f>IF(D393="O",IF(Z393&lt;0,Z393,0),0)</f>
        <v>0</v>
      </c>
      <c r="AB393" s="254">
        <f>IF(B393="CRYPTO",N393,0)</f>
        <v>0</v>
      </c>
      <c r="AC393" s="250">
        <f>IF(D393="O",IF(AB393&lt;0,AB393,0),0)</f>
        <v>0</v>
      </c>
      <c r="AD393" s="255">
        <f>IF(K393&lt;&gt;"",K393-E393,0)</f>
        <v>0.38055555555183673</v>
      </c>
      <c r="AE393" s="255">
        <f>IF(N393&gt;0,AD393,0)</f>
        <v>0</v>
      </c>
      <c r="AF393" s="255">
        <f>IF(N393&lt;0,AD393,0)</f>
        <v>0.38055555555183673</v>
      </c>
      <c r="AG393" s="255">
        <f>IF(N393=0,AD393,0)</f>
        <v>0</v>
      </c>
    </row>
    <row r="394" spans="2:33" ht="15" customHeight="1" x14ac:dyDescent="0.3">
      <c r="B394" s="196" t="s">
        <v>7</v>
      </c>
      <c r="C394" s="197" t="s">
        <v>15</v>
      </c>
      <c r="D394" s="246" t="str">
        <f>IF(E394&lt;&gt;"",IF(K394&lt;&gt;"","C","O"),"")</f>
        <v>C</v>
      </c>
      <c r="E394" s="199">
        <v>44749.46875</v>
      </c>
      <c r="F394" s="200" t="s">
        <v>115</v>
      </c>
      <c r="G394" s="235">
        <v>162.93</v>
      </c>
      <c r="H394" s="235">
        <v>162.148</v>
      </c>
      <c r="I394" s="247">
        <f>ABS(G394-H394)</f>
        <v>0.78200000000001069</v>
      </c>
      <c r="J394" s="235">
        <v>165.16300000000001</v>
      </c>
      <c r="K394" s="199">
        <v>44749.619444444441</v>
      </c>
      <c r="L394" s="235">
        <v>162.49700000000001</v>
      </c>
      <c r="M394" s="248">
        <f>ROUND(IF(C394="L",(L394-G394),(G394-L394)),4)</f>
        <v>-0.433</v>
      </c>
      <c r="N394" s="249">
        <f>IFERROR(ROUND((M394/I394),2),"")</f>
        <v>-0.55000000000000004</v>
      </c>
      <c r="O394" s="250">
        <f>IF(D394="O",IF(N394&lt;0,N394,0),0)</f>
        <v>0</v>
      </c>
      <c r="P394" s="251">
        <f>IF(N394&gt;= 0,N394,0)</f>
        <v>0</v>
      </c>
      <c r="Q394" s="251">
        <f>IF(N394&lt;0,N394,0)</f>
        <v>-0.55000000000000004</v>
      </c>
      <c r="R3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39806</v>
      </c>
      <c r="T3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4" s="253">
        <f ca="1">IF(Tabla33610673[[#This Row],[Equity]]&lt;Tabla33610673[[#This Row],[Equity Peak]],(Tabla33610673[[#This Row],[Equity Peak]]-Tabla33610673[[#This Row],[Equity]])/Tabla33610673[[#This Row],[Equity Peak]],"")</f>
        <v>6.3652929282843667E-3</v>
      </c>
      <c r="V394" s="254">
        <f>IF(B394="FX",N394,0)</f>
        <v>-0.55000000000000004</v>
      </c>
      <c r="W394" s="254">
        <f>IF(D394="O",IF(V394&lt;0,V394,0),0)</f>
        <v>0</v>
      </c>
      <c r="X394" s="254">
        <f>IF(B394="COM",N394,0)</f>
        <v>0</v>
      </c>
      <c r="Y394" s="254">
        <f>IF(D394="O",IF(X394&lt;0,X394,0),0)</f>
        <v>0</v>
      </c>
      <c r="Z394" s="254">
        <f>IF(B394="IND",N394,0)</f>
        <v>0</v>
      </c>
      <c r="AA394" s="250">
        <f>IF(D394="O",IF(Z394&lt;0,Z394,0),0)</f>
        <v>0</v>
      </c>
      <c r="AB394" s="254">
        <f>IF(B394="CRYPTO",N394,0)</f>
        <v>0</v>
      </c>
      <c r="AC394" s="250">
        <f>IF(D394="O",IF(AB394&lt;0,AB394,0),0)</f>
        <v>0</v>
      </c>
      <c r="AD394" s="255">
        <f>IF(K394&lt;&gt;"",K394-E394,0)</f>
        <v>0.15069444444088731</v>
      </c>
      <c r="AE394" s="255">
        <f>IF(N394&gt;0,AD394,0)</f>
        <v>0</v>
      </c>
      <c r="AF394" s="255">
        <f>IF(N394&lt;0,AD394,0)</f>
        <v>0.15069444444088731</v>
      </c>
      <c r="AG394" s="255">
        <f>IF(N394=0,AD394,0)</f>
        <v>0</v>
      </c>
    </row>
    <row r="395" spans="2:33" ht="15" customHeight="1" x14ac:dyDescent="0.3">
      <c r="B395" s="196" t="s">
        <v>5</v>
      </c>
      <c r="C395" s="197" t="s">
        <v>15</v>
      </c>
      <c r="D395" s="246" t="str">
        <f>IF(E395&lt;&gt;"",IF(K395&lt;&gt;"","C","O"),"")</f>
        <v>C</v>
      </c>
      <c r="E395" s="199">
        <v>44748.90625</v>
      </c>
      <c r="F395" s="200" t="s">
        <v>92</v>
      </c>
      <c r="G395" s="235">
        <v>11887.91</v>
      </c>
      <c r="H395" s="235">
        <v>11838.89</v>
      </c>
      <c r="I395" s="247">
        <f>ABS(G395-H395)</f>
        <v>49.020000000000437</v>
      </c>
      <c r="J395" s="235">
        <v>12802.94</v>
      </c>
      <c r="K395" s="199">
        <v>44748.95208333333</v>
      </c>
      <c r="L395" s="235">
        <v>11838.89</v>
      </c>
      <c r="M395" s="248">
        <f>ROUND(IF(C395="L",(L395-G395),(G395-L395)),4)</f>
        <v>-49.02</v>
      </c>
      <c r="N395" s="249">
        <f>IFERROR(ROUND((M395/I395),2),"")</f>
        <v>-1</v>
      </c>
      <c r="O395" s="250">
        <f>IF(D395="O",IF(N395&lt;0,N395,0),0)</f>
        <v>0</v>
      </c>
      <c r="P395" s="251">
        <f>IF(N395&gt;= 0,N395,0)</f>
        <v>0</v>
      </c>
      <c r="Q395" s="251">
        <f>IF(N395&lt;0,N395,0)</f>
        <v>-1</v>
      </c>
      <c r="R3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39861</v>
      </c>
      <c r="T3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5" s="253">
        <f ca="1">IF(Tabla33610673[[#This Row],[Equity]]&lt;Tabla33610673[[#This Row],[Equity Peak]],(Tabla33610673[[#This Row],[Equity Peak]]-Tabla33610673[[#This Row],[Equity]])/Tabla33610673[[#This Row],[Equity Peak]],"")</f>
        <v>4.9923866104191108E-3</v>
      </c>
      <c r="V395" s="254">
        <f>IF(B395="FX",N395,0)</f>
        <v>0</v>
      </c>
      <c r="W395" s="254">
        <f>IF(D395="O",IF(V395&lt;0,V395,0),0)</f>
        <v>0</v>
      </c>
      <c r="X395" s="254">
        <f>IF(B395="COM",N395,0)</f>
        <v>0</v>
      </c>
      <c r="Y395" s="254">
        <f>IF(D395="O",IF(X395&lt;0,X395,0),0)</f>
        <v>0</v>
      </c>
      <c r="Z395" s="254">
        <f>IF(B395="IND",N395,0)</f>
        <v>-1</v>
      </c>
      <c r="AA395" s="250">
        <f>IF(D395="O",IF(Z395&lt;0,Z395,0),0)</f>
        <v>0</v>
      </c>
      <c r="AB395" s="254">
        <f>IF(B395="CRYPTO",N395,0)</f>
        <v>0</v>
      </c>
      <c r="AC395" s="250">
        <f>IF(D395="O",IF(AB395&lt;0,AB395,0),0)</f>
        <v>0</v>
      </c>
      <c r="AD395" s="255">
        <f>IF(K395&lt;&gt;"",K395-E395,0)</f>
        <v>4.5833333329937886E-2</v>
      </c>
      <c r="AE395" s="255">
        <f>IF(N395&gt;0,AD395,0)</f>
        <v>0</v>
      </c>
      <c r="AF395" s="255">
        <f>IF(N395&lt;0,AD395,0)</f>
        <v>4.5833333329937886E-2</v>
      </c>
      <c r="AG395" s="255">
        <f>IF(N395=0,AD395,0)</f>
        <v>0</v>
      </c>
    </row>
    <row r="396" spans="2:33" ht="15" customHeight="1" x14ac:dyDescent="0.3">
      <c r="B396" s="196" t="s">
        <v>5</v>
      </c>
      <c r="C396" s="197" t="s">
        <v>15</v>
      </c>
      <c r="D396" s="246" t="str">
        <f>IF(E396&lt;&gt;"",IF(K396&lt;&gt;"","C","O"),"")</f>
        <v>C</v>
      </c>
      <c r="E396" s="199">
        <v>44748.90625</v>
      </c>
      <c r="F396" s="200" t="s">
        <v>93</v>
      </c>
      <c r="G396" s="235">
        <v>11887.91</v>
      </c>
      <c r="H396" s="235">
        <v>11840.38</v>
      </c>
      <c r="I396" s="247">
        <f>ABS(G396-H396)</f>
        <v>47.530000000000655</v>
      </c>
      <c r="J396" s="235">
        <v>12394.91</v>
      </c>
      <c r="K396" s="199">
        <v>44748.951388888891</v>
      </c>
      <c r="L396" s="235">
        <v>11840.38</v>
      </c>
      <c r="M396" s="248">
        <f>ROUND(IF(C396="L",(L396-G396),(G396-L396)),4)</f>
        <v>-47.53</v>
      </c>
      <c r="N396" s="249">
        <f>IFERROR(ROUND((M396/I396),2),"")</f>
        <v>-1</v>
      </c>
      <c r="O396" s="250">
        <f>IF(D396="O",IF(N396&lt;0,N396,0),0)</f>
        <v>0</v>
      </c>
      <c r="P396" s="251">
        <f>IF(N396&gt;= 0,N396,0)</f>
        <v>0</v>
      </c>
      <c r="Q396" s="251">
        <f>IF(N396&lt;0,N396,0)</f>
        <v>-1</v>
      </c>
      <c r="R3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39961</v>
      </c>
      <c r="T3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6" s="253">
        <f ca="1">IF(Tabla33610673[[#This Row],[Equity]]&lt;Tabla33610673[[#This Row],[Equity Peak]],(Tabla33610673[[#This Row],[Equity Peak]]-Tabla33610673[[#This Row],[Equity]])/Tabla33610673[[#This Row],[Equity Peak]],"")</f>
        <v>2.4961933052095554E-3</v>
      </c>
      <c r="V396" s="254">
        <f>IF(B396="FX",N396,0)</f>
        <v>0</v>
      </c>
      <c r="W396" s="254">
        <f>IF(D396="O",IF(V396&lt;0,V396,0),0)</f>
        <v>0</v>
      </c>
      <c r="X396" s="254">
        <f>IF(B396="COM",N396,0)</f>
        <v>0</v>
      </c>
      <c r="Y396" s="254">
        <f>IF(D396="O",IF(X396&lt;0,X396,0),0)</f>
        <v>0</v>
      </c>
      <c r="Z396" s="254">
        <f>IF(B396="IND",N396,0)</f>
        <v>-1</v>
      </c>
      <c r="AA396" s="250">
        <f>IF(D396="O",IF(Z396&lt;0,Z396,0),0)</f>
        <v>0</v>
      </c>
      <c r="AB396" s="254">
        <f>IF(B396="CRYPTO",N396,0)</f>
        <v>0</v>
      </c>
      <c r="AC396" s="250">
        <f>IF(D396="O",IF(AB396&lt;0,AB396,0),0)</f>
        <v>0</v>
      </c>
      <c r="AD396" s="255">
        <f>IF(K396&lt;&gt;"",K396-E396,0)</f>
        <v>4.5138888890505768E-2</v>
      </c>
      <c r="AE396" s="255">
        <f>IF(N396&gt;0,AD396,0)</f>
        <v>0</v>
      </c>
      <c r="AF396" s="255">
        <f>IF(N396&lt;0,AD396,0)</f>
        <v>4.5138888890505768E-2</v>
      </c>
      <c r="AG396" s="255">
        <f>IF(N396=0,AD396,0)</f>
        <v>0</v>
      </c>
    </row>
    <row r="397" spans="2:33" ht="15" customHeight="1" x14ac:dyDescent="0.3">
      <c r="B397" s="196" t="s">
        <v>19</v>
      </c>
      <c r="C397" s="197" t="s">
        <v>13</v>
      </c>
      <c r="D397" s="246" t="str">
        <f>IF(E397&lt;&gt;"",IF(K397&lt;&gt;"","C","O"),"")</f>
        <v>C</v>
      </c>
      <c r="E397" s="199">
        <v>44747.71875</v>
      </c>
      <c r="F397" s="200" t="s">
        <v>88</v>
      </c>
      <c r="G397" s="235">
        <v>1774.43</v>
      </c>
      <c r="H397" s="235">
        <v>1777.69</v>
      </c>
      <c r="I397" s="247">
        <f>ABS(G397-H397)</f>
        <v>3.2599999999999909</v>
      </c>
      <c r="J397" s="235">
        <v>1735.32</v>
      </c>
      <c r="K397" s="199">
        <v>44748.787499999999</v>
      </c>
      <c r="L397" s="235">
        <v>1735.32</v>
      </c>
      <c r="M397" s="248">
        <f>ROUND(IF(C397="L",(L397-G397),(G397-L397)),4)</f>
        <v>39.11</v>
      </c>
      <c r="N397" s="249">
        <f>IFERROR(ROUND((M397/I397),2),"")</f>
        <v>12</v>
      </c>
      <c r="O397" s="250">
        <f>IF(D397="O",IF(N397&lt;0,N397,0),0)</f>
        <v>0</v>
      </c>
      <c r="P397" s="251">
        <f>IF(N397&gt;= 0,N397,0)</f>
        <v>12</v>
      </c>
      <c r="Q397" s="251">
        <f>IF(N397&lt;0,N397,0)</f>
        <v>0</v>
      </c>
      <c r="R3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40061</v>
      </c>
      <c r="T3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40061</v>
      </c>
      <c r="U39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397" s="254">
        <f>IF(B397="FX",N397,0)</f>
        <v>0</v>
      </c>
      <c r="W397" s="254">
        <f>IF(D397="O",IF(V397&lt;0,V397,0),0)</f>
        <v>0</v>
      </c>
      <c r="X397" s="254">
        <f>IF(B397="COM",N397,0)</f>
        <v>12</v>
      </c>
      <c r="Y397" s="254">
        <f>IF(D397="O",IF(X397&lt;0,X397,0),0)</f>
        <v>0</v>
      </c>
      <c r="Z397" s="254">
        <f>IF(B397="IND",N397,0)</f>
        <v>0</v>
      </c>
      <c r="AA397" s="250">
        <f>IF(D397="O",IF(Z397&lt;0,Z397,0),0)</f>
        <v>0</v>
      </c>
      <c r="AB397" s="254">
        <f>IF(B397="CRYPTO",N397,0)</f>
        <v>0</v>
      </c>
      <c r="AC397" s="250">
        <f>IF(D397="O",IF(AB397&lt;0,AB397,0),0)</f>
        <v>0</v>
      </c>
      <c r="AD397" s="255">
        <f>IF(K397&lt;&gt;"",K397-E397,0)</f>
        <v>1.0687499999985448</v>
      </c>
      <c r="AE397" s="255">
        <f>IF(N397&gt;0,AD397,0)</f>
        <v>1.0687499999985448</v>
      </c>
      <c r="AF397" s="255">
        <f>IF(N397&lt;0,AD397,0)</f>
        <v>0</v>
      </c>
      <c r="AG397" s="255">
        <f>IF(N397=0,AD397,0)</f>
        <v>0</v>
      </c>
    </row>
    <row r="398" spans="2:33" ht="15" customHeight="1" x14ac:dyDescent="0.3">
      <c r="B398" s="196" t="s">
        <v>7</v>
      </c>
      <c r="C398" s="197" t="s">
        <v>13</v>
      </c>
      <c r="D398" s="246" t="str">
        <f>IF(E398&lt;&gt;"",IF(K398&lt;&gt;"","C","O"),"")</f>
        <v>C</v>
      </c>
      <c r="E398" s="199">
        <v>44748.635416666664</v>
      </c>
      <c r="F398" s="200" t="s">
        <v>115</v>
      </c>
      <c r="G398" s="235">
        <v>160.73400000000001</v>
      </c>
      <c r="H398" s="235">
        <v>161.52799999999999</v>
      </c>
      <c r="I398" s="247">
        <f>ABS(G398-H398)</f>
        <v>0.79399999999998272</v>
      </c>
      <c r="J398" s="235">
        <v>158.46600000000001</v>
      </c>
      <c r="K398" s="199">
        <v>44748.709027777775</v>
      </c>
      <c r="L398" s="235">
        <v>161.476</v>
      </c>
      <c r="M398" s="248">
        <f>ROUND(IF(C398="L",(L398-G398),(G398-L398)),4)</f>
        <v>-0.74199999999999999</v>
      </c>
      <c r="N398" s="249">
        <f>IFERROR(ROUND((M398/I398),2),"")</f>
        <v>-0.93</v>
      </c>
      <c r="O398" s="250">
        <f>IF(D398="O",IF(N398&lt;0,N398,0),0)</f>
        <v>0</v>
      </c>
      <c r="P398" s="251">
        <f>IF(N398&gt;= 0,N398,0)</f>
        <v>0</v>
      </c>
      <c r="Q398" s="251">
        <f>IF(N398&lt;0,N398,0)</f>
        <v>-0.93</v>
      </c>
      <c r="R3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38861</v>
      </c>
      <c r="T3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38954</v>
      </c>
      <c r="U398" s="253">
        <f ca="1">IF(Tabla33610673[[#This Row],[Equity]]&lt;Tabla33610673[[#This Row],[Equity Peak]],(Tabla33610673[[#This Row],[Equity Peak]]-Tabla33610673[[#This Row],[Equity]])/Tabla33610673[[#This Row],[Equity Peak]],"")</f>
        <v>2.3874313292601532E-3</v>
      </c>
      <c r="V398" s="254">
        <f>IF(B398="FX",N398,0)</f>
        <v>-0.93</v>
      </c>
      <c r="W398" s="254">
        <f>IF(D398="O",IF(V398&lt;0,V398,0),0)</f>
        <v>0</v>
      </c>
      <c r="X398" s="254">
        <f>IF(B398="COM",N398,0)</f>
        <v>0</v>
      </c>
      <c r="Y398" s="254">
        <f>IF(D398="O",IF(X398&lt;0,X398,0),0)</f>
        <v>0</v>
      </c>
      <c r="Z398" s="254">
        <f>IF(B398="IND",N398,0)</f>
        <v>0</v>
      </c>
      <c r="AA398" s="250">
        <f>IF(D398="O",IF(Z398&lt;0,Z398,0),0)</f>
        <v>0</v>
      </c>
      <c r="AB398" s="254">
        <f>IF(B398="CRYPTO",N398,0)</f>
        <v>0</v>
      </c>
      <c r="AC398" s="250">
        <f>IF(D398="O",IF(AB398&lt;0,AB398,0),0)</f>
        <v>0</v>
      </c>
      <c r="AD398" s="255">
        <f>IF(K398&lt;&gt;"",K398-E398,0)</f>
        <v>7.3611111110949423E-2</v>
      </c>
      <c r="AE398" s="255">
        <f>IF(N398&gt;0,AD398,0)</f>
        <v>0</v>
      </c>
      <c r="AF398" s="255">
        <f>IF(N398&lt;0,AD398,0)</f>
        <v>7.3611111110949423E-2</v>
      </c>
      <c r="AG398" s="255">
        <f>IF(N398=0,AD398,0)</f>
        <v>0</v>
      </c>
    </row>
    <row r="399" spans="2:33" ht="15" customHeight="1" x14ac:dyDescent="0.3">
      <c r="B399" s="196" t="s">
        <v>7</v>
      </c>
      <c r="C399" s="197" t="s">
        <v>13</v>
      </c>
      <c r="D399" s="246" t="str">
        <f>IF(E399&lt;&gt;"",IF(K399&lt;&gt;"","C","O"),"")</f>
        <v>C</v>
      </c>
      <c r="E399" s="199">
        <v>44747.46875</v>
      </c>
      <c r="F399" s="200" t="s">
        <v>114</v>
      </c>
      <c r="G399" s="235">
        <v>1.0355000000000001</v>
      </c>
      <c r="H399" s="235">
        <v>1.03749</v>
      </c>
      <c r="I399" s="247">
        <f>ABS(G399-H399)</f>
        <v>1.9899999999999363E-3</v>
      </c>
      <c r="J399" s="235">
        <v>1.0176099999999999</v>
      </c>
      <c r="K399" s="199">
        <v>44748.634722222225</v>
      </c>
      <c r="L399" s="235">
        <v>1.0176099999999999</v>
      </c>
      <c r="M399" s="248">
        <f>ROUND(IF(C399="L",(L399-G399),(G399-L399)),4)</f>
        <v>1.7899999999999999E-2</v>
      </c>
      <c r="N399" s="249">
        <f>IFERROR(ROUND((M399/I399),2),"")</f>
        <v>8.99</v>
      </c>
      <c r="O399" s="250">
        <f>IF(D399="O",IF(N399&lt;0,N399,0),0)</f>
        <v>0</v>
      </c>
      <c r="P399" s="251">
        <f>IF(N399&gt;= 0,N399,0)</f>
        <v>8.99</v>
      </c>
      <c r="Q399" s="251">
        <f>IF(N399&lt;0,N399,0)</f>
        <v>0</v>
      </c>
      <c r="R3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38954</v>
      </c>
      <c r="T3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38954</v>
      </c>
      <c r="U39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399" s="254">
        <f>IF(B399="FX",N399,0)</f>
        <v>8.99</v>
      </c>
      <c r="W399" s="254">
        <f>IF(D399="O",IF(V399&lt;0,V399,0),0)</f>
        <v>0</v>
      </c>
      <c r="X399" s="254">
        <f>IF(B399="COM",N399,0)</f>
        <v>0</v>
      </c>
      <c r="Y399" s="254">
        <f>IF(D399="O",IF(X399&lt;0,X399,0),0)</f>
        <v>0</v>
      </c>
      <c r="Z399" s="254">
        <f>IF(B399="IND",N399,0)</f>
        <v>0</v>
      </c>
      <c r="AA399" s="250">
        <f>IF(D399="O",IF(Z399&lt;0,Z399,0),0)</f>
        <v>0</v>
      </c>
      <c r="AB399" s="254">
        <f>IF(B399="CRYPTO",N399,0)</f>
        <v>0</v>
      </c>
      <c r="AC399" s="250">
        <f>IF(D399="O",IF(AB399&lt;0,AB399,0),0)</f>
        <v>0</v>
      </c>
      <c r="AD399" s="255">
        <f>IF(K399&lt;&gt;"",K399-E399,0)</f>
        <v>1.1659722222248092</v>
      </c>
      <c r="AE399" s="255">
        <f>IF(N399&gt;0,AD399,0)</f>
        <v>1.1659722222248092</v>
      </c>
      <c r="AF399" s="255">
        <f>IF(N399&lt;0,AD399,0)</f>
        <v>0</v>
      </c>
      <c r="AG399" s="255">
        <f>IF(N399=0,AD399,0)</f>
        <v>0</v>
      </c>
    </row>
    <row r="400" spans="2:33" ht="15" customHeight="1" x14ac:dyDescent="0.3">
      <c r="B400" s="196" t="s">
        <v>5</v>
      </c>
      <c r="C400" s="197" t="s">
        <v>15</v>
      </c>
      <c r="D400" s="246" t="str">
        <f>IF(E400&lt;&gt;"",IF(K400&lt;&gt;"","C","O"),"")</f>
        <v>C</v>
      </c>
      <c r="E400" s="199">
        <v>44747.90625</v>
      </c>
      <c r="F400" s="200" t="s">
        <v>93</v>
      </c>
      <c r="G400" s="235">
        <v>11727.74</v>
      </c>
      <c r="H400" s="235">
        <v>11680.71</v>
      </c>
      <c r="I400" s="247">
        <f>ABS(G400-H400)</f>
        <v>47.030000000000655</v>
      </c>
      <c r="J400" s="235">
        <v>12229.41</v>
      </c>
      <c r="K400" s="199">
        <v>44748.376388888886</v>
      </c>
      <c r="L400" s="235">
        <v>11714.31</v>
      </c>
      <c r="M400" s="248">
        <f>ROUND(IF(C400="L",(L400-G400),(G400-L400)),4)</f>
        <v>-13.43</v>
      </c>
      <c r="N400" s="249">
        <f>IFERROR(ROUND((M400/I400),2),"")</f>
        <v>-0.28999999999999998</v>
      </c>
      <c r="O400" s="250">
        <f>IF(D400="O",IF(N400&lt;0,N400,0),0)</f>
        <v>0</v>
      </c>
      <c r="P400" s="251">
        <f>IF(N400&gt;= 0,N400,0)</f>
        <v>0</v>
      </c>
      <c r="Q400" s="251">
        <f>IF(N400&lt;0,N400,0)</f>
        <v>-0.28999999999999998</v>
      </c>
      <c r="R4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38055</v>
      </c>
      <c r="T4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0" s="253">
        <f ca="1">IF(Tabla33610673[[#This Row],[Equity]]&lt;Tabla33610673[[#This Row],[Equity Peak]],(Tabla33610673[[#This Row],[Equity Peak]]-Tabla33610673[[#This Row],[Equity]])/Tabla33610673[[#This Row],[Equity Peak]],"")</f>
        <v>8.2612321484415718E-3</v>
      </c>
      <c r="V400" s="254">
        <f>IF(B400="FX",N400,0)</f>
        <v>0</v>
      </c>
      <c r="W400" s="254">
        <f>IF(D400="O",IF(V400&lt;0,V400,0),0)</f>
        <v>0</v>
      </c>
      <c r="X400" s="254">
        <f>IF(B400="COM",N400,0)</f>
        <v>0</v>
      </c>
      <c r="Y400" s="254">
        <f>IF(D400="O",IF(X400&lt;0,X400,0),0)</f>
        <v>0</v>
      </c>
      <c r="Z400" s="254">
        <f>IF(B400="IND",N400,0)</f>
        <v>-0.28999999999999998</v>
      </c>
      <c r="AA400" s="250">
        <f>IF(D400="O",IF(Z400&lt;0,Z400,0),0)</f>
        <v>0</v>
      </c>
      <c r="AB400" s="254">
        <f>IF(B400="CRYPTO",N400,0)</f>
        <v>0</v>
      </c>
      <c r="AC400" s="250">
        <f>IF(D400="O",IF(AB400&lt;0,AB400,0),0)</f>
        <v>0</v>
      </c>
      <c r="AD400" s="255">
        <f>IF(K400&lt;&gt;"",K400-E400,0)</f>
        <v>0.47013888888614019</v>
      </c>
      <c r="AE400" s="255">
        <f>IF(N400&gt;0,AD400,0)</f>
        <v>0</v>
      </c>
      <c r="AF400" s="255">
        <f>IF(N400&lt;0,AD400,0)</f>
        <v>0.47013888888614019</v>
      </c>
      <c r="AG400" s="255">
        <f>IF(N400=0,AD400,0)</f>
        <v>0</v>
      </c>
    </row>
    <row r="401" spans="2:33" ht="15" customHeight="1" x14ac:dyDescent="0.3">
      <c r="B401" s="196" t="s">
        <v>5</v>
      </c>
      <c r="C401" s="197" t="s">
        <v>15</v>
      </c>
      <c r="D401" s="246" t="str">
        <f>IF(E401&lt;&gt;"",IF(K401&lt;&gt;"","C","O"),"")</f>
        <v>C</v>
      </c>
      <c r="E401" s="199">
        <v>44747.958333333336</v>
      </c>
      <c r="F401" s="200" t="s">
        <v>92</v>
      </c>
      <c r="G401" s="235">
        <v>11776.74</v>
      </c>
      <c r="H401" s="235">
        <v>11726.9</v>
      </c>
      <c r="I401" s="247">
        <f>ABS(G401-H401)</f>
        <v>49.840000000000146</v>
      </c>
      <c r="J401" s="235">
        <v>12707.08</v>
      </c>
      <c r="K401" s="199">
        <v>44748.374305555553</v>
      </c>
      <c r="L401" s="235">
        <v>11726.9</v>
      </c>
      <c r="M401" s="248">
        <f>ROUND(IF(C401="L",(L401-G401),(G401-L401)),4)</f>
        <v>-49.84</v>
      </c>
      <c r="N401" s="249">
        <f>IFERROR(ROUND((M401/I401),2),"")</f>
        <v>-1</v>
      </c>
      <c r="O401" s="250">
        <f>IF(D401="O",IF(N401&lt;0,N401,0),0)</f>
        <v>0</v>
      </c>
      <c r="P401" s="251">
        <f>IF(N401&gt;= 0,N401,0)</f>
        <v>0</v>
      </c>
      <c r="Q401" s="251">
        <f>IF(N401&lt;0,N401,0)</f>
        <v>-1</v>
      </c>
      <c r="R4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38084</v>
      </c>
      <c r="T4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1" s="253">
        <f ca="1">IF(Tabla33610673[[#This Row],[Equity]]&lt;Tabla33610673[[#This Row],[Equity Peak]],(Tabla33610673[[#This Row],[Equity Peak]]-Tabla33610673[[#This Row],[Equity]])/Tabla33610673[[#This Row],[Equity Peak]],"")</f>
        <v>7.5054727405399774E-3</v>
      </c>
      <c r="V401" s="254">
        <f>IF(B401="FX",N401,0)</f>
        <v>0</v>
      </c>
      <c r="W401" s="254">
        <f>IF(D401="O",IF(V401&lt;0,V401,0),0)</f>
        <v>0</v>
      </c>
      <c r="X401" s="254">
        <f>IF(B401="COM",N401,0)</f>
        <v>0</v>
      </c>
      <c r="Y401" s="254">
        <f>IF(D401="O",IF(X401&lt;0,X401,0),0)</f>
        <v>0</v>
      </c>
      <c r="Z401" s="254">
        <f>IF(B401="IND",N401,0)</f>
        <v>-1</v>
      </c>
      <c r="AA401" s="250">
        <f>IF(D401="O",IF(Z401&lt;0,Z401,0),0)</f>
        <v>0</v>
      </c>
      <c r="AB401" s="254">
        <f>IF(B401="CRYPTO",N401,0)</f>
        <v>0</v>
      </c>
      <c r="AC401" s="250">
        <f>IF(D401="O",IF(AB401&lt;0,AB401,0),0)</f>
        <v>0</v>
      </c>
      <c r="AD401" s="255">
        <f>IF(K401&lt;&gt;"",K401-E401,0)</f>
        <v>0.41597222221753327</v>
      </c>
      <c r="AE401" s="255">
        <f>IF(N401&gt;0,AD401,0)</f>
        <v>0</v>
      </c>
      <c r="AF401" s="255">
        <f>IF(N401&lt;0,AD401,0)</f>
        <v>0.41597222221753327</v>
      </c>
      <c r="AG401" s="255">
        <f>IF(N401=0,AD401,0)</f>
        <v>0</v>
      </c>
    </row>
    <row r="402" spans="2:33" ht="15" customHeight="1" x14ac:dyDescent="0.3">
      <c r="B402" s="196" t="s">
        <v>7</v>
      </c>
      <c r="C402" s="197" t="s">
        <v>13</v>
      </c>
      <c r="D402" s="246" t="str">
        <f>IF(E402&lt;&gt;"",IF(K402&lt;&gt;"","C","O"),"")</f>
        <v>C</v>
      </c>
      <c r="E402" s="199">
        <v>44747.625</v>
      </c>
      <c r="F402" s="200" t="s">
        <v>115</v>
      </c>
      <c r="G402" s="235">
        <v>163.18100000000001</v>
      </c>
      <c r="H402" s="235">
        <v>163.77500000000001</v>
      </c>
      <c r="I402" s="247">
        <f>ABS(G402-H402)</f>
        <v>0.59399999999999409</v>
      </c>
      <c r="J402" s="235">
        <v>161.48500000000001</v>
      </c>
      <c r="K402" s="199">
        <v>44748.328472222223</v>
      </c>
      <c r="L402" s="235">
        <v>161.48500000000001</v>
      </c>
      <c r="M402" s="248">
        <f>ROUND(IF(C402="L",(L402-G402),(G402-L402)),4)</f>
        <v>1.696</v>
      </c>
      <c r="N402" s="249">
        <f>IFERROR(ROUND((M402/I402),2),"")</f>
        <v>2.86</v>
      </c>
      <c r="O402" s="250">
        <f>IF(D402="O",IF(N402&lt;0,N402,0),0)</f>
        <v>0</v>
      </c>
      <c r="P402" s="251">
        <f>IF(N402&gt;= 0,N402,0)</f>
        <v>2.86</v>
      </c>
      <c r="Q402" s="251">
        <f>IF(N402&lt;0,N402,0)</f>
        <v>0</v>
      </c>
      <c r="R4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38184</v>
      </c>
      <c r="T4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2" s="253">
        <f ca="1">IF(Tabla33610673[[#This Row],[Equity]]&lt;Tabla33610673[[#This Row],[Equity Peak]],(Tabla33610673[[#This Row],[Equity Peak]]-Tabla33610673[[#This Row],[Equity]])/Tabla33610673[[#This Row],[Equity Peak]],"")</f>
        <v>4.8994058167413741E-3</v>
      </c>
      <c r="V402" s="254">
        <f>IF(B402="FX",N402,0)</f>
        <v>2.86</v>
      </c>
      <c r="W402" s="254">
        <f>IF(D402="O",IF(V402&lt;0,V402,0),0)</f>
        <v>0</v>
      </c>
      <c r="X402" s="254">
        <f>IF(B402="COM",N402,0)</f>
        <v>0</v>
      </c>
      <c r="Y402" s="254">
        <f>IF(D402="O",IF(X402&lt;0,X402,0),0)</f>
        <v>0</v>
      </c>
      <c r="Z402" s="254">
        <f>IF(B402="IND",N402,0)</f>
        <v>0</v>
      </c>
      <c r="AA402" s="250">
        <f>IF(D402="O",IF(Z402&lt;0,Z402,0),0)</f>
        <v>0</v>
      </c>
      <c r="AB402" s="254">
        <f>IF(B402="CRYPTO",N402,0)</f>
        <v>0</v>
      </c>
      <c r="AC402" s="250">
        <f>IF(D402="O",IF(AB402&lt;0,AB402,0),0)</f>
        <v>0</v>
      </c>
      <c r="AD402" s="255">
        <f>IF(K402&lt;&gt;"",K402-E402,0)</f>
        <v>0.70347222222335404</v>
      </c>
      <c r="AE402" s="255">
        <f>IF(N402&gt;0,AD402,0)</f>
        <v>0.70347222222335404</v>
      </c>
      <c r="AF402" s="255">
        <f>IF(N402&lt;0,AD402,0)</f>
        <v>0</v>
      </c>
      <c r="AG402" s="255">
        <f>IF(N402=0,AD402,0)</f>
        <v>0</v>
      </c>
    </row>
    <row r="403" spans="2:33" ht="15" customHeight="1" x14ac:dyDescent="0.3">
      <c r="B403" s="196" t="s">
        <v>5</v>
      </c>
      <c r="C403" s="197" t="s">
        <v>13</v>
      </c>
      <c r="D403" s="246" t="str">
        <f>IF(E403&lt;&gt;"",IF(K403&lt;&gt;"","C","O"),"")</f>
        <v>C</v>
      </c>
      <c r="E403" s="199">
        <v>44747.625</v>
      </c>
      <c r="F403" s="200" t="s">
        <v>91</v>
      </c>
      <c r="G403" s="235">
        <v>12577.79</v>
      </c>
      <c r="H403" s="235">
        <v>12622.98</v>
      </c>
      <c r="I403" s="247">
        <f>ABS(G403-H403)</f>
        <v>45.18999999999869</v>
      </c>
      <c r="J403" s="235">
        <v>11734.23</v>
      </c>
      <c r="K403" s="199">
        <v>44747.902083333334</v>
      </c>
      <c r="L403" s="235">
        <v>12547.16</v>
      </c>
      <c r="M403" s="248">
        <f>ROUND(IF(C403="L",(L403-G403),(G403-L403)),4)</f>
        <v>30.63</v>
      </c>
      <c r="N403" s="249">
        <f>IFERROR(ROUND((M403/I403),2),"")</f>
        <v>0.68</v>
      </c>
      <c r="O403" s="250">
        <f>IF(D403="O",IF(N403&lt;0,N403,0),0)</f>
        <v>0</v>
      </c>
      <c r="P403" s="251">
        <f>IF(N403&gt;= 0,N403,0)</f>
        <v>0.68</v>
      </c>
      <c r="Q403" s="251">
        <f>IF(N403&lt;0,N403,0)</f>
        <v>0</v>
      </c>
      <c r="R4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37898</v>
      </c>
      <c r="T4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3" s="253">
        <f ca="1">IF(Tabla33610673[[#This Row],[Equity]]&lt;Tabla33610673[[#This Row],[Equity Peak]],(Tabla33610673[[#This Row],[Equity Peak]]-Tabla33610673[[#This Row],[Equity]])/Tabla33610673[[#This Row],[Equity Peak]],"")</f>
        <v>1.2352757218805379E-2</v>
      </c>
      <c r="V403" s="254">
        <f>IF(B403="FX",N403,0)</f>
        <v>0</v>
      </c>
      <c r="W403" s="254">
        <f>IF(D403="O",IF(V403&lt;0,V403,0),0)</f>
        <v>0</v>
      </c>
      <c r="X403" s="254">
        <f>IF(B403="COM",N403,0)</f>
        <v>0</v>
      </c>
      <c r="Y403" s="254">
        <f>IF(D403="O",IF(X403&lt;0,X403,0),0)</f>
        <v>0</v>
      </c>
      <c r="Z403" s="254">
        <f>IF(B403="IND",N403,0)</f>
        <v>0.68</v>
      </c>
      <c r="AA403" s="250">
        <f>IF(D403="O",IF(Z403&lt;0,Z403,0),0)</f>
        <v>0</v>
      </c>
      <c r="AB403" s="254">
        <f>IF(B403="CRYPTO",N403,0)</f>
        <v>0</v>
      </c>
      <c r="AC403" s="250">
        <f>IF(D403="O",IF(AB403&lt;0,AB403,0),0)</f>
        <v>0</v>
      </c>
      <c r="AD403" s="255">
        <f>IF(K403&lt;&gt;"",K403-E403,0)</f>
        <v>0.27708333333430346</v>
      </c>
      <c r="AE403" s="255">
        <f>IF(N403&gt;0,AD403,0)</f>
        <v>0.27708333333430346</v>
      </c>
      <c r="AF403" s="255">
        <f>IF(N403&lt;0,AD403,0)</f>
        <v>0</v>
      </c>
      <c r="AG403" s="255">
        <f>IF(N403=0,AD403,0)</f>
        <v>0</v>
      </c>
    </row>
    <row r="404" spans="2:33" ht="15" customHeight="1" x14ac:dyDescent="0.3">
      <c r="B404" s="196" t="s">
        <v>7</v>
      </c>
      <c r="C404" s="197" t="s">
        <v>15</v>
      </c>
      <c r="D404" s="246" t="str">
        <f>IF(E404&lt;&gt;"",IF(K404&lt;&gt;"","C","O"),"")</f>
        <v>C</v>
      </c>
      <c r="E404" s="199">
        <v>44746.604166666664</v>
      </c>
      <c r="F404" s="200" t="s">
        <v>115</v>
      </c>
      <c r="G404" s="235">
        <v>164.566</v>
      </c>
      <c r="H404" s="235">
        <v>163.85599999999999</v>
      </c>
      <c r="I404" s="247">
        <f>ABS(G404-H404)</f>
        <v>0.71000000000000796</v>
      </c>
      <c r="J404" s="235">
        <v>166.59399999999999</v>
      </c>
      <c r="K404" s="199">
        <v>44747.425000000003</v>
      </c>
      <c r="L404" s="235">
        <v>164.50200000000001</v>
      </c>
      <c r="M404" s="248">
        <f>ROUND(IF(C404="L",(L404-G404),(G404-L404)),4)</f>
        <v>-6.4000000000000001E-2</v>
      </c>
      <c r="N404" s="249">
        <f>IFERROR(ROUND((M404/I404),2),"")</f>
        <v>-0.09</v>
      </c>
      <c r="O404" s="250">
        <f>IF(D404="O",IF(N404&lt;0,N404,0),0)</f>
        <v>0</v>
      </c>
      <c r="P404" s="251">
        <f>IF(N404&gt;= 0,N404,0)</f>
        <v>0</v>
      </c>
      <c r="Q404" s="251">
        <f>IF(N404&lt;0,N404,0)</f>
        <v>-0.09</v>
      </c>
      <c r="R4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37830</v>
      </c>
      <c r="T4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4" s="253">
        <f ca="1">IF(Tabla33610673[[#This Row],[Equity]]&lt;Tabla33610673[[#This Row],[Equity Peak]],(Tabla33610673[[#This Row],[Equity Peak]]-Tabla33610673[[#This Row],[Equity]])/Tabla33610673[[#This Row],[Equity Peak]],"")</f>
        <v>1.412488272698843E-2</v>
      </c>
      <c r="V404" s="254">
        <f>IF(B404="FX",N404,0)</f>
        <v>-0.09</v>
      </c>
      <c r="W404" s="254">
        <f>IF(D404="O",IF(V404&lt;0,V404,0),0)</f>
        <v>0</v>
      </c>
      <c r="X404" s="254">
        <f>IF(B404="COM",N404,0)</f>
        <v>0</v>
      </c>
      <c r="Y404" s="254">
        <f>IF(D404="O",IF(X404&lt;0,X404,0),0)</f>
        <v>0</v>
      </c>
      <c r="Z404" s="254">
        <f>IF(B404="IND",N404,0)</f>
        <v>0</v>
      </c>
      <c r="AA404" s="250">
        <f>IF(D404="O",IF(Z404&lt;0,Z404,0),0)</f>
        <v>0</v>
      </c>
      <c r="AB404" s="254">
        <f>IF(B404="CRYPTO",N404,0)</f>
        <v>0</v>
      </c>
      <c r="AC404" s="250">
        <f>IF(D404="O",IF(AB404&lt;0,AB404,0),0)</f>
        <v>0</v>
      </c>
      <c r="AD404" s="255">
        <f>IF(K404&lt;&gt;"",K404-E404,0)</f>
        <v>0.82083333333866904</v>
      </c>
      <c r="AE404" s="255">
        <f>IF(N404&gt;0,AD404,0)</f>
        <v>0</v>
      </c>
      <c r="AF404" s="255">
        <f>IF(N404&lt;0,AD404,0)</f>
        <v>0.82083333333866904</v>
      </c>
      <c r="AG404" s="255">
        <f>IF(N404=0,AD404,0)</f>
        <v>0</v>
      </c>
    </row>
    <row r="405" spans="2:33" ht="15" customHeight="1" x14ac:dyDescent="0.3">
      <c r="B405" s="196" t="s">
        <v>5</v>
      </c>
      <c r="C405" s="197" t="s">
        <v>15</v>
      </c>
      <c r="D405" s="246" t="str">
        <f>IF(E405&lt;&gt;"",IF(K405&lt;&gt;"","C","O"),"")</f>
        <v>C</v>
      </c>
      <c r="E405" s="199">
        <v>44747.09375</v>
      </c>
      <c r="F405" s="200" t="s">
        <v>93</v>
      </c>
      <c r="G405" s="235">
        <v>11686.91</v>
      </c>
      <c r="H405" s="235">
        <v>11657.56</v>
      </c>
      <c r="I405" s="247">
        <f>ABS(G405-H405)</f>
        <v>29.350000000000364</v>
      </c>
      <c r="J405" s="235">
        <v>11999.95</v>
      </c>
      <c r="K405" s="199">
        <v>44747.114583333336</v>
      </c>
      <c r="L405" s="235">
        <v>11657.56</v>
      </c>
      <c r="M405" s="248">
        <f>ROUND(IF(C405="L",(L405-G405),(G405-L405)),4)</f>
        <v>-29.35</v>
      </c>
      <c r="N405" s="249">
        <f>IFERROR(ROUND((M405/I405),2),"")</f>
        <v>-1</v>
      </c>
      <c r="O405" s="250">
        <f>IF(D405="O",IF(N405&lt;0,N405,0),0)</f>
        <v>0</v>
      </c>
      <c r="P405" s="251">
        <f>IF(N405&gt;= 0,N405,0)</f>
        <v>0</v>
      </c>
      <c r="Q405" s="251">
        <f>IF(N405&lt;0,N405,0)</f>
        <v>-1</v>
      </c>
      <c r="R4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37839</v>
      </c>
      <c r="T4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5" s="253">
        <f ca="1">IF(Tabla33610673[[#This Row],[Equity]]&lt;Tabla33610673[[#This Row],[Equity Peak]],(Tabla33610673[[#This Row],[Equity Peak]]-Tabla33610673[[#This Row],[Equity]])/Tabla33610673[[#This Row],[Equity Peak]],"")</f>
        <v>1.3890336703846555E-2</v>
      </c>
      <c r="V405" s="254">
        <f>IF(B405="FX",N405,0)</f>
        <v>0</v>
      </c>
      <c r="W405" s="254">
        <f>IF(D405="O",IF(V405&lt;0,V405,0),0)</f>
        <v>0</v>
      </c>
      <c r="X405" s="254">
        <f>IF(B405="COM",N405,0)</f>
        <v>0</v>
      </c>
      <c r="Y405" s="254">
        <f>IF(D405="O",IF(X405&lt;0,X405,0),0)</f>
        <v>0</v>
      </c>
      <c r="Z405" s="254">
        <f>IF(B405="IND",N405,0)</f>
        <v>-1</v>
      </c>
      <c r="AA405" s="250">
        <f>IF(D405="O",IF(Z405&lt;0,Z405,0),0)</f>
        <v>0</v>
      </c>
      <c r="AB405" s="254">
        <f>IF(B405="CRYPTO",N405,0)</f>
        <v>0</v>
      </c>
      <c r="AC405" s="250">
        <f>IF(D405="O",IF(AB405&lt;0,AB405,0),0)</f>
        <v>0</v>
      </c>
      <c r="AD405" s="255">
        <f>IF(K405&lt;&gt;"",K405-E405,0)</f>
        <v>2.0833333335758653E-2</v>
      </c>
      <c r="AE405" s="255">
        <f>IF(N405&gt;0,AD405,0)</f>
        <v>0</v>
      </c>
      <c r="AF405" s="255">
        <f>IF(N405&lt;0,AD405,0)</f>
        <v>2.0833333335758653E-2</v>
      </c>
      <c r="AG405" s="255">
        <f>IF(N405=0,AD405,0)</f>
        <v>0</v>
      </c>
    </row>
    <row r="406" spans="2:33" ht="15" customHeight="1" x14ac:dyDescent="0.3">
      <c r="B406" s="196" t="s">
        <v>7</v>
      </c>
      <c r="C406" s="197" t="s">
        <v>13</v>
      </c>
      <c r="D406" s="246" t="str">
        <f>IF(E406&lt;&gt;"",IF(K406&lt;&gt;"","C","O"),"")</f>
        <v>C</v>
      </c>
      <c r="E406" s="199">
        <v>44743.71875</v>
      </c>
      <c r="F406" s="200" t="s">
        <v>114</v>
      </c>
      <c r="G406" s="235">
        <v>1.03773</v>
      </c>
      <c r="H406" s="235">
        <v>1.0404100000000001</v>
      </c>
      <c r="I406" s="247">
        <f>ABS(G406-H406)</f>
        <v>2.6800000000000157E-3</v>
      </c>
      <c r="J406" s="235">
        <v>1.0136400000000001</v>
      </c>
      <c r="K406" s="199">
        <v>44743.765277777777</v>
      </c>
      <c r="L406" s="235">
        <v>1.0404100000000001</v>
      </c>
      <c r="M406" s="248">
        <f>ROUND(IF(C406="L",(L406-G406),(G406-L406)),4)</f>
        <v>-2.7000000000000001E-3</v>
      </c>
      <c r="N406" s="249">
        <f>IFERROR(ROUND((M406/I406),2),"")</f>
        <v>-1.01</v>
      </c>
      <c r="O406" s="250">
        <f>IF(D406="O",IF(N406&lt;0,N406,0),0)</f>
        <v>0</v>
      </c>
      <c r="P406" s="251">
        <f>IF(N406&gt;= 0,N406,0)</f>
        <v>0</v>
      </c>
      <c r="Q406" s="251">
        <f>IF(N406&lt;0,N406,0)</f>
        <v>-1.01</v>
      </c>
      <c r="R4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37939</v>
      </c>
      <c r="T4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6" s="253">
        <f ca="1">IF(Tabla33610673[[#This Row],[Equity]]&lt;Tabla33610673[[#This Row],[Equity Peak]],(Tabla33610673[[#This Row],[Equity Peak]]-Tabla33610673[[#This Row],[Equity]])/Tabla33610673[[#This Row],[Equity Peak]],"")</f>
        <v>1.1284269780047951E-2</v>
      </c>
      <c r="V406" s="254">
        <f>IF(B406="FX",N406,0)</f>
        <v>-1.01</v>
      </c>
      <c r="W406" s="254">
        <f>IF(D406="O",IF(V406&lt;0,V406,0),0)</f>
        <v>0</v>
      </c>
      <c r="X406" s="254">
        <f>IF(B406="COM",N406,0)</f>
        <v>0</v>
      </c>
      <c r="Y406" s="254">
        <f>IF(D406="O",IF(X406&lt;0,X406,0),0)</f>
        <v>0</v>
      </c>
      <c r="Z406" s="254">
        <f>IF(B406="IND",N406,0)</f>
        <v>0</v>
      </c>
      <c r="AA406" s="250">
        <f>IF(D406="O",IF(Z406&lt;0,Z406,0),0)</f>
        <v>0</v>
      </c>
      <c r="AB406" s="254">
        <f>IF(B406="CRYPTO",N406,0)</f>
        <v>0</v>
      </c>
      <c r="AC406" s="250">
        <f>IF(D406="O",IF(AB406&lt;0,AB406,0),0)</f>
        <v>0</v>
      </c>
      <c r="AD406" s="255">
        <f>IF(K406&lt;&gt;"",K406-E406,0)</f>
        <v>4.6527777776645962E-2</v>
      </c>
      <c r="AE406" s="255">
        <f>IF(N406&gt;0,AD406,0)</f>
        <v>0</v>
      </c>
      <c r="AF406" s="255">
        <f>IF(N406&lt;0,AD406,0)</f>
        <v>4.6527777776645962E-2</v>
      </c>
      <c r="AG406" s="255">
        <f>IF(N406=0,AD406,0)</f>
        <v>0</v>
      </c>
    </row>
    <row r="407" spans="2:33" ht="15" customHeight="1" x14ac:dyDescent="0.3">
      <c r="B407" s="196" t="s">
        <v>19</v>
      </c>
      <c r="C407" s="197" t="s">
        <v>13</v>
      </c>
      <c r="D407" s="246" t="str">
        <f>IF(E407&lt;&gt;"",IF(K407&lt;&gt;"","C","O"),"")</f>
        <v>C</v>
      </c>
      <c r="E407" s="199">
        <v>44743.28125</v>
      </c>
      <c r="F407" s="200" t="s">
        <v>88</v>
      </c>
      <c r="G407" s="235">
        <v>1802.66</v>
      </c>
      <c r="H407" s="235">
        <v>1806.67</v>
      </c>
      <c r="I407" s="247">
        <f>ABS(G407-H407)</f>
        <v>4.0099999999999909</v>
      </c>
      <c r="J407" s="235">
        <v>1754.53</v>
      </c>
      <c r="K407" s="199">
        <v>44743.693055555559</v>
      </c>
      <c r="L407" s="235">
        <v>1798.39</v>
      </c>
      <c r="M407" s="248">
        <f>ROUND(IF(C407="L",(L407-G407),(G407-L407)),4)</f>
        <v>4.2699999999999996</v>
      </c>
      <c r="N407" s="249">
        <f>IFERROR(ROUND((M407/I407),2),"")</f>
        <v>1.06</v>
      </c>
      <c r="O407" s="250">
        <f>IF(D407="O",IF(N407&lt;0,N407,0),0)</f>
        <v>0</v>
      </c>
      <c r="P407" s="251">
        <f>IF(N407&gt;= 0,N407,0)</f>
        <v>1.06</v>
      </c>
      <c r="Q407" s="251">
        <f>IF(N407&lt;0,N407,0)</f>
        <v>0</v>
      </c>
      <c r="R4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38040</v>
      </c>
      <c r="T4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7" s="253">
        <f ca="1">IF(Tabla33610673[[#This Row],[Equity]]&lt;Tabla33610673[[#This Row],[Equity Peak]],(Tabla33610673[[#This Row],[Equity Peak]]-Tabla33610673[[#This Row],[Equity]])/Tabla33610673[[#This Row],[Equity Peak]],"")</f>
        <v>8.6521421870113628E-3</v>
      </c>
      <c r="V407" s="254">
        <f>IF(B407="FX",N407,0)</f>
        <v>0</v>
      </c>
      <c r="W407" s="254">
        <f>IF(D407="O",IF(V407&lt;0,V407,0),0)</f>
        <v>0</v>
      </c>
      <c r="X407" s="254">
        <f>IF(B407="COM",N407,0)</f>
        <v>1.06</v>
      </c>
      <c r="Y407" s="254">
        <f>IF(D407="O",IF(X407&lt;0,X407,0),0)</f>
        <v>0</v>
      </c>
      <c r="Z407" s="254">
        <f>IF(B407="IND",N407,0)</f>
        <v>0</v>
      </c>
      <c r="AA407" s="250">
        <f>IF(D407="O",IF(Z407&lt;0,Z407,0),0)</f>
        <v>0</v>
      </c>
      <c r="AB407" s="254">
        <f>IF(B407="CRYPTO",N407,0)</f>
        <v>0</v>
      </c>
      <c r="AC407" s="250">
        <f>IF(D407="O",IF(AB407&lt;0,AB407,0),0)</f>
        <v>0</v>
      </c>
      <c r="AD407" s="255">
        <f>IF(K407&lt;&gt;"",K407-E407,0)</f>
        <v>0.41180555555911269</v>
      </c>
      <c r="AE407" s="255">
        <f>IF(N407&gt;0,AD407,0)</f>
        <v>0.41180555555911269</v>
      </c>
      <c r="AF407" s="255">
        <f>IF(N407&lt;0,AD407,0)</f>
        <v>0</v>
      </c>
      <c r="AG407" s="255">
        <f>IF(N407=0,AD407,0)</f>
        <v>0</v>
      </c>
    </row>
    <row r="408" spans="2:33" ht="15" customHeight="1" x14ac:dyDescent="0.3">
      <c r="B408" s="196" t="s">
        <v>7</v>
      </c>
      <c r="C408" s="197" t="s">
        <v>13</v>
      </c>
      <c r="D408" s="246" t="str">
        <f>IF(E408&lt;&gt;"",IF(K408&lt;&gt;"","C","O"),"")</f>
        <v>C</v>
      </c>
      <c r="E408" s="199">
        <v>44743.229166666664</v>
      </c>
      <c r="F408" s="200" t="s">
        <v>115</v>
      </c>
      <c r="G408" s="235">
        <v>164.523</v>
      </c>
      <c r="H408" s="235">
        <v>165.12899999999999</v>
      </c>
      <c r="I408" s="247">
        <f>ABS(G408-H408)</f>
        <v>0.60599999999999454</v>
      </c>
      <c r="J408" s="235">
        <v>162.792</v>
      </c>
      <c r="K408" s="199">
        <v>44743.6</v>
      </c>
      <c r="L408" s="235">
        <v>162.792</v>
      </c>
      <c r="M408" s="248">
        <f>ROUND(IF(C408="L",(L408-G408),(G408-L408)),4)</f>
        <v>1.7310000000000001</v>
      </c>
      <c r="N408" s="249">
        <f>IFERROR(ROUND((M408/I408),2),"")</f>
        <v>2.86</v>
      </c>
      <c r="O408" s="250">
        <f>IF(D408="O",IF(N408&lt;0,N408,0),0)</f>
        <v>0</v>
      </c>
      <c r="P408" s="251">
        <f>IF(N408&gt;= 0,N408,0)</f>
        <v>2.86</v>
      </c>
      <c r="Q408" s="251">
        <f>IF(N408&lt;0,N408,0)</f>
        <v>0</v>
      </c>
      <c r="R4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37934</v>
      </c>
      <c r="T4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8" s="253">
        <f ca="1">IF(Tabla33610673[[#This Row],[Equity]]&lt;Tabla33610673[[#This Row],[Equity Peak]],(Tabla33610673[[#This Row],[Equity Peak]]-Tabla33610673[[#This Row],[Equity]])/Tabla33610673[[#This Row],[Equity Peak]],"")</f>
        <v>1.1414573126237882E-2</v>
      </c>
      <c r="V408" s="254">
        <f>IF(B408="FX",N408,0)</f>
        <v>2.86</v>
      </c>
      <c r="W408" s="254">
        <f>IF(D408="O",IF(V408&lt;0,V408,0),0)</f>
        <v>0</v>
      </c>
      <c r="X408" s="254">
        <f>IF(B408="COM",N408,0)</f>
        <v>0</v>
      </c>
      <c r="Y408" s="254">
        <f>IF(D408="O",IF(X408&lt;0,X408,0),0)</f>
        <v>0</v>
      </c>
      <c r="Z408" s="254">
        <f>IF(B408="IND",N408,0)</f>
        <v>0</v>
      </c>
      <c r="AA408" s="250">
        <f>IF(D408="O",IF(Z408&lt;0,Z408,0),0)</f>
        <v>0</v>
      </c>
      <c r="AB408" s="254">
        <f>IF(B408="CRYPTO",N408,0)</f>
        <v>0</v>
      </c>
      <c r="AC408" s="250">
        <f>IF(D408="O",IF(AB408&lt;0,AB408,0),0)</f>
        <v>0</v>
      </c>
      <c r="AD408" s="255">
        <f>IF(K408&lt;&gt;"",K408-E408,0)</f>
        <v>0.37083333333430346</v>
      </c>
      <c r="AE408" s="255">
        <f>IF(N408&gt;0,AD408,0)</f>
        <v>0.37083333333430346</v>
      </c>
      <c r="AF408" s="255">
        <f>IF(N408&lt;0,AD408,0)</f>
        <v>0</v>
      </c>
      <c r="AG408" s="255">
        <f>IF(N408=0,AD408,0)</f>
        <v>0</v>
      </c>
    </row>
    <row r="409" spans="2:33" ht="15" customHeight="1" x14ac:dyDescent="0.3">
      <c r="B409" s="196" t="s">
        <v>5</v>
      </c>
      <c r="C409" s="197" t="s">
        <v>13</v>
      </c>
      <c r="D409" s="246" t="str">
        <f>IF(E409&lt;&gt;"",IF(K409&lt;&gt;"","C","O"),"")</f>
        <v>C</v>
      </c>
      <c r="E409" s="199">
        <v>44742.395833333336</v>
      </c>
      <c r="F409" s="200" t="s">
        <v>92</v>
      </c>
      <c r="G409" s="235">
        <v>11512.6</v>
      </c>
      <c r="H409" s="235">
        <v>11562.14</v>
      </c>
      <c r="I409" s="247">
        <f>ABS(G409-H409)</f>
        <v>49.539999999999054</v>
      </c>
      <c r="J409" s="235">
        <v>10587.82</v>
      </c>
      <c r="K409" s="199">
        <v>44742.76458333333</v>
      </c>
      <c r="L409" s="235">
        <v>11497.29</v>
      </c>
      <c r="M409" s="248">
        <f>ROUND(IF(C409="L",(L409-G409),(G409-L409)),4)</f>
        <v>15.31</v>
      </c>
      <c r="N409" s="249">
        <f>IFERROR(ROUND((M409/I409),2),"")</f>
        <v>0.31</v>
      </c>
      <c r="O409" s="250">
        <f>IF(D409="O",IF(N409&lt;0,N409,0),0)</f>
        <v>0</v>
      </c>
      <c r="P409" s="251">
        <f>IF(N409&gt;= 0,N409,0)</f>
        <v>0.31</v>
      </c>
      <c r="Q409" s="251">
        <f>IF(N409&lt;0,N409,0)</f>
        <v>0</v>
      </c>
      <c r="R4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37648</v>
      </c>
      <c r="T4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09" s="253">
        <f ca="1">IF(Tabla33610673[[#This Row],[Equity]]&lt;Tabla33610673[[#This Row],[Equity Peak]],(Tabla33610673[[#This Row],[Equity Peak]]-Tabla33610673[[#This Row],[Equity]])/Tabla33610673[[#This Row],[Equity Peak]],"")</f>
        <v>1.8867924528301886E-2</v>
      </c>
      <c r="V409" s="254">
        <f>IF(B409="FX",N409,0)</f>
        <v>0</v>
      </c>
      <c r="W409" s="254">
        <f>IF(D409="O",IF(V409&lt;0,V409,0),0)</f>
        <v>0</v>
      </c>
      <c r="X409" s="254">
        <f>IF(B409="COM",N409,0)</f>
        <v>0</v>
      </c>
      <c r="Y409" s="254">
        <f>IF(D409="O",IF(X409&lt;0,X409,0),0)</f>
        <v>0</v>
      </c>
      <c r="Z409" s="254">
        <f>IF(B409="IND",N409,0)</f>
        <v>0.31</v>
      </c>
      <c r="AA409" s="250">
        <f>IF(D409="O",IF(Z409&lt;0,Z409,0),0)</f>
        <v>0</v>
      </c>
      <c r="AB409" s="254">
        <f>IF(B409="CRYPTO",N409,0)</f>
        <v>0</v>
      </c>
      <c r="AC409" s="250">
        <f>IF(D409="O",IF(AB409&lt;0,AB409,0),0)</f>
        <v>0</v>
      </c>
      <c r="AD409" s="255">
        <f>IF(K409&lt;&gt;"",K409-E409,0)</f>
        <v>0.36874999999417923</v>
      </c>
      <c r="AE409" s="255">
        <f>IF(N409&gt;0,AD409,0)</f>
        <v>0.36874999999417923</v>
      </c>
      <c r="AF409" s="255">
        <f>IF(N409&lt;0,AD409,0)</f>
        <v>0</v>
      </c>
      <c r="AG409" s="255">
        <f>IF(N409=0,AD409,0)</f>
        <v>0</v>
      </c>
    </row>
    <row r="410" spans="2:33" ht="15" customHeight="1" x14ac:dyDescent="0.3">
      <c r="B410" s="196" t="s">
        <v>5</v>
      </c>
      <c r="C410" s="197" t="s">
        <v>13</v>
      </c>
      <c r="D410" s="246" t="str">
        <f>IF(E410&lt;&gt;"",IF(K410&lt;&gt;"","C","O"),"")</f>
        <v>C</v>
      </c>
      <c r="E410" s="199">
        <v>44742.40625</v>
      </c>
      <c r="F410" s="200" t="s">
        <v>91</v>
      </c>
      <c r="G410" s="235">
        <v>12805.15</v>
      </c>
      <c r="H410" s="235">
        <v>12847.06</v>
      </c>
      <c r="I410" s="247">
        <f>ABS(G410-H410)</f>
        <v>41.909999999999854</v>
      </c>
      <c r="J410" s="235">
        <v>12022.82</v>
      </c>
      <c r="K410" s="199">
        <v>44742.761111111111</v>
      </c>
      <c r="L410" s="235">
        <v>12785.28</v>
      </c>
      <c r="M410" s="248">
        <f>ROUND(IF(C410="L",(L410-G410),(G410-L410)),4)</f>
        <v>19.87</v>
      </c>
      <c r="N410" s="249">
        <f>IFERROR(ROUND((M410/I410),2),"")</f>
        <v>0.47</v>
      </c>
      <c r="O410" s="250">
        <f>IF(D410="O",IF(N410&lt;0,N410,0),0)</f>
        <v>0</v>
      </c>
      <c r="P410" s="251">
        <f>IF(N410&gt;= 0,N410,0)</f>
        <v>0.47</v>
      </c>
      <c r="Q410" s="251">
        <f>IF(N410&lt;0,N410,0)</f>
        <v>0</v>
      </c>
      <c r="R4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37617</v>
      </c>
      <c r="T4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0" s="253">
        <f ca="1">IF(Tabla33610673[[#This Row],[Equity]]&lt;Tabla33610673[[#This Row],[Equity Peak]],(Tabla33610673[[#This Row],[Equity Peak]]-Tabla33610673[[#This Row],[Equity]])/Tabla33610673[[#This Row],[Equity Peak]],"")</f>
        <v>1.9675805274679454E-2</v>
      </c>
      <c r="V410" s="254">
        <f>IF(B410="FX",N410,0)</f>
        <v>0</v>
      </c>
      <c r="W410" s="254">
        <f>IF(D410="O",IF(V410&lt;0,V410,0),0)</f>
        <v>0</v>
      </c>
      <c r="X410" s="254">
        <f>IF(B410="COM",N410,0)</f>
        <v>0</v>
      </c>
      <c r="Y410" s="254">
        <f>IF(D410="O",IF(X410&lt;0,X410,0),0)</f>
        <v>0</v>
      </c>
      <c r="Z410" s="254">
        <f>IF(B410="IND",N410,0)</f>
        <v>0.47</v>
      </c>
      <c r="AA410" s="250">
        <f>IF(D410="O",IF(Z410&lt;0,Z410,0),0)</f>
        <v>0</v>
      </c>
      <c r="AB410" s="254">
        <f>IF(B410="CRYPTO",N410,0)</f>
        <v>0</v>
      </c>
      <c r="AC410" s="250">
        <f>IF(D410="O",IF(AB410&lt;0,AB410,0),0)</f>
        <v>0</v>
      </c>
      <c r="AD410" s="255">
        <f>IF(K410&lt;&gt;"",K410-E410,0)</f>
        <v>0.35486111111094942</v>
      </c>
      <c r="AE410" s="255">
        <f>IF(N410&gt;0,AD410,0)</f>
        <v>0.35486111111094942</v>
      </c>
      <c r="AF410" s="255">
        <f>IF(N410&lt;0,AD410,0)</f>
        <v>0</v>
      </c>
      <c r="AG410" s="255">
        <f>IF(N410=0,AD410,0)</f>
        <v>0</v>
      </c>
    </row>
    <row r="411" spans="2:33" ht="15" customHeight="1" x14ac:dyDescent="0.3">
      <c r="B411" s="196" t="s">
        <v>5</v>
      </c>
      <c r="C411" s="197" t="s">
        <v>13</v>
      </c>
      <c r="D411" s="246" t="str">
        <f>IF(E411&lt;&gt;"",IF(K411&lt;&gt;"","C","O"),"")</f>
        <v>C</v>
      </c>
      <c r="E411" s="199">
        <v>44742.697916666664</v>
      </c>
      <c r="F411" s="200" t="s">
        <v>93</v>
      </c>
      <c r="G411" s="235">
        <v>11401.7</v>
      </c>
      <c r="H411" s="235">
        <v>11449.53</v>
      </c>
      <c r="I411" s="247">
        <f>ABS(G411-H411)</f>
        <v>47.829999999999927</v>
      </c>
      <c r="J411" s="235">
        <v>10891.51</v>
      </c>
      <c r="K411" s="199">
        <v>44742.749305555553</v>
      </c>
      <c r="L411" s="235">
        <v>11449.53</v>
      </c>
      <c r="M411" s="248">
        <f>ROUND(IF(C411="L",(L411-G411),(G411-L411)),4)</f>
        <v>-47.83</v>
      </c>
      <c r="N411" s="249">
        <f>IFERROR(ROUND((M411/I411),2),"")</f>
        <v>-1</v>
      </c>
      <c r="O411" s="250">
        <f>IF(D411="O",IF(N411&lt;0,N411,0),0)</f>
        <v>0</v>
      </c>
      <c r="P411" s="251">
        <f>IF(N411&gt;= 0,N411,0)</f>
        <v>0</v>
      </c>
      <c r="Q411" s="251">
        <f>IF(N411&lt;0,N411,0)</f>
        <v>-1</v>
      </c>
      <c r="R4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37570</v>
      </c>
      <c r="T4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1" s="253">
        <f ca="1">IF(Tabla33610673[[#This Row],[Equity]]&lt;Tabla33610673[[#This Row],[Equity Peak]],(Tabla33610673[[#This Row],[Equity Peak]]-Tabla33610673[[#This Row],[Equity]])/Tabla33610673[[#This Row],[Equity Peak]],"")</f>
        <v>2.0900656728864798E-2</v>
      </c>
      <c r="V411" s="254">
        <f>IF(B411="FX",N411,0)</f>
        <v>0</v>
      </c>
      <c r="W411" s="254">
        <f>IF(D411="O",IF(V411&lt;0,V411,0),0)</f>
        <v>0</v>
      </c>
      <c r="X411" s="254">
        <f>IF(B411="COM",N411,0)</f>
        <v>0</v>
      </c>
      <c r="Y411" s="254">
        <f>IF(D411="O",IF(X411&lt;0,X411,0),0)</f>
        <v>0</v>
      </c>
      <c r="Z411" s="254">
        <f>IF(B411="IND",N411,0)</f>
        <v>-1</v>
      </c>
      <c r="AA411" s="250">
        <f>IF(D411="O",IF(Z411&lt;0,Z411,0),0)</f>
        <v>0</v>
      </c>
      <c r="AB411" s="254">
        <f>IF(B411="CRYPTO",N411,0)</f>
        <v>0</v>
      </c>
      <c r="AC411" s="250">
        <f>IF(D411="O",IF(AB411&lt;0,AB411,0),0)</f>
        <v>0</v>
      </c>
      <c r="AD411" s="255">
        <f>IF(K411&lt;&gt;"",K411-E411,0)</f>
        <v>5.1388888889050577E-2</v>
      </c>
      <c r="AE411" s="255">
        <f>IF(N411&gt;0,AD411,0)</f>
        <v>0</v>
      </c>
      <c r="AF411" s="255">
        <f>IF(N411&lt;0,AD411,0)</f>
        <v>5.1388888889050577E-2</v>
      </c>
      <c r="AG411" s="255">
        <f>IF(N411=0,AD411,0)</f>
        <v>0</v>
      </c>
    </row>
    <row r="412" spans="2:33" ht="15" customHeight="1" x14ac:dyDescent="0.3">
      <c r="B412" s="196" t="s">
        <v>7</v>
      </c>
      <c r="C412" s="197" t="s">
        <v>13</v>
      </c>
      <c r="D412" s="246" t="str">
        <f>IF(E412&lt;&gt;"",IF(K412&lt;&gt;"","C","O"),"")</f>
        <v>C</v>
      </c>
      <c r="E412" s="199">
        <v>44742.59375</v>
      </c>
      <c r="F412" s="200" t="s">
        <v>115</v>
      </c>
      <c r="G412" s="235">
        <v>165.06299999999999</v>
      </c>
      <c r="H412" s="235">
        <v>165.65</v>
      </c>
      <c r="I412" s="247">
        <f>ABS(G412-H412)</f>
        <v>0.58700000000001751</v>
      </c>
      <c r="J412" s="235">
        <v>163.387</v>
      </c>
      <c r="K412" s="199">
        <v>44742.710416666669</v>
      </c>
      <c r="L412" s="235">
        <v>165.60499999999999</v>
      </c>
      <c r="M412" s="248">
        <f>ROUND(IF(C412="L",(L412-G412),(G412-L412)),4)</f>
        <v>-0.54200000000000004</v>
      </c>
      <c r="N412" s="249">
        <f>IFERROR(ROUND((M412/I412),2),"")</f>
        <v>-0.92</v>
      </c>
      <c r="O412" s="250">
        <f>IF(D412="O",IF(N412&lt;0,N412,0),0)</f>
        <v>0</v>
      </c>
      <c r="P412" s="251">
        <f>IF(N412&gt;= 0,N412,0)</f>
        <v>0</v>
      </c>
      <c r="Q412" s="251">
        <f>IF(N412&lt;0,N412,0)</f>
        <v>-0.92</v>
      </c>
      <c r="R4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37670</v>
      </c>
      <c r="T4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2" s="253">
        <f ca="1">IF(Tabla33610673[[#This Row],[Equity]]&lt;Tabla33610673[[#This Row],[Equity Peak]],(Tabla33610673[[#This Row],[Equity Peak]]-Tabla33610673[[#This Row],[Equity]])/Tabla33610673[[#This Row],[Equity Peak]],"")</f>
        <v>1.8294589805066194E-2</v>
      </c>
      <c r="V412" s="254">
        <f>IF(B412="FX",N412,0)</f>
        <v>-0.92</v>
      </c>
      <c r="W412" s="254">
        <f>IF(D412="O",IF(V412&lt;0,V412,0),0)</f>
        <v>0</v>
      </c>
      <c r="X412" s="254">
        <f>IF(B412="COM",N412,0)</f>
        <v>0</v>
      </c>
      <c r="Y412" s="254">
        <f>IF(D412="O",IF(X412&lt;0,X412,0),0)</f>
        <v>0</v>
      </c>
      <c r="Z412" s="254">
        <f>IF(B412="IND",N412,0)</f>
        <v>0</v>
      </c>
      <c r="AA412" s="250">
        <f>IF(D412="O",IF(Z412&lt;0,Z412,0),0)</f>
        <v>0</v>
      </c>
      <c r="AB412" s="254">
        <f>IF(B412="CRYPTO",N412,0)</f>
        <v>0</v>
      </c>
      <c r="AC412" s="250">
        <f>IF(D412="O",IF(AB412&lt;0,AB412,0),0)</f>
        <v>0</v>
      </c>
      <c r="AD412" s="255">
        <f>IF(K412&lt;&gt;"",K412-E412,0)</f>
        <v>0.11666666666860692</v>
      </c>
      <c r="AE412" s="255">
        <f>IF(N412&gt;0,AD412,0)</f>
        <v>0</v>
      </c>
      <c r="AF412" s="255">
        <f>IF(N412&lt;0,AD412,0)</f>
        <v>0.11666666666860692</v>
      </c>
      <c r="AG412" s="255">
        <f>IF(N412=0,AD412,0)</f>
        <v>0</v>
      </c>
    </row>
    <row r="413" spans="2:33" ht="15" customHeight="1" x14ac:dyDescent="0.3">
      <c r="B413" s="196" t="s">
        <v>5</v>
      </c>
      <c r="C413" s="197" t="s">
        <v>13</v>
      </c>
      <c r="D413" s="246" t="str">
        <f>IF(E413&lt;&gt;"",IF(K413&lt;&gt;"","C","O"),"")</f>
        <v>C</v>
      </c>
      <c r="E413" s="199">
        <v>44742.395833333336</v>
      </c>
      <c r="F413" s="200" t="s">
        <v>93</v>
      </c>
      <c r="G413" s="235">
        <v>11512.6</v>
      </c>
      <c r="H413" s="235">
        <v>11560.84</v>
      </c>
      <c r="I413" s="247">
        <f>ABS(G413-H413)</f>
        <v>48.239999999999782</v>
      </c>
      <c r="J413" s="235">
        <v>10998.05</v>
      </c>
      <c r="K413" s="199">
        <v>44742.6875</v>
      </c>
      <c r="L413" s="235">
        <v>11545.52</v>
      </c>
      <c r="M413" s="248">
        <f>ROUND(IF(C413="L",(L413-G413),(G413-L413)),4)</f>
        <v>-32.92</v>
      </c>
      <c r="N413" s="249">
        <f>IFERROR(ROUND((M413/I413),2),"")</f>
        <v>-0.68</v>
      </c>
      <c r="O413" s="250">
        <f>IF(D413="O",IF(N413&lt;0,N413,0),0)</f>
        <v>0</v>
      </c>
      <c r="P413" s="251">
        <f>IF(N413&gt;= 0,N413,0)</f>
        <v>0</v>
      </c>
      <c r="Q413" s="251">
        <f>IF(N413&lt;0,N413,0)</f>
        <v>-0.68</v>
      </c>
      <c r="R4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37762</v>
      </c>
      <c r="T4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3" s="253">
        <f ca="1">IF(Tabla33610673[[#This Row],[Equity]]&lt;Tabla33610673[[#This Row],[Equity Peak]],(Tabla33610673[[#This Row],[Equity Peak]]-Tabla33610673[[#This Row],[Equity]])/Tabla33610673[[#This Row],[Equity Peak]],"")</f>
        <v>1.589700823517148E-2</v>
      </c>
      <c r="V413" s="254">
        <f>IF(B413="FX",N413,0)</f>
        <v>0</v>
      </c>
      <c r="W413" s="254">
        <f>IF(D413="O",IF(V413&lt;0,V413,0),0)</f>
        <v>0</v>
      </c>
      <c r="X413" s="254">
        <f>IF(B413="COM",N413,0)</f>
        <v>0</v>
      </c>
      <c r="Y413" s="254">
        <f>IF(D413="O",IF(X413&lt;0,X413,0),0)</f>
        <v>0</v>
      </c>
      <c r="Z413" s="254">
        <f>IF(B413="IND",N413,0)</f>
        <v>-0.68</v>
      </c>
      <c r="AA413" s="250">
        <f>IF(D413="O",IF(Z413&lt;0,Z413,0),0)</f>
        <v>0</v>
      </c>
      <c r="AB413" s="254">
        <f>IF(B413="CRYPTO",N413,0)</f>
        <v>0</v>
      </c>
      <c r="AC413" s="250">
        <f>IF(D413="O",IF(AB413&lt;0,AB413,0),0)</f>
        <v>0</v>
      </c>
      <c r="AD413" s="255">
        <f>IF(K413&lt;&gt;"",K413-E413,0)</f>
        <v>0.29166666666424135</v>
      </c>
      <c r="AE413" s="255">
        <f>IF(N413&gt;0,AD413,0)</f>
        <v>0</v>
      </c>
      <c r="AF413" s="255">
        <f>IF(N413&lt;0,AD413,0)</f>
        <v>0.29166666666424135</v>
      </c>
      <c r="AG413" s="255">
        <f>IF(N413=0,AD413,0)</f>
        <v>0</v>
      </c>
    </row>
    <row r="414" spans="2:33" ht="15" customHeight="1" x14ac:dyDescent="0.3">
      <c r="B414" s="196" t="s">
        <v>19</v>
      </c>
      <c r="C414" s="197" t="s">
        <v>13</v>
      </c>
      <c r="D414" s="246" t="str">
        <f>IF(E414&lt;&gt;"",IF(K414&lt;&gt;"","C","O"),"")</f>
        <v>C</v>
      </c>
      <c r="E414" s="199">
        <v>44742.614583333336</v>
      </c>
      <c r="F414" s="200" t="s">
        <v>88</v>
      </c>
      <c r="G414" s="235">
        <v>1804.08</v>
      </c>
      <c r="H414" s="235">
        <v>1806.27</v>
      </c>
      <c r="I414" s="247">
        <f>ABS(G414-H414)</f>
        <v>2.1900000000000546</v>
      </c>
      <c r="J414" s="235">
        <v>1777.77</v>
      </c>
      <c r="K414" s="199">
        <v>44742.620138888888</v>
      </c>
      <c r="L414" s="235">
        <v>1806.27</v>
      </c>
      <c r="M414" s="248">
        <f>ROUND(IF(C414="L",(L414-G414),(G414-L414)),4)</f>
        <v>-2.19</v>
      </c>
      <c r="N414" s="249">
        <f>IFERROR(ROUND((M414/I414),2),"")</f>
        <v>-1</v>
      </c>
      <c r="O414" s="250">
        <f>IF(D414="O",IF(N414&lt;0,N414,0),0)</f>
        <v>0</v>
      </c>
      <c r="P414" s="251">
        <f>IF(N414&gt;= 0,N414,0)</f>
        <v>0</v>
      </c>
      <c r="Q414" s="251">
        <f>IF(N414&lt;0,N414,0)</f>
        <v>-1</v>
      </c>
      <c r="R4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37830</v>
      </c>
      <c r="T4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4" s="253">
        <f ca="1">IF(Tabla33610673[[#This Row],[Equity]]&lt;Tabla33610673[[#This Row],[Equity Peak]],(Tabla33610673[[#This Row],[Equity Peak]]-Tabla33610673[[#This Row],[Equity]])/Tabla33610673[[#This Row],[Equity Peak]],"")</f>
        <v>1.412488272698843E-2</v>
      </c>
      <c r="V414" s="254">
        <f>IF(B414="FX",N414,0)</f>
        <v>0</v>
      </c>
      <c r="W414" s="254">
        <f>IF(D414="O",IF(V414&lt;0,V414,0),0)</f>
        <v>0</v>
      </c>
      <c r="X414" s="254">
        <f>IF(B414="COM",N414,0)</f>
        <v>-1</v>
      </c>
      <c r="Y414" s="254">
        <f>IF(D414="O",IF(X414&lt;0,X414,0),0)</f>
        <v>0</v>
      </c>
      <c r="Z414" s="254">
        <f>IF(B414="IND",N414,0)</f>
        <v>0</v>
      </c>
      <c r="AA414" s="250">
        <f>IF(D414="O",IF(Z414&lt;0,Z414,0),0)</f>
        <v>0</v>
      </c>
      <c r="AB414" s="254">
        <f>IF(B414="CRYPTO",N414,0)</f>
        <v>0</v>
      </c>
      <c r="AC414" s="250">
        <f>IF(D414="O",IF(AB414&lt;0,AB414,0),0)</f>
        <v>0</v>
      </c>
      <c r="AD414" s="255">
        <f>IF(K414&lt;&gt;"",K414-E414,0)</f>
        <v>5.5555555518367328E-3</v>
      </c>
      <c r="AE414" s="255">
        <f>IF(N414&gt;0,AD414,0)</f>
        <v>0</v>
      </c>
      <c r="AF414" s="255">
        <f>IF(N414&lt;0,AD414,0)</f>
        <v>5.5555555518367328E-3</v>
      </c>
      <c r="AG414" s="255">
        <f>IF(N414=0,AD414,0)</f>
        <v>0</v>
      </c>
    </row>
    <row r="415" spans="2:33" ht="15" customHeight="1" x14ac:dyDescent="0.3">
      <c r="B415" s="196" t="s">
        <v>7</v>
      </c>
      <c r="C415" s="197" t="s">
        <v>13</v>
      </c>
      <c r="D415" s="246" t="str">
        <f>IF(E415&lt;&gt;"",IF(K415&lt;&gt;"","C","O"),"")</f>
        <v>C</v>
      </c>
      <c r="E415" s="199">
        <v>44742.354166666664</v>
      </c>
      <c r="F415" s="200" t="s">
        <v>115</v>
      </c>
      <c r="G415" s="235">
        <v>165.376</v>
      </c>
      <c r="H415" s="235">
        <v>165.934</v>
      </c>
      <c r="I415" s="247">
        <f>ABS(G415-H415)</f>
        <v>0.55799999999999272</v>
      </c>
      <c r="J415" s="235">
        <v>163.78299999999999</v>
      </c>
      <c r="K415" s="199">
        <v>44742.484722222223</v>
      </c>
      <c r="L415" s="235">
        <v>165.791</v>
      </c>
      <c r="M415" s="248">
        <f>ROUND(IF(C415="L",(L415-G415),(G415-L415)),4)</f>
        <v>-0.41499999999999998</v>
      </c>
      <c r="N415" s="249">
        <f>IFERROR(ROUND((M415/I415),2),"")</f>
        <v>-0.74</v>
      </c>
      <c r="O415" s="250">
        <f>IF(D415="O",IF(N415&lt;0,N415,0),0)</f>
        <v>0</v>
      </c>
      <c r="P415" s="251">
        <f>IF(N415&gt;= 0,N415,0)</f>
        <v>0</v>
      </c>
      <c r="Q415" s="251">
        <f>IF(N415&lt;0,N415,0)</f>
        <v>-0.74</v>
      </c>
      <c r="R4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37930</v>
      </c>
      <c r="T4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5" s="253">
        <f ca="1">IF(Tabla33610673[[#This Row],[Equity]]&lt;Tabla33610673[[#This Row],[Equity Peak]],(Tabla33610673[[#This Row],[Equity Peak]]-Tabla33610673[[#This Row],[Equity]])/Tabla33610673[[#This Row],[Equity Peak]],"")</f>
        <v>1.1518815803189825E-2</v>
      </c>
      <c r="V415" s="254">
        <f>IF(B415="FX",N415,0)</f>
        <v>-0.74</v>
      </c>
      <c r="W415" s="254">
        <f>IF(D415="O",IF(V415&lt;0,V415,0),0)</f>
        <v>0</v>
      </c>
      <c r="X415" s="254">
        <f>IF(B415="COM",N415,0)</f>
        <v>0</v>
      </c>
      <c r="Y415" s="254">
        <f>IF(D415="O",IF(X415&lt;0,X415,0),0)</f>
        <v>0</v>
      </c>
      <c r="Z415" s="254">
        <f>IF(B415="IND",N415,0)</f>
        <v>0</v>
      </c>
      <c r="AA415" s="250">
        <f>IF(D415="O",IF(Z415&lt;0,Z415,0),0)</f>
        <v>0</v>
      </c>
      <c r="AB415" s="254">
        <f>IF(B415="CRYPTO",N415,0)</f>
        <v>0</v>
      </c>
      <c r="AC415" s="250">
        <f>IF(D415="O",IF(AB415&lt;0,AB415,0),0)</f>
        <v>0</v>
      </c>
      <c r="AD415" s="255">
        <f>IF(K415&lt;&gt;"",K415-E415,0)</f>
        <v>0.13055555555911269</v>
      </c>
      <c r="AE415" s="255">
        <f>IF(N415&gt;0,AD415,0)</f>
        <v>0</v>
      </c>
      <c r="AF415" s="255">
        <f>IF(N415&lt;0,AD415,0)</f>
        <v>0.13055555555911269</v>
      </c>
      <c r="AG415" s="255">
        <f>IF(N415=0,AD415,0)</f>
        <v>0</v>
      </c>
    </row>
    <row r="416" spans="2:33" ht="15" customHeight="1" x14ac:dyDescent="0.3">
      <c r="B416" s="196" t="s">
        <v>7</v>
      </c>
      <c r="C416" s="197" t="s">
        <v>13</v>
      </c>
      <c r="D416" s="246" t="str">
        <f>IF(E416&lt;&gt;"",IF(K416&lt;&gt;"","C","O"),"")</f>
        <v>C</v>
      </c>
      <c r="E416" s="199">
        <v>44741.8125</v>
      </c>
      <c r="F416" s="200" t="s">
        <v>114</v>
      </c>
      <c r="G416" s="235">
        <v>1.0462100000000001</v>
      </c>
      <c r="H416" s="235">
        <v>1.0487</v>
      </c>
      <c r="I416" s="247">
        <f>ABS(G416-H416)</f>
        <v>2.4899999999998812E-3</v>
      </c>
      <c r="J416" s="235">
        <v>1.0237700000000001</v>
      </c>
      <c r="K416" s="199">
        <v>44742.229861111111</v>
      </c>
      <c r="L416" s="235">
        <v>1.04566</v>
      </c>
      <c r="M416" s="248">
        <f>ROUND(IF(C416="L",(L416-G416),(G416-L416)),4)</f>
        <v>5.9999999999999995E-4</v>
      </c>
      <c r="N416" s="249">
        <f>IFERROR(ROUND((M416/I416),2),"")</f>
        <v>0.24</v>
      </c>
      <c r="O416" s="250">
        <f>IF(D416="O",IF(N416&lt;0,N416,0),0)</f>
        <v>0</v>
      </c>
      <c r="P416" s="251">
        <f>IF(N416&gt;= 0,N416,0)</f>
        <v>0.24</v>
      </c>
      <c r="Q416" s="251">
        <f>IF(N416&lt;0,N416,0)</f>
        <v>0</v>
      </c>
      <c r="R4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38004</v>
      </c>
      <c r="T4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6" s="253">
        <f ca="1">IF(Tabla33610673[[#This Row],[Equity]]&lt;Tabla33610673[[#This Row],[Equity Peak]],(Tabla33610673[[#This Row],[Equity Peak]]-Tabla33610673[[#This Row],[Equity]])/Tabla33610673[[#This Row],[Equity Peak]],"")</f>
        <v>9.5903262795788598E-3</v>
      </c>
      <c r="V416" s="254">
        <f>IF(B416="FX",N416,0)</f>
        <v>0.24</v>
      </c>
      <c r="W416" s="254">
        <f>IF(D416="O",IF(V416&lt;0,V416,0),0)</f>
        <v>0</v>
      </c>
      <c r="X416" s="254">
        <f>IF(B416="COM",N416,0)</f>
        <v>0</v>
      </c>
      <c r="Y416" s="254">
        <f>IF(D416="O",IF(X416&lt;0,X416,0),0)</f>
        <v>0</v>
      </c>
      <c r="Z416" s="254">
        <f>IF(B416="IND",N416,0)</f>
        <v>0</v>
      </c>
      <c r="AA416" s="250">
        <f>IF(D416="O",IF(Z416&lt;0,Z416,0),0)</f>
        <v>0</v>
      </c>
      <c r="AB416" s="254">
        <f>IF(B416="CRYPTO",N416,0)</f>
        <v>0</v>
      </c>
      <c r="AC416" s="250">
        <f>IF(D416="O",IF(AB416&lt;0,AB416,0),0)</f>
        <v>0</v>
      </c>
      <c r="AD416" s="255">
        <f>IF(K416&lt;&gt;"",K416-E416,0)</f>
        <v>0.41736111111094942</v>
      </c>
      <c r="AE416" s="255">
        <f>IF(N416&gt;0,AD416,0)</f>
        <v>0.41736111111094942</v>
      </c>
      <c r="AF416" s="255">
        <f>IF(N416&lt;0,AD416,0)</f>
        <v>0</v>
      </c>
      <c r="AG416" s="255">
        <f>IF(N416=0,AD416,0)</f>
        <v>0</v>
      </c>
    </row>
    <row r="417" spans="2:33" ht="15" customHeight="1" x14ac:dyDescent="0.3">
      <c r="B417" s="196" t="s">
        <v>7</v>
      </c>
      <c r="C417" s="197" t="s">
        <v>15</v>
      </c>
      <c r="D417" s="246" t="str">
        <f>IF(E417&lt;&gt;"",IF(K417&lt;&gt;"","C","O"),"")</f>
        <v>C</v>
      </c>
      <c r="E417" s="199">
        <v>44741.6875</v>
      </c>
      <c r="F417" s="200" t="s">
        <v>116</v>
      </c>
      <c r="G417" s="235">
        <v>136.85900000000001</v>
      </c>
      <c r="H417" s="235">
        <v>136.55500000000001</v>
      </c>
      <c r="I417" s="247">
        <f>ABS(G417-H417)</f>
        <v>0.30400000000000205</v>
      </c>
      <c r="J417" s="235">
        <v>140.02600000000001</v>
      </c>
      <c r="K417" s="199">
        <v>44741.755555555559</v>
      </c>
      <c r="L417" s="235">
        <v>136.68100000000001</v>
      </c>
      <c r="M417" s="248">
        <f>ROUND(IF(C417="L",(L417-G417),(G417-L417)),4)</f>
        <v>-0.17799999999999999</v>
      </c>
      <c r="N417" s="249">
        <f>IFERROR(ROUND((M417/I417),2),"")</f>
        <v>-0.59</v>
      </c>
      <c r="O417" s="250">
        <f>IF(D417="O",IF(N417&lt;0,N417,0),0)</f>
        <v>0</v>
      </c>
      <c r="P417" s="251">
        <f>IF(N417&gt;= 0,N417,0)</f>
        <v>0</v>
      </c>
      <c r="Q417" s="251">
        <f>IF(N417&lt;0,N417,0)</f>
        <v>-0.59</v>
      </c>
      <c r="R4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37980</v>
      </c>
      <c r="T4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7" s="253">
        <f ca="1">IF(Tabla33610673[[#This Row],[Equity]]&lt;Tabla33610673[[#This Row],[Equity Peak]],(Tabla33610673[[#This Row],[Equity Peak]]-Tabla33610673[[#This Row],[Equity]])/Tabla33610673[[#This Row],[Equity Peak]],"")</f>
        <v>1.0215782341290525E-2</v>
      </c>
      <c r="V417" s="254">
        <f>IF(B417="FX",N417,0)</f>
        <v>-0.59</v>
      </c>
      <c r="W417" s="254">
        <f>IF(D417="O",IF(V417&lt;0,V417,0),0)</f>
        <v>0</v>
      </c>
      <c r="X417" s="254">
        <f>IF(B417="COM",N417,0)</f>
        <v>0</v>
      </c>
      <c r="Y417" s="254">
        <f>IF(D417="O",IF(X417&lt;0,X417,0),0)</f>
        <v>0</v>
      </c>
      <c r="Z417" s="254">
        <f>IF(B417="IND",N417,0)</f>
        <v>0</v>
      </c>
      <c r="AA417" s="250">
        <f>IF(D417="O",IF(Z417&lt;0,Z417,0),0)</f>
        <v>0</v>
      </c>
      <c r="AB417" s="254">
        <f>IF(B417="CRYPTO",N417,0)</f>
        <v>0</v>
      </c>
      <c r="AC417" s="250">
        <f>IF(D417="O",IF(AB417&lt;0,AB417,0),0)</f>
        <v>0</v>
      </c>
      <c r="AD417" s="255">
        <f>IF(K417&lt;&gt;"",K417-E417,0)</f>
        <v>6.805555555911269E-2</v>
      </c>
      <c r="AE417" s="255">
        <f>IF(N417&gt;0,AD417,0)</f>
        <v>0</v>
      </c>
      <c r="AF417" s="255">
        <f>IF(N417&lt;0,AD417,0)</f>
        <v>6.805555555911269E-2</v>
      </c>
      <c r="AG417" s="255">
        <f>IF(N417=0,AD417,0)</f>
        <v>0</v>
      </c>
    </row>
    <row r="418" spans="2:33" ht="15" customHeight="1" x14ac:dyDescent="0.3">
      <c r="B418" s="196" t="s">
        <v>5</v>
      </c>
      <c r="C418" s="197" t="s">
        <v>13</v>
      </c>
      <c r="D418" s="246" t="str">
        <f>IF(E418&lt;&gt;"",IF(K418&lt;&gt;"","C","O"),"")</f>
        <v>C</v>
      </c>
      <c r="E418" s="199">
        <v>44740.84375</v>
      </c>
      <c r="F418" s="200" t="s">
        <v>92</v>
      </c>
      <c r="G418" s="235">
        <v>11715.94</v>
      </c>
      <c r="H418" s="235">
        <v>11758.75</v>
      </c>
      <c r="I418" s="247">
        <f>ABS(G418-H418)</f>
        <v>42.809999999999491</v>
      </c>
      <c r="J418" s="235">
        <v>10916.82</v>
      </c>
      <c r="K418" s="199">
        <v>44741.702777777777</v>
      </c>
      <c r="L418" s="235">
        <v>11674.71</v>
      </c>
      <c r="M418" s="248">
        <f>ROUND(IF(C418="L",(L418-G418),(G418-L418)),4)</f>
        <v>41.23</v>
      </c>
      <c r="N418" s="249">
        <f>IFERROR(ROUND((M418/I418),2),"")</f>
        <v>0.96</v>
      </c>
      <c r="O418" s="250">
        <f>IF(D418="O",IF(N418&lt;0,N418,0),0)</f>
        <v>0</v>
      </c>
      <c r="P418" s="251">
        <f>IF(N418&gt;= 0,N418,0)</f>
        <v>0.96</v>
      </c>
      <c r="Q418" s="251">
        <f>IF(N418&lt;0,N418,0)</f>
        <v>0</v>
      </c>
      <c r="R4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38039</v>
      </c>
      <c r="T4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8" s="253">
        <f ca="1">IF(Tabla33610673[[#This Row],[Equity]]&lt;Tabla33610673[[#This Row],[Equity Peak]],(Tabla33610673[[#This Row],[Equity Peak]]-Tabla33610673[[#This Row],[Equity]])/Tabla33610673[[#This Row],[Equity Peak]],"")</f>
        <v>8.6782028562493486E-3</v>
      </c>
      <c r="V418" s="254">
        <f>IF(B418="FX",N418,0)</f>
        <v>0</v>
      </c>
      <c r="W418" s="254">
        <f>IF(D418="O",IF(V418&lt;0,V418,0),0)</f>
        <v>0</v>
      </c>
      <c r="X418" s="254">
        <f>IF(B418="COM",N418,0)</f>
        <v>0</v>
      </c>
      <c r="Y418" s="254">
        <f>IF(D418="O",IF(X418&lt;0,X418,0),0)</f>
        <v>0</v>
      </c>
      <c r="Z418" s="254">
        <f>IF(B418="IND",N418,0)</f>
        <v>0.96</v>
      </c>
      <c r="AA418" s="250">
        <f>IF(D418="O",IF(Z418&lt;0,Z418,0),0)</f>
        <v>0</v>
      </c>
      <c r="AB418" s="254">
        <f>IF(B418="CRYPTO",N418,0)</f>
        <v>0</v>
      </c>
      <c r="AC418" s="250">
        <f>IF(D418="O",IF(AB418&lt;0,AB418,0),0)</f>
        <v>0</v>
      </c>
      <c r="AD418" s="255">
        <f>IF(K418&lt;&gt;"",K418-E418,0)</f>
        <v>0.85902777777664596</v>
      </c>
      <c r="AE418" s="255">
        <f>IF(N418&gt;0,AD418,0)</f>
        <v>0.85902777777664596</v>
      </c>
      <c r="AF418" s="255">
        <f>IF(N418&lt;0,AD418,0)</f>
        <v>0</v>
      </c>
      <c r="AG418" s="255">
        <f>IF(N418=0,AD418,0)</f>
        <v>0</v>
      </c>
    </row>
    <row r="419" spans="2:33" ht="15" customHeight="1" x14ac:dyDescent="0.3">
      <c r="B419" s="196" t="s">
        <v>5</v>
      </c>
      <c r="C419" s="197" t="s">
        <v>13</v>
      </c>
      <c r="D419" s="246" t="str">
        <f>IF(E419&lt;&gt;"",IF(K419&lt;&gt;"","C","O"),"")</f>
        <v>C</v>
      </c>
      <c r="E419" s="199">
        <v>44740.84375</v>
      </c>
      <c r="F419" s="200" t="s">
        <v>93</v>
      </c>
      <c r="G419" s="235">
        <v>11715.94</v>
      </c>
      <c r="H419" s="235">
        <v>11759.87</v>
      </c>
      <c r="I419" s="247">
        <f>ABS(G419-H419)</f>
        <v>43.930000000000291</v>
      </c>
      <c r="J419" s="235">
        <v>11247.35</v>
      </c>
      <c r="K419" s="199">
        <v>44741.70208333333</v>
      </c>
      <c r="L419" s="235">
        <v>11648.4</v>
      </c>
      <c r="M419" s="248">
        <f>ROUND(IF(C419="L",(L419-G419),(G419-L419)),4)</f>
        <v>67.540000000000006</v>
      </c>
      <c r="N419" s="249">
        <f>IFERROR(ROUND((M419/I419),2),"")</f>
        <v>1.54</v>
      </c>
      <c r="O419" s="250">
        <f>IF(D419="O",IF(N419&lt;0,N419,0),0)</f>
        <v>0</v>
      </c>
      <c r="P419" s="251">
        <f>IF(N419&gt;= 0,N419,0)</f>
        <v>1.54</v>
      </c>
      <c r="Q419" s="251">
        <f>IF(N419&lt;0,N419,0)</f>
        <v>0</v>
      </c>
      <c r="R4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37943</v>
      </c>
      <c r="T4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19" s="253">
        <f ca="1">IF(Tabla33610673[[#This Row],[Equity]]&lt;Tabla33610673[[#This Row],[Equity Peak]],(Tabla33610673[[#This Row],[Equity Peak]]-Tabla33610673[[#This Row],[Equity]])/Tabla33610673[[#This Row],[Equity Peak]],"")</f>
        <v>1.1180027103096008E-2</v>
      </c>
      <c r="V419" s="254">
        <f>IF(B419="FX",N419,0)</f>
        <v>0</v>
      </c>
      <c r="W419" s="254">
        <f>IF(D419="O",IF(V419&lt;0,V419,0),0)</f>
        <v>0</v>
      </c>
      <c r="X419" s="254">
        <f>IF(B419="COM",N419,0)</f>
        <v>0</v>
      </c>
      <c r="Y419" s="254">
        <f>IF(D419="O",IF(X419&lt;0,X419,0),0)</f>
        <v>0</v>
      </c>
      <c r="Z419" s="254">
        <f>IF(B419="IND",N419,0)</f>
        <v>1.54</v>
      </c>
      <c r="AA419" s="250">
        <f>IF(D419="O",IF(Z419&lt;0,Z419,0),0)</f>
        <v>0</v>
      </c>
      <c r="AB419" s="254">
        <f>IF(B419="CRYPTO",N419,0)</f>
        <v>0</v>
      </c>
      <c r="AC419" s="250">
        <f>IF(D419="O",IF(AB419&lt;0,AB419,0),0)</f>
        <v>0</v>
      </c>
      <c r="AD419" s="255">
        <f>IF(K419&lt;&gt;"",K419-E419,0)</f>
        <v>0.85833333332993789</v>
      </c>
      <c r="AE419" s="255">
        <f>IF(N419&gt;0,AD419,0)</f>
        <v>0.85833333332993789</v>
      </c>
      <c r="AF419" s="255">
        <f>IF(N419&lt;0,AD419,0)</f>
        <v>0</v>
      </c>
      <c r="AG419" s="255">
        <f>IF(N419=0,AD419,0)</f>
        <v>0</v>
      </c>
    </row>
    <row r="420" spans="2:33" ht="15" customHeight="1" x14ac:dyDescent="0.3">
      <c r="B420" s="196" t="s">
        <v>7</v>
      </c>
      <c r="C420" s="197" t="s">
        <v>13</v>
      </c>
      <c r="D420" s="246" t="str">
        <f>IF(E420&lt;&gt;"",IF(K420&lt;&gt;"","C","O"),"")</f>
        <v>C</v>
      </c>
      <c r="E420" s="199">
        <v>44741.395833333336</v>
      </c>
      <c r="F420" s="200" t="s">
        <v>115</v>
      </c>
      <c r="G420" s="235">
        <v>165.584</v>
      </c>
      <c r="H420" s="235">
        <v>166.108</v>
      </c>
      <c r="I420" s="247">
        <f>ABS(G420-H420)</f>
        <v>0.52400000000000091</v>
      </c>
      <c r="J420" s="235">
        <v>164.08699999999999</v>
      </c>
      <c r="K420" s="199">
        <v>44741.422222222223</v>
      </c>
      <c r="L420" s="235">
        <v>166.102</v>
      </c>
      <c r="M420" s="248">
        <f>ROUND(IF(C420="L",(L420-G420),(G420-L420)),4)</f>
        <v>-0.51800000000000002</v>
      </c>
      <c r="N420" s="249">
        <f>IFERROR(ROUND((M420/I420),2),"")</f>
        <v>-0.99</v>
      </c>
      <c r="O420" s="250">
        <f>IF(D420="O",IF(N420&lt;0,N420,0),0)</f>
        <v>0</v>
      </c>
      <c r="P420" s="251">
        <f>IF(N420&gt;= 0,N420,0)</f>
        <v>0</v>
      </c>
      <c r="Q420" s="251">
        <f>IF(N420&lt;0,N420,0)</f>
        <v>-0.99</v>
      </c>
      <c r="R4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37789</v>
      </c>
      <c r="T4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0" s="253">
        <f ca="1">IF(Tabla33610673[[#This Row],[Equity]]&lt;Tabla33610673[[#This Row],[Equity Peak]],(Tabla33610673[[#This Row],[Equity Peak]]-Tabla33610673[[#This Row],[Equity]])/Tabla33610673[[#This Row],[Equity Peak]],"")</f>
        <v>1.5193370165745856E-2</v>
      </c>
      <c r="V420" s="254">
        <f>IF(B420="FX",N420,0)</f>
        <v>-0.99</v>
      </c>
      <c r="W420" s="254">
        <f>IF(D420="O",IF(V420&lt;0,V420,0),0)</f>
        <v>0</v>
      </c>
      <c r="X420" s="254">
        <f>IF(B420="COM",N420,0)</f>
        <v>0</v>
      </c>
      <c r="Y420" s="254">
        <f>IF(D420="O",IF(X420&lt;0,X420,0),0)</f>
        <v>0</v>
      </c>
      <c r="Z420" s="254">
        <f>IF(B420="IND",N420,0)</f>
        <v>0</v>
      </c>
      <c r="AA420" s="250">
        <f>IF(D420="O",IF(Z420&lt;0,Z420,0),0)</f>
        <v>0</v>
      </c>
      <c r="AB420" s="254">
        <f>IF(B420="CRYPTO",N420,0)</f>
        <v>0</v>
      </c>
      <c r="AC420" s="250">
        <f>IF(D420="O",IF(AB420&lt;0,AB420,0),0)</f>
        <v>0</v>
      </c>
      <c r="AD420" s="255">
        <f>IF(K420&lt;&gt;"",K420-E420,0)</f>
        <v>2.6388888887595385E-2</v>
      </c>
      <c r="AE420" s="255">
        <f>IF(N420&gt;0,AD420,0)</f>
        <v>0</v>
      </c>
      <c r="AF420" s="255">
        <f>IF(N420&lt;0,AD420,0)</f>
        <v>2.6388888887595385E-2</v>
      </c>
      <c r="AG420" s="255">
        <f>IF(N420=0,AD420,0)</f>
        <v>0</v>
      </c>
    </row>
    <row r="421" spans="2:33" ht="15" customHeight="1" x14ac:dyDescent="0.3">
      <c r="B421" s="196" t="s">
        <v>5</v>
      </c>
      <c r="C421" s="197" t="s">
        <v>13</v>
      </c>
      <c r="D421" s="246" t="str">
        <f>IF(E421&lt;&gt;"",IF(K421&lt;&gt;"","C","O"),"")</f>
        <v>C</v>
      </c>
      <c r="E421" s="199">
        <v>44740.791666666664</v>
      </c>
      <c r="F421" s="200" t="s">
        <v>92</v>
      </c>
      <c r="G421" s="235">
        <v>11752.56</v>
      </c>
      <c r="H421" s="235">
        <v>11794.66</v>
      </c>
      <c r="I421" s="247">
        <f>ABS(G421-H421)</f>
        <v>42.100000000000364</v>
      </c>
      <c r="J421" s="235">
        <v>10966.65</v>
      </c>
      <c r="K421" s="199">
        <v>44740.822916666664</v>
      </c>
      <c r="L421" s="235">
        <v>11794.66</v>
      </c>
      <c r="M421" s="248">
        <f>ROUND(IF(C421="L",(L421-G421),(G421-L421)),4)</f>
        <v>-42.1</v>
      </c>
      <c r="N421" s="249">
        <f>IFERROR(ROUND((M421/I421),2),"")</f>
        <v>-1</v>
      </c>
      <c r="O421" s="250">
        <f>IF(D421="O",IF(N421&lt;0,N421,0),0)</f>
        <v>0</v>
      </c>
      <c r="P421" s="251">
        <f>IF(N421&gt;= 0,N421,0)</f>
        <v>0</v>
      </c>
      <c r="Q421" s="251">
        <f>IF(N421&lt;0,N421,0)</f>
        <v>-1</v>
      </c>
      <c r="R4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37888</v>
      </c>
      <c r="T4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1" s="253">
        <f ca="1">IF(Tabla33610673[[#This Row],[Equity]]&lt;Tabla33610673[[#This Row],[Equity Peak]],(Tabla33610673[[#This Row],[Equity Peak]]-Tabla33610673[[#This Row],[Equity]])/Tabla33610673[[#This Row],[Equity Peak]],"")</f>
        <v>1.2613363911185239E-2</v>
      </c>
      <c r="V421" s="254">
        <f>IF(B421="FX",N421,0)</f>
        <v>0</v>
      </c>
      <c r="W421" s="254">
        <f>IF(D421="O",IF(V421&lt;0,V421,0),0)</f>
        <v>0</v>
      </c>
      <c r="X421" s="254">
        <f>IF(B421="COM",N421,0)</f>
        <v>0</v>
      </c>
      <c r="Y421" s="254">
        <f>IF(D421="O",IF(X421&lt;0,X421,0),0)</f>
        <v>0</v>
      </c>
      <c r="Z421" s="254">
        <f>IF(B421="IND",N421,0)</f>
        <v>-1</v>
      </c>
      <c r="AA421" s="250">
        <f>IF(D421="O",IF(Z421&lt;0,Z421,0),0)</f>
        <v>0</v>
      </c>
      <c r="AB421" s="254">
        <f>IF(B421="CRYPTO",N421,0)</f>
        <v>0</v>
      </c>
      <c r="AC421" s="250">
        <f>IF(D421="O",IF(AB421&lt;0,AB421,0),0)</f>
        <v>0</v>
      </c>
      <c r="AD421" s="255">
        <f>IF(K421&lt;&gt;"",K421-E421,0)</f>
        <v>3.125E-2</v>
      </c>
      <c r="AE421" s="255">
        <f>IF(N421&gt;0,AD421,0)</f>
        <v>0</v>
      </c>
      <c r="AF421" s="255">
        <f>IF(N421&lt;0,AD421,0)</f>
        <v>3.125E-2</v>
      </c>
      <c r="AG421" s="255">
        <f>IF(N421=0,AD421,0)</f>
        <v>0</v>
      </c>
    </row>
    <row r="422" spans="2:33" ht="15" customHeight="1" x14ac:dyDescent="0.3">
      <c r="B422" s="196" t="s">
        <v>5</v>
      </c>
      <c r="C422" s="197" t="s">
        <v>13</v>
      </c>
      <c r="D422" s="246" t="str">
        <f>IF(E422&lt;&gt;"",IF(K422&lt;&gt;"","C","O"),"")</f>
        <v>C</v>
      </c>
      <c r="E422" s="199">
        <v>44740.791666666664</v>
      </c>
      <c r="F422" s="200" t="s">
        <v>93</v>
      </c>
      <c r="G422" s="235">
        <v>11752.56</v>
      </c>
      <c r="H422" s="235">
        <v>11795.11</v>
      </c>
      <c r="I422" s="247">
        <f>ABS(G422-H422)</f>
        <v>42.550000000001091</v>
      </c>
      <c r="J422" s="235">
        <v>11298.72</v>
      </c>
      <c r="K422" s="199">
        <v>44740.822916666664</v>
      </c>
      <c r="L422" s="235">
        <v>11795.11</v>
      </c>
      <c r="M422" s="248">
        <f>ROUND(IF(C422="L",(L422-G422),(G422-L422)),4)</f>
        <v>-42.55</v>
      </c>
      <c r="N422" s="249">
        <f>IFERROR(ROUND((M422/I422),2),"")</f>
        <v>-1</v>
      </c>
      <c r="O422" s="250">
        <f>IF(D422="O",IF(N422&lt;0,N422,0),0)</f>
        <v>0</v>
      </c>
      <c r="P422" s="251">
        <f>IF(N422&gt;= 0,N422,0)</f>
        <v>0</v>
      </c>
      <c r="Q422" s="251">
        <f>IF(N422&lt;0,N422,0)</f>
        <v>-1</v>
      </c>
      <c r="R4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37988</v>
      </c>
      <c r="T4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2" s="253">
        <f ca="1">IF(Tabla33610673[[#This Row],[Equity]]&lt;Tabla33610673[[#This Row],[Equity Peak]],(Tabla33610673[[#This Row],[Equity Peak]]-Tabla33610673[[#This Row],[Equity]])/Tabla33610673[[#This Row],[Equity Peak]],"")</f>
        <v>1.0007296987386637E-2</v>
      </c>
      <c r="V422" s="254">
        <f>IF(B422="FX",N422,0)</f>
        <v>0</v>
      </c>
      <c r="W422" s="254">
        <f>IF(D422="O",IF(V422&lt;0,V422,0),0)</f>
        <v>0</v>
      </c>
      <c r="X422" s="254">
        <f>IF(B422="COM",N422,0)</f>
        <v>0</v>
      </c>
      <c r="Y422" s="254">
        <f>IF(D422="O",IF(X422&lt;0,X422,0),0)</f>
        <v>0</v>
      </c>
      <c r="Z422" s="254">
        <f>IF(B422="IND",N422,0)</f>
        <v>-1</v>
      </c>
      <c r="AA422" s="250">
        <f>IF(D422="O",IF(Z422&lt;0,Z422,0),0)</f>
        <v>0</v>
      </c>
      <c r="AB422" s="254">
        <f>IF(B422="CRYPTO",N422,0)</f>
        <v>0</v>
      </c>
      <c r="AC422" s="250">
        <f>IF(D422="O",IF(AB422&lt;0,AB422,0),0)</f>
        <v>0</v>
      </c>
      <c r="AD422" s="255">
        <f>IF(K422&lt;&gt;"",K422-E422,0)</f>
        <v>3.125E-2</v>
      </c>
      <c r="AE422" s="255">
        <f>IF(N422&gt;0,AD422,0)</f>
        <v>0</v>
      </c>
      <c r="AF422" s="255">
        <f>IF(N422&lt;0,AD422,0)</f>
        <v>3.125E-2</v>
      </c>
      <c r="AG422" s="255">
        <f>IF(N422=0,AD422,0)</f>
        <v>0</v>
      </c>
    </row>
    <row r="423" spans="2:33" ht="15" customHeight="1" x14ac:dyDescent="0.3">
      <c r="B423" s="196" t="s">
        <v>7</v>
      </c>
      <c r="C423" s="197" t="s">
        <v>15</v>
      </c>
      <c r="D423" s="246" t="str">
        <f>IF(E423&lt;&gt;"",IF(K423&lt;&gt;"","C","O"),"")</f>
        <v>C</v>
      </c>
      <c r="E423" s="199">
        <v>44740.40625</v>
      </c>
      <c r="F423" s="200" t="s">
        <v>115</v>
      </c>
      <c r="G423" s="235">
        <v>166.59100000000001</v>
      </c>
      <c r="H423" s="235">
        <v>166.06899999999999</v>
      </c>
      <c r="I423" s="247">
        <f>ABS(G423-H423)</f>
        <v>0.52200000000001978</v>
      </c>
      <c r="J423" s="235">
        <v>168.083</v>
      </c>
      <c r="K423" s="199">
        <v>44740.673611111109</v>
      </c>
      <c r="L423" s="235">
        <v>166.20400000000001</v>
      </c>
      <c r="M423" s="248">
        <f>ROUND(IF(C423="L",(L423-G423),(G423-L423)),4)</f>
        <v>-0.38700000000000001</v>
      </c>
      <c r="N423" s="249">
        <f>IFERROR(ROUND((M423/I423),2),"")</f>
        <v>-0.74</v>
      </c>
      <c r="O423" s="250">
        <f>IF(D423="O",IF(N423&lt;0,N423,0),0)</f>
        <v>0</v>
      </c>
      <c r="P423" s="251">
        <f>IF(N423&gt;= 0,N423,0)</f>
        <v>0</v>
      </c>
      <c r="Q423" s="251">
        <f>IF(N423&lt;0,N423,0)</f>
        <v>-0.74</v>
      </c>
      <c r="R4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38088</v>
      </c>
      <c r="T4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3" s="253">
        <f ca="1">IF(Tabla33610673[[#This Row],[Equity]]&lt;Tabla33610673[[#This Row],[Equity Peak]],(Tabla33610673[[#This Row],[Equity Peak]]-Tabla33610673[[#This Row],[Equity]])/Tabla33610673[[#This Row],[Equity Peak]],"")</f>
        <v>7.4012300635880332E-3</v>
      </c>
      <c r="V423" s="254">
        <f>IF(B423="FX",N423,0)</f>
        <v>-0.74</v>
      </c>
      <c r="W423" s="254">
        <f>IF(D423="O",IF(V423&lt;0,V423,0),0)</f>
        <v>0</v>
      </c>
      <c r="X423" s="254">
        <f>IF(B423="COM",N423,0)</f>
        <v>0</v>
      </c>
      <c r="Y423" s="254">
        <f>IF(D423="O",IF(X423&lt;0,X423,0),0)</f>
        <v>0</v>
      </c>
      <c r="Z423" s="254">
        <f>IF(B423="IND",N423,0)</f>
        <v>0</v>
      </c>
      <c r="AA423" s="250">
        <f>IF(D423="O",IF(Z423&lt;0,Z423,0),0)</f>
        <v>0</v>
      </c>
      <c r="AB423" s="254">
        <f>IF(B423="CRYPTO",N423,0)</f>
        <v>0</v>
      </c>
      <c r="AC423" s="250">
        <f>IF(D423="O",IF(AB423&lt;0,AB423,0),0)</f>
        <v>0</v>
      </c>
      <c r="AD423" s="255">
        <f>IF(K423&lt;&gt;"",K423-E423,0)</f>
        <v>0.26736111110949423</v>
      </c>
      <c r="AE423" s="255">
        <f>IF(N423&gt;0,AD423,0)</f>
        <v>0</v>
      </c>
      <c r="AF423" s="255">
        <f>IF(N423&lt;0,AD423,0)</f>
        <v>0.26736111110949423</v>
      </c>
      <c r="AG423" s="255">
        <f>IF(N423=0,AD423,0)</f>
        <v>0</v>
      </c>
    </row>
    <row r="424" spans="2:33" ht="15" customHeight="1" x14ac:dyDescent="0.3">
      <c r="B424" s="196" t="s">
        <v>7</v>
      </c>
      <c r="C424" s="197" t="s">
        <v>15</v>
      </c>
      <c r="D424" s="246" t="str">
        <f>IF(E424&lt;&gt;"",IF(K424&lt;&gt;"","C","O"),"")</f>
        <v>C</v>
      </c>
      <c r="E424" s="199">
        <v>44739.770833333336</v>
      </c>
      <c r="F424" s="200" t="s">
        <v>114</v>
      </c>
      <c r="G424" s="235">
        <v>1.0609599999999999</v>
      </c>
      <c r="H424" s="235">
        <v>1.0588</v>
      </c>
      <c r="I424" s="247">
        <f>ABS(G424-H424)</f>
        <v>2.1599999999999397E-3</v>
      </c>
      <c r="J424" s="235">
        <v>1.08036</v>
      </c>
      <c r="K424" s="199">
        <v>44739.834722222222</v>
      </c>
      <c r="L424" s="235">
        <v>1.0588</v>
      </c>
      <c r="M424" s="248">
        <f>ROUND(IF(C424="L",(L424-G424),(G424-L424)),4)</f>
        <v>-2.2000000000000001E-3</v>
      </c>
      <c r="N424" s="249">
        <f>IFERROR(ROUND((M424/I424),2),"")</f>
        <v>-1.02</v>
      </c>
      <c r="O424" s="250">
        <f>IF(D424="O",IF(N424&lt;0,N424,0),0)</f>
        <v>0</v>
      </c>
      <c r="P424" s="251">
        <f>IF(N424&gt;= 0,N424,0)</f>
        <v>0</v>
      </c>
      <c r="Q424" s="251">
        <f>IF(N424&lt;0,N424,0)</f>
        <v>-1.02</v>
      </c>
      <c r="R4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38162</v>
      </c>
      <c r="T4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4" s="253">
        <f ca="1">IF(Tabla33610673[[#This Row],[Equity]]&lt;Tabla33610673[[#This Row],[Equity Peak]],(Tabla33610673[[#This Row],[Equity Peak]]-Tabla33610673[[#This Row],[Equity]])/Tabla33610673[[#This Row],[Equity Peak]],"")</f>
        <v>5.4727405399770668E-3</v>
      </c>
      <c r="V424" s="254">
        <f>IF(B424="FX",N424,0)</f>
        <v>-1.02</v>
      </c>
      <c r="W424" s="254">
        <f>IF(D424="O",IF(V424&lt;0,V424,0),0)</f>
        <v>0</v>
      </c>
      <c r="X424" s="254">
        <f>IF(B424="COM",N424,0)</f>
        <v>0</v>
      </c>
      <c r="Y424" s="254">
        <f>IF(D424="O",IF(X424&lt;0,X424,0),0)</f>
        <v>0</v>
      </c>
      <c r="Z424" s="254">
        <f>IF(B424="IND",N424,0)</f>
        <v>0</v>
      </c>
      <c r="AA424" s="250">
        <f>IF(D424="O",IF(Z424&lt;0,Z424,0),0)</f>
        <v>0</v>
      </c>
      <c r="AB424" s="254">
        <f>IF(B424="CRYPTO",N424,0)</f>
        <v>0</v>
      </c>
      <c r="AC424" s="250">
        <f>IF(D424="O",IF(AB424&lt;0,AB424,0),0)</f>
        <v>0</v>
      </c>
      <c r="AD424" s="255">
        <f>IF(K424&lt;&gt;"",K424-E424,0)</f>
        <v>6.3888888886140194E-2</v>
      </c>
      <c r="AE424" s="255">
        <f>IF(N424&gt;0,AD424,0)</f>
        <v>0</v>
      </c>
      <c r="AF424" s="255">
        <f>IF(N424&lt;0,AD424,0)</f>
        <v>6.3888888886140194E-2</v>
      </c>
      <c r="AG424" s="255">
        <f>IF(N424=0,AD424,0)</f>
        <v>0</v>
      </c>
    </row>
    <row r="425" spans="2:33" ht="15" customHeight="1" x14ac:dyDescent="0.3">
      <c r="B425" s="196" t="s">
        <v>5</v>
      </c>
      <c r="C425" s="197" t="s">
        <v>15</v>
      </c>
      <c r="D425" s="246" t="str">
        <f>IF(E425&lt;&gt;"",IF(K425&lt;&gt;"","C","O"),"")</f>
        <v>C</v>
      </c>
      <c r="E425" s="199">
        <v>44736.697916666664</v>
      </c>
      <c r="F425" s="200" t="s">
        <v>92</v>
      </c>
      <c r="G425" s="235">
        <v>11918.79</v>
      </c>
      <c r="H425" s="235">
        <v>11882.63</v>
      </c>
      <c r="I425" s="247">
        <f>ABS(G425-H425)</f>
        <v>36.160000000001673</v>
      </c>
      <c r="J425" s="235">
        <v>12593.76</v>
      </c>
      <c r="K425" s="199">
        <v>44739.689583333333</v>
      </c>
      <c r="L425" s="235">
        <v>12081.54</v>
      </c>
      <c r="M425" s="248">
        <f>ROUND(IF(C425="L",(L425-G425),(G425-L425)),4)</f>
        <v>162.75</v>
      </c>
      <c r="N425" s="249">
        <f>IFERROR(ROUND((M425/I425),2),"")</f>
        <v>4.5</v>
      </c>
      <c r="O425" s="250">
        <f>IF(D425="O",IF(N425&lt;0,N425,0),0)</f>
        <v>0</v>
      </c>
      <c r="P425" s="251">
        <f>IF(N425&gt;= 0,N425,0)</f>
        <v>4.5</v>
      </c>
      <c r="Q425" s="251">
        <f>IF(N425&lt;0,N425,0)</f>
        <v>0</v>
      </c>
      <c r="R4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38264</v>
      </c>
      <c r="T4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5" s="253">
        <f ca="1">IF(Tabla33610673[[#This Row],[Equity]]&lt;Tabla33610673[[#This Row],[Equity Peak]],(Tabla33610673[[#This Row],[Equity Peak]]-Tabla33610673[[#This Row],[Equity]])/Tabla33610673[[#This Row],[Equity Peak]],"")</f>
        <v>2.8145522777024913E-3</v>
      </c>
      <c r="V425" s="254">
        <f>IF(B425="FX",N425,0)</f>
        <v>0</v>
      </c>
      <c r="W425" s="254">
        <f>IF(D425="O",IF(V425&lt;0,V425,0),0)</f>
        <v>0</v>
      </c>
      <c r="X425" s="254">
        <f>IF(B425="COM",N425,0)</f>
        <v>0</v>
      </c>
      <c r="Y425" s="254">
        <f>IF(D425="O",IF(X425&lt;0,X425,0),0)</f>
        <v>0</v>
      </c>
      <c r="Z425" s="254">
        <f>IF(B425="IND",N425,0)</f>
        <v>4.5</v>
      </c>
      <c r="AA425" s="250">
        <f>IF(D425="O",IF(Z425&lt;0,Z425,0),0)</f>
        <v>0</v>
      </c>
      <c r="AB425" s="254">
        <f>IF(B425="CRYPTO",N425,0)</f>
        <v>0</v>
      </c>
      <c r="AC425" s="250">
        <f>IF(D425="O",IF(AB425&lt;0,AB425,0),0)</f>
        <v>0</v>
      </c>
      <c r="AD425" s="255">
        <f>IF(K425&lt;&gt;"",K425-E425,0)</f>
        <v>2.9916666666686069</v>
      </c>
      <c r="AE425" s="255">
        <f>IF(N425&gt;0,AD425,0)</f>
        <v>2.9916666666686069</v>
      </c>
      <c r="AF425" s="255">
        <f>IF(N425&lt;0,AD425,0)</f>
        <v>0</v>
      </c>
      <c r="AG425" s="255">
        <f>IF(N425=0,AD425,0)</f>
        <v>0</v>
      </c>
    </row>
    <row r="426" spans="2:33" ht="15" customHeight="1" x14ac:dyDescent="0.3">
      <c r="B426" s="196" t="s">
        <v>7</v>
      </c>
      <c r="C426" s="197" t="s">
        <v>15</v>
      </c>
      <c r="D426" s="246" t="str">
        <f>IF(E426&lt;&gt;"",IF(K426&lt;&gt;"","C","O"),"")</f>
        <v>C</v>
      </c>
      <c r="E426" s="199">
        <v>44739.4375</v>
      </c>
      <c r="F426" s="200" t="s">
        <v>115</v>
      </c>
      <c r="G426" s="235">
        <v>166.46199999999999</v>
      </c>
      <c r="H426" s="235">
        <v>165.84299999999999</v>
      </c>
      <c r="I426" s="247">
        <f>ABS(G426-H426)</f>
        <v>0.61899999999999977</v>
      </c>
      <c r="J426" s="235">
        <v>168.23</v>
      </c>
      <c r="K426" s="199">
        <v>44739.654861111114</v>
      </c>
      <c r="L426" s="235">
        <v>165.84299999999999</v>
      </c>
      <c r="M426" s="248">
        <f>ROUND(IF(C426="L",(L426-G426),(G426-L426)),4)</f>
        <v>-0.61899999999999999</v>
      </c>
      <c r="N426" s="249">
        <f>IFERROR(ROUND((M426/I426),2),"")</f>
        <v>-1</v>
      </c>
      <c r="O426" s="250">
        <f>IF(D426="O",IF(N426&lt;0,N426,0),0)</f>
        <v>0</v>
      </c>
      <c r="P426" s="251">
        <f>IF(N426&gt;= 0,N426,0)</f>
        <v>0</v>
      </c>
      <c r="Q426" s="251">
        <f>IF(N426&lt;0,N426,0)</f>
        <v>-1</v>
      </c>
      <c r="R4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37814</v>
      </c>
      <c r="T4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6" s="253">
        <f ca="1">IF(Tabla33610673[[#This Row],[Equity]]&lt;Tabla33610673[[#This Row],[Equity Peak]],(Tabla33610673[[#This Row],[Equity Peak]]-Tabla33610673[[#This Row],[Equity]])/Tabla33610673[[#This Row],[Equity Peak]],"")</f>
        <v>1.4541853434796206E-2</v>
      </c>
      <c r="V426" s="254">
        <f>IF(B426="FX",N426,0)</f>
        <v>-1</v>
      </c>
      <c r="W426" s="254">
        <f>IF(D426="O",IF(V426&lt;0,V426,0),0)</f>
        <v>0</v>
      </c>
      <c r="X426" s="254">
        <f>IF(B426="COM",N426,0)</f>
        <v>0</v>
      </c>
      <c r="Y426" s="254">
        <f>IF(D426="O",IF(X426&lt;0,X426,0),0)</f>
        <v>0</v>
      </c>
      <c r="Z426" s="254">
        <f>IF(B426="IND",N426,0)</f>
        <v>0</v>
      </c>
      <c r="AA426" s="250">
        <f>IF(D426="O",IF(Z426&lt;0,Z426,0),0)</f>
        <v>0</v>
      </c>
      <c r="AB426" s="254">
        <f>IF(B426="CRYPTO",N426,0)</f>
        <v>0</v>
      </c>
      <c r="AC426" s="250">
        <f>IF(D426="O",IF(AB426&lt;0,AB426,0),0)</f>
        <v>0</v>
      </c>
      <c r="AD426" s="255">
        <f>IF(K426&lt;&gt;"",K426-E426,0)</f>
        <v>0.21736111111385981</v>
      </c>
      <c r="AE426" s="255">
        <f>IF(N426&gt;0,AD426,0)</f>
        <v>0</v>
      </c>
      <c r="AF426" s="255">
        <f>IF(N426&lt;0,AD426,0)</f>
        <v>0.21736111111385981</v>
      </c>
      <c r="AG426" s="255">
        <f>IF(N426=0,AD426,0)</f>
        <v>0</v>
      </c>
    </row>
    <row r="427" spans="2:33" ht="15" customHeight="1" x14ac:dyDescent="0.3">
      <c r="B427" s="196" t="s">
        <v>5</v>
      </c>
      <c r="C427" s="197" t="s">
        <v>15</v>
      </c>
      <c r="D427" s="246" t="str">
        <f>IF(E427&lt;&gt;"",IF(K427&lt;&gt;"","C","O"),"")</f>
        <v>C</v>
      </c>
      <c r="E427" s="199">
        <v>44736.208333333336</v>
      </c>
      <c r="F427" s="200" t="s">
        <v>93</v>
      </c>
      <c r="G427" s="235">
        <v>11741.84</v>
      </c>
      <c r="H427" s="235">
        <v>11690.88</v>
      </c>
      <c r="I427" s="247">
        <f>ABS(G427-H427)</f>
        <v>50.960000000000946</v>
      </c>
      <c r="J427" s="235">
        <v>12285.44</v>
      </c>
      <c r="K427" s="199">
        <v>44739.647222222222</v>
      </c>
      <c r="L427" s="235">
        <v>12128.46</v>
      </c>
      <c r="M427" s="248">
        <f>ROUND(IF(C427="L",(L427-G427),(G427-L427)),4)</f>
        <v>386.62</v>
      </c>
      <c r="N427" s="249">
        <f>IFERROR(ROUND((M427/I427),2),"")</f>
        <v>7.59</v>
      </c>
      <c r="O427" s="250">
        <f>IF(D427="O",IF(N427&lt;0,N427,0),0)</f>
        <v>0</v>
      </c>
      <c r="P427" s="251">
        <f>IF(N427&gt;= 0,N427,0)</f>
        <v>7.59</v>
      </c>
      <c r="Q427" s="251">
        <f>IF(N427&lt;0,N427,0)</f>
        <v>0</v>
      </c>
      <c r="R4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37914</v>
      </c>
      <c r="T4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7" s="253">
        <f ca="1">IF(Tabla33610673[[#This Row],[Equity]]&lt;Tabla33610673[[#This Row],[Equity Peak]],(Tabla33610673[[#This Row],[Equity Peak]]-Tabla33610673[[#This Row],[Equity]])/Tabla33610673[[#This Row],[Equity Peak]],"")</f>
        <v>1.1935786510997602E-2</v>
      </c>
      <c r="V427" s="254">
        <f>IF(B427="FX",N427,0)</f>
        <v>0</v>
      </c>
      <c r="W427" s="254">
        <f>IF(D427="O",IF(V427&lt;0,V427,0),0)</f>
        <v>0</v>
      </c>
      <c r="X427" s="254">
        <f>IF(B427="COM",N427,0)</f>
        <v>0</v>
      </c>
      <c r="Y427" s="254">
        <f>IF(D427="O",IF(X427&lt;0,X427,0),0)</f>
        <v>0</v>
      </c>
      <c r="Z427" s="254">
        <f>IF(B427="IND",N427,0)</f>
        <v>7.59</v>
      </c>
      <c r="AA427" s="250">
        <f>IF(D427="O",IF(Z427&lt;0,Z427,0),0)</f>
        <v>0</v>
      </c>
      <c r="AB427" s="254">
        <f>IF(B427="CRYPTO",N427,0)</f>
        <v>0</v>
      </c>
      <c r="AC427" s="250">
        <f>IF(D427="O",IF(AB427&lt;0,AB427,0),0)</f>
        <v>0</v>
      </c>
      <c r="AD427" s="255">
        <f>IF(K427&lt;&gt;"",K427-E427,0)</f>
        <v>3.4388888888861402</v>
      </c>
      <c r="AE427" s="255">
        <f>IF(N427&gt;0,AD427,0)</f>
        <v>3.4388888888861402</v>
      </c>
      <c r="AF427" s="255">
        <f>IF(N427&lt;0,AD427,0)</f>
        <v>0</v>
      </c>
      <c r="AG427" s="255">
        <f>IF(N427=0,AD427,0)</f>
        <v>0</v>
      </c>
    </row>
    <row r="428" spans="2:33" ht="15" customHeight="1" x14ac:dyDescent="0.3">
      <c r="B428" s="196" t="s">
        <v>5</v>
      </c>
      <c r="C428" s="197" t="s">
        <v>13</v>
      </c>
      <c r="D428" s="246" t="str">
        <f>IF(E428&lt;&gt;"",IF(K428&lt;&gt;"","C","O"),"")</f>
        <v>C</v>
      </c>
      <c r="E428" s="199">
        <v>44735.802083333336</v>
      </c>
      <c r="F428" s="200" t="s">
        <v>91</v>
      </c>
      <c r="G428" s="235">
        <v>12881.97</v>
      </c>
      <c r="H428" s="235">
        <v>12923.19</v>
      </c>
      <c r="I428" s="247">
        <f>ABS(G428-H428)</f>
        <v>41.220000000001164</v>
      </c>
      <c r="J428" s="235">
        <v>12112.51</v>
      </c>
      <c r="K428" s="199">
        <v>44735.898611111108</v>
      </c>
      <c r="L428" s="235">
        <v>12918.43</v>
      </c>
      <c r="M428" s="248">
        <f>ROUND(IF(C428="L",(L428-G428),(G428-L428)),4)</f>
        <v>-36.46</v>
      </c>
      <c r="N428" s="249">
        <f>IFERROR(ROUND((M428/I428),2),"")</f>
        <v>-0.88</v>
      </c>
      <c r="O428" s="250">
        <f>IF(D428="O",IF(N428&lt;0,N428,0),0)</f>
        <v>0</v>
      </c>
      <c r="P428" s="251">
        <f>IF(N428&gt;= 0,N428,0)</f>
        <v>0</v>
      </c>
      <c r="Q428" s="251">
        <f>IF(N428&lt;0,N428,0)</f>
        <v>-0.88</v>
      </c>
      <c r="R4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37155</v>
      </c>
      <c r="T4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8" s="253">
        <f ca="1">IF(Tabla33610673[[#This Row],[Equity]]&lt;Tabla33610673[[#This Row],[Equity Peak]],(Tabla33610673[[#This Row],[Equity Peak]]-Tabla33610673[[#This Row],[Equity]])/Tabla33610673[[#This Row],[Equity Peak]],"")</f>
        <v>3.1715834462629003E-2</v>
      </c>
      <c r="V428" s="254">
        <f>IF(B428="FX",N428,0)</f>
        <v>0</v>
      </c>
      <c r="W428" s="254">
        <f>IF(D428="O",IF(V428&lt;0,V428,0),0)</f>
        <v>0</v>
      </c>
      <c r="X428" s="254">
        <f>IF(B428="COM",N428,0)</f>
        <v>0</v>
      </c>
      <c r="Y428" s="254">
        <f>IF(D428="O",IF(X428&lt;0,X428,0),0)</f>
        <v>0</v>
      </c>
      <c r="Z428" s="254">
        <f>IF(B428="IND",N428,0)</f>
        <v>-0.88</v>
      </c>
      <c r="AA428" s="250">
        <f>IF(D428="O",IF(Z428&lt;0,Z428,0),0)</f>
        <v>0</v>
      </c>
      <c r="AB428" s="254">
        <f>IF(B428="CRYPTO",N428,0)</f>
        <v>0</v>
      </c>
      <c r="AC428" s="250">
        <f>IF(D428="O",IF(AB428&lt;0,AB428,0),0)</f>
        <v>0</v>
      </c>
      <c r="AD428" s="255">
        <f>IF(K428&lt;&gt;"",K428-E428,0)</f>
        <v>9.6527777772280388E-2</v>
      </c>
      <c r="AE428" s="255">
        <f>IF(N428&gt;0,AD428,0)</f>
        <v>0</v>
      </c>
      <c r="AF428" s="255">
        <f>IF(N428&lt;0,AD428,0)</f>
        <v>9.6527777772280388E-2</v>
      </c>
      <c r="AG428" s="255">
        <f>IF(N428=0,AD428,0)</f>
        <v>0</v>
      </c>
    </row>
    <row r="429" spans="2:33" ht="15" customHeight="1" x14ac:dyDescent="0.3">
      <c r="B429" s="196" t="s">
        <v>7</v>
      </c>
      <c r="C429" s="197" t="s">
        <v>13</v>
      </c>
      <c r="D429" s="246" t="str">
        <f>IF(E429&lt;&gt;"",IF(K429&lt;&gt;"","C","O"),"")</f>
        <v>C</v>
      </c>
      <c r="E429" s="199">
        <v>44735.4375</v>
      </c>
      <c r="F429" s="200" t="s">
        <v>115</v>
      </c>
      <c r="G429" s="235">
        <v>165.52</v>
      </c>
      <c r="H429" s="235">
        <v>166.227</v>
      </c>
      <c r="I429" s="247">
        <f>ABS(G429-H429)</f>
        <v>0.70699999999999363</v>
      </c>
      <c r="J429" s="235">
        <v>163.5</v>
      </c>
      <c r="K429" s="199">
        <v>44735.615277777775</v>
      </c>
      <c r="L429" s="235">
        <v>165.64400000000001</v>
      </c>
      <c r="M429" s="248">
        <f>ROUND(IF(C429="L",(L429-G429),(G429-L429)),4)</f>
        <v>-0.124</v>
      </c>
      <c r="N429" s="249">
        <f>IFERROR(ROUND((M429/I429),2),"")</f>
        <v>-0.18</v>
      </c>
      <c r="O429" s="250">
        <f>IF(D429="O",IF(N429&lt;0,N429,0),0)</f>
        <v>0</v>
      </c>
      <c r="P429" s="251">
        <f>IF(N429&gt;= 0,N429,0)</f>
        <v>0</v>
      </c>
      <c r="Q429" s="251">
        <f>IF(N429&lt;0,N429,0)</f>
        <v>-0.18</v>
      </c>
      <c r="R4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37243</v>
      </c>
      <c r="T4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29" s="253">
        <f ca="1">IF(Tabla33610673[[#This Row],[Equity]]&lt;Tabla33610673[[#This Row],[Equity Peak]],(Tabla33610673[[#This Row],[Equity Peak]]-Tabla33610673[[#This Row],[Equity]])/Tabla33610673[[#This Row],[Equity Peak]],"")</f>
        <v>2.9422495569686229E-2</v>
      </c>
      <c r="V429" s="254">
        <f>IF(B429="FX",N429,0)</f>
        <v>-0.18</v>
      </c>
      <c r="W429" s="254">
        <f>IF(D429="O",IF(V429&lt;0,V429,0),0)</f>
        <v>0</v>
      </c>
      <c r="X429" s="254">
        <f>IF(B429="COM",N429,0)</f>
        <v>0</v>
      </c>
      <c r="Y429" s="254">
        <f>IF(D429="O",IF(X429&lt;0,X429,0),0)</f>
        <v>0</v>
      </c>
      <c r="Z429" s="254">
        <f>IF(B429="IND",N429,0)</f>
        <v>0</v>
      </c>
      <c r="AA429" s="250">
        <f>IF(D429="O",IF(Z429&lt;0,Z429,0),0)</f>
        <v>0</v>
      </c>
      <c r="AB429" s="254">
        <f>IF(B429="CRYPTO",N429,0)</f>
        <v>0</v>
      </c>
      <c r="AC429" s="250">
        <f>IF(D429="O",IF(AB429&lt;0,AB429,0),0)</f>
        <v>0</v>
      </c>
      <c r="AD429" s="255">
        <f>IF(K429&lt;&gt;"",K429-E429,0)</f>
        <v>0.17777777777519077</v>
      </c>
      <c r="AE429" s="255">
        <f>IF(N429&gt;0,AD429,0)</f>
        <v>0</v>
      </c>
      <c r="AF429" s="255">
        <f>IF(N429&lt;0,AD429,0)</f>
        <v>0.17777777777519077</v>
      </c>
      <c r="AG429" s="255">
        <f>IF(N429=0,AD429,0)</f>
        <v>0</v>
      </c>
    </row>
    <row r="430" spans="2:33" ht="15" customHeight="1" x14ac:dyDescent="0.3">
      <c r="B430" s="196" t="s">
        <v>7</v>
      </c>
      <c r="C430" s="197" t="s">
        <v>15</v>
      </c>
      <c r="D430" s="246" t="str">
        <f>IF(E430&lt;&gt;"",IF(K430&lt;&gt;"","C","O"),"")</f>
        <v>C</v>
      </c>
      <c r="E430" s="199">
        <v>44733.583333333336</v>
      </c>
      <c r="F430" s="200" t="s">
        <v>116</v>
      </c>
      <c r="G430" s="235">
        <v>135.804</v>
      </c>
      <c r="H430" s="235">
        <v>135.38499999999999</v>
      </c>
      <c r="I430" s="247">
        <f>ABS(G430-H430)</f>
        <v>0.41900000000001114</v>
      </c>
      <c r="J430" s="235">
        <v>140.16499999999999</v>
      </c>
      <c r="K430" s="199">
        <v>44734.529861111114</v>
      </c>
      <c r="L430" s="235">
        <v>135.99799999999999</v>
      </c>
      <c r="M430" s="248">
        <f>ROUND(IF(C430="L",(L430-G430),(G430-L430)),4)</f>
        <v>0.19400000000000001</v>
      </c>
      <c r="N430" s="249">
        <f>IFERROR(ROUND((M430/I430),2),"")</f>
        <v>0.46</v>
      </c>
      <c r="O430" s="250">
        <f>IF(D430="O",IF(N430&lt;0,N430,0),0)</f>
        <v>0</v>
      </c>
      <c r="P430" s="251">
        <f>IF(N430&gt;= 0,N430,0)</f>
        <v>0.46</v>
      </c>
      <c r="Q430" s="251">
        <f>IF(N430&lt;0,N430,0)</f>
        <v>0</v>
      </c>
      <c r="R4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37261</v>
      </c>
      <c r="T4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0" s="253">
        <f ca="1">IF(Tabla33610673[[#This Row],[Equity]]&lt;Tabla33610673[[#This Row],[Equity Peak]],(Tabla33610673[[#This Row],[Equity Peak]]-Tabla33610673[[#This Row],[Equity]])/Tabla33610673[[#This Row],[Equity Peak]],"")</f>
        <v>2.895340352340248E-2</v>
      </c>
      <c r="V430" s="254">
        <f>IF(B430="FX",N430,0)</f>
        <v>0.46</v>
      </c>
      <c r="W430" s="254">
        <f>IF(D430="O",IF(V430&lt;0,V430,0),0)</f>
        <v>0</v>
      </c>
      <c r="X430" s="254">
        <f>IF(B430="COM",N430,0)</f>
        <v>0</v>
      </c>
      <c r="Y430" s="254">
        <f>IF(D430="O",IF(X430&lt;0,X430,0),0)</f>
        <v>0</v>
      </c>
      <c r="Z430" s="254">
        <f>IF(B430="IND",N430,0)</f>
        <v>0</v>
      </c>
      <c r="AA430" s="250">
        <f>IF(D430="O",IF(Z430&lt;0,Z430,0),0)</f>
        <v>0</v>
      </c>
      <c r="AB430" s="254">
        <f>IF(B430="CRYPTO",N430,0)</f>
        <v>0</v>
      </c>
      <c r="AC430" s="250">
        <f>IF(D430="O",IF(AB430&lt;0,AB430,0),0)</f>
        <v>0</v>
      </c>
      <c r="AD430" s="255">
        <f>IF(K430&lt;&gt;"",K430-E430,0)</f>
        <v>0.94652777777810115</v>
      </c>
      <c r="AE430" s="255">
        <f>IF(N430&gt;0,AD430,0)</f>
        <v>0.94652777777810115</v>
      </c>
      <c r="AF430" s="255">
        <f>IF(N430&lt;0,AD430,0)</f>
        <v>0</v>
      </c>
      <c r="AG430" s="255">
        <f>IF(N430=0,AD430,0)</f>
        <v>0</v>
      </c>
    </row>
    <row r="431" spans="2:33" ht="15" customHeight="1" x14ac:dyDescent="0.3">
      <c r="B431" s="196" t="s">
        <v>7</v>
      </c>
      <c r="C431" s="197" t="s">
        <v>15</v>
      </c>
      <c r="D431" s="246" t="str">
        <f>IF(E431&lt;&gt;"",IF(K431&lt;&gt;"","C","O"),"")</f>
        <v>C</v>
      </c>
      <c r="E431" s="199">
        <v>44733.145833333336</v>
      </c>
      <c r="F431" s="200" t="s">
        <v>115</v>
      </c>
      <c r="G431" s="235">
        <v>165.71899999999999</v>
      </c>
      <c r="H431" s="235">
        <v>165.00800000000001</v>
      </c>
      <c r="I431" s="247">
        <f>ABS(G431-H431)</f>
        <v>0.71099999999998431</v>
      </c>
      <c r="J431" s="235">
        <v>167.751</v>
      </c>
      <c r="K431" s="199">
        <v>44733.991666666669</v>
      </c>
      <c r="L431" s="235">
        <v>167.751</v>
      </c>
      <c r="M431" s="248">
        <f>ROUND(IF(C431="L",(L431-G431),(G431-L431)),4)</f>
        <v>2.032</v>
      </c>
      <c r="N431" s="249">
        <f>IFERROR(ROUND((M431/I431),2),"")</f>
        <v>2.86</v>
      </c>
      <c r="O431" s="250">
        <f>IF(D431="O",IF(N431&lt;0,N431,0),0)</f>
        <v>0</v>
      </c>
      <c r="P431" s="251">
        <f>IF(N431&gt;= 0,N431,0)</f>
        <v>2.86</v>
      </c>
      <c r="Q431" s="251">
        <f>IF(N431&lt;0,N431,0)</f>
        <v>0</v>
      </c>
      <c r="R4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37215</v>
      </c>
      <c r="T4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1" s="253">
        <f ca="1">IF(Tabla33610673[[#This Row],[Equity]]&lt;Tabla33610673[[#This Row],[Equity Peak]],(Tabla33610673[[#This Row],[Equity Peak]]-Tabla33610673[[#This Row],[Equity]])/Tabla33610673[[#This Row],[Equity Peak]],"")</f>
        <v>3.0152194308349839E-2</v>
      </c>
      <c r="V431" s="254">
        <f>IF(B431="FX",N431,0)</f>
        <v>2.86</v>
      </c>
      <c r="W431" s="254">
        <f>IF(D431="O",IF(V431&lt;0,V431,0),0)</f>
        <v>0</v>
      </c>
      <c r="X431" s="254">
        <f>IF(B431="COM",N431,0)</f>
        <v>0</v>
      </c>
      <c r="Y431" s="254">
        <f>IF(D431="O",IF(X431&lt;0,X431,0),0)</f>
        <v>0</v>
      </c>
      <c r="Z431" s="254">
        <f>IF(B431="IND",N431,0)</f>
        <v>0</v>
      </c>
      <c r="AA431" s="250">
        <f>IF(D431="O",IF(Z431&lt;0,Z431,0),0)</f>
        <v>0</v>
      </c>
      <c r="AB431" s="254">
        <f>IF(B431="CRYPTO",N431,0)</f>
        <v>0</v>
      </c>
      <c r="AC431" s="250">
        <f>IF(D431="O",IF(AB431&lt;0,AB431,0),0)</f>
        <v>0</v>
      </c>
      <c r="AD431" s="255">
        <f>IF(K431&lt;&gt;"",K431-E431,0)</f>
        <v>0.84583333333284827</v>
      </c>
      <c r="AE431" s="255">
        <f>IF(N431&gt;0,AD431,0)</f>
        <v>0.84583333333284827</v>
      </c>
      <c r="AF431" s="255">
        <f>IF(N431&lt;0,AD431,0)</f>
        <v>0</v>
      </c>
      <c r="AG431" s="255">
        <f>IF(N431=0,AD431,0)</f>
        <v>0</v>
      </c>
    </row>
    <row r="432" spans="2:33" ht="15" customHeight="1" x14ac:dyDescent="0.3">
      <c r="B432" s="196" t="s">
        <v>7</v>
      </c>
      <c r="C432" s="197" t="s">
        <v>15</v>
      </c>
      <c r="D432" s="246" t="str">
        <f>IF(E432&lt;&gt;"",IF(K432&lt;&gt;"","C","O"),"")</f>
        <v>C</v>
      </c>
      <c r="E432" s="199">
        <v>44729.489583333336</v>
      </c>
      <c r="F432" s="200" t="s">
        <v>115</v>
      </c>
      <c r="G432" s="235">
        <v>165.786</v>
      </c>
      <c r="H432" s="235">
        <v>164.58099999999999</v>
      </c>
      <c r="I432" s="247">
        <f>ABS(G432-H432)</f>
        <v>1.2050000000000125</v>
      </c>
      <c r="J432" s="235">
        <v>169.22800000000001</v>
      </c>
      <c r="K432" s="199">
        <v>44729.675000000003</v>
      </c>
      <c r="L432" s="235">
        <v>164.7</v>
      </c>
      <c r="M432" s="248">
        <f>ROUND(IF(C432="L",(L432-G432),(G432-L432)),4)</f>
        <v>-1.0860000000000001</v>
      </c>
      <c r="N432" s="249">
        <f>IFERROR(ROUND((M432/I432),2),"")</f>
        <v>-0.9</v>
      </c>
      <c r="O432" s="250">
        <f>IF(D432="O",IF(N432&lt;0,N432,0),0)</f>
        <v>0</v>
      </c>
      <c r="P432" s="251">
        <f>IF(N432&gt;= 0,N432,0)</f>
        <v>0</v>
      </c>
      <c r="Q432" s="251">
        <f>IF(N432&lt;0,N432,0)</f>
        <v>-0.9</v>
      </c>
      <c r="R4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36929</v>
      </c>
      <c r="T4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2" s="253">
        <f ca="1">IF(Tabla33610673[[#This Row],[Equity]]&lt;Tabla33610673[[#This Row],[Equity Peak]],(Tabla33610673[[#This Row],[Equity Peak]]-Tabla33610673[[#This Row],[Equity]])/Tabla33610673[[#This Row],[Equity Peak]],"")</f>
        <v>3.7605545710413843E-2</v>
      </c>
      <c r="V432" s="254">
        <f>IF(B432="FX",N432,0)</f>
        <v>-0.9</v>
      </c>
      <c r="W432" s="254">
        <f>IF(D432="O",IF(V432&lt;0,V432,0),0)</f>
        <v>0</v>
      </c>
      <c r="X432" s="254">
        <f>IF(B432="COM",N432,0)</f>
        <v>0</v>
      </c>
      <c r="Y432" s="254">
        <f>IF(D432="O",IF(X432&lt;0,X432,0),0)</f>
        <v>0</v>
      </c>
      <c r="Z432" s="254">
        <f>IF(B432="IND",N432,0)</f>
        <v>0</v>
      </c>
      <c r="AA432" s="250">
        <f>IF(D432="O",IF(Z432&lt;0,Z432,0),0)</f>
        <v>0</v>
      </c>
      <c r="AB432" s="254">
        <f>IF(B432="CRYPTO",N432,0)</f>
        <v>0</v>
      </c>
      <c r="AC432" s="250">
        <f>IF(D432="O",IF(AB432&lt;0,AB432,0),0)</f>
        <v>0</v>
      </c>
      <c r="AD432" s="255">
        <f>IF(K432&lt;&gt;"",K432-E432,0)</f>
        <v>0.18541666666715173</v>
      </c>
      <c r="AE432" s="255">
        <f>IF(N432&gt;0,AD432,0)</f>
        <v>0</v>
      </c>
      <c r="AF432" s="255">
        <f>IF(N432&lt;0,AD432,0)</f>
        <v>0.18541666666715173</v>
      </c>
      <c r="AG432" s="255">
        <f>IF(N432=0,AD432,0)</f>
        <v>0</v>
      </c>
    </row>
    <row r="433" spans="2:33" ht="15" customHeight="1" x14ac:dyDescent="0.3">
      <c r="B433" s="196" t="s">
        <v>5</v>
      </c>
      <c r="C433" s="197" t="s">
        <v>13</v>
      </c>
      <c r="D433" s="246" t="str">
        <f>IF(E433&lt;&gt;"",IF(K433&lt;&gt;"","C","O"),"")</f>
        <v>C</v>
      </c>
      <c r="E433" s="199">
        <v>44728.5</v>
      </c>
      <c r="F433" s="200" t="s">
        <v>91</v>
      </c>
      <c r="G433" s="235">
        <v>13149.91</v>
      </c>
      <c r="H433" s="235">
        <v>13208.97</v>
      </c>
      <c r="I433" s="247">
        <f>ABS(G433-H433)</f>
        <v>59.059999999999491</v>
      </c>
      <c r="J433" s="235">
        <v>12047.41</v>
      </c>
      <c r="K433" s="199">
        <v>44729.306944444441</v>
      </c>
      <c r="L433" s="235">
        <v>13152.09</v>
      </c>
      <c r="M433" s="248">
        <f>ROUND(IF(C433="L",(L433-G433),(G433-L433)),4)</f>
        <v>-2.1800000000000002</v>
      </c>
      <c r="N433" s="249">
        <f>IFERROR(ROUND((M433/I433),2),"")</f>
        <v>-0.04</v>
      </c>
      <c r="O433" s="250">
        <f>IF(D433="O",IF(N433&lt;0,N433,0),0)</f>
        <v>0</v>
      </c>
      <c r="P433" s="251">
        <f>IF(N433&gt;= 0,N433,0)</f>
        <v>0</v>
      </c>
      <c r="Q433" s="251">
        <f>IF(N433&lt;0,N433,0)</f>
        <v>-0.04</v>
      </c>
      <c r="R4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37019</v>
      </c>
      <c r="T4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3" s="253">
        <f ca="1">IF(Tabla33610673[[#This Row],[Equity]]&lt;Tabla33610673[[#This Row],[Equity Peak]],(Tabla33610673[[#This Row],[Equity Peak]]-Tabla33610673[[#This Row],[Equity]])/Tabla33610673[[#This Row],[Equity Peak]],"")</f>
        <v>3.5260085478995104E-2</v>
      </c>
      <c r="V433" s="254">
        <f>IF(B433="FX",N433,0)</f>
        <v>0</v>
      </c>
      <c r="W433" s="254">
        <f>IF(D433="O",IF(V433&lt;0,V433,0),0)</f>
        <v>0</v>
      </c>
      <c r="X433" s="254">
        <f>IF(B433="COM",N433,0)</f>
        <v>0</v>
      </c>
      <c r="Y433" s="254">
        <f>IF(D433="O",IF(X433&lt;0,X433,0),0)</f>
        <v>0</v>
      </c>
      <c r="Z433" s="254">
        <f>IF(B433="IND",N433,0)</f>
        <v>-0.04</v>
      </c>
      <c r="AA433" s="250">
        <f>IF(D433="O",IF(Z433&lt;0,Z433,0),0)</f>
        <v>0</v>
      </c>
      <c r="AB433" s="254">
        <f>IF(B433="CRYPTO",N433,0)</f>
        <v>0</v>
      </c>
      <c r="AC433" s="250">
        <f>IF(D433="O",IF(AB433&lt;0,AB433,0),0)</f>
        <v>0</v>
      </c>
      <c r="AD433" s="255">
        <f>IF(K433&lt;&gt;"",K433-E433,0)</f>
        <v>0.80694444444088731</v>
      </c>
      <c r="AE433" s="255">
        <f>IF(N433&gt;0,AD433,0)</f>
        <v>0</v>
      </c>
      <c r="AF433" s="255">
        <f>IF(N433&lt;0,AD433,0)</f>
        <v>0.80694444444088731</v>
      </c>
      <c r="AG433" s="255">
        <f>IF(N433=0,AD433,0)</f>
        <v>0</v>
      </c>
    </row>
    <row r="434" spans="2:33" ht="15" customHeight="1" x14ac:dyDescent="0.3">
      <c r="B434" s="196" t="s">
        <v>5</v>
      </c>
      <c r="C434" s="197" t="s">
        <v>13</v>
      </c>
      <c r="D434" s="246" t="str">
        <f>IF(E434&lt;&gt;"",IF(K434&lt;&gt;"","C","O"),"")</f>
        <v>C</v>
      </c>
      <c r="E434" s="199">
        <v>44728.71875</v>
      </c>
      <c r="F434" s="200" t="s">
        <v>92</v>
      </c>
      <c r="G434" s="235">
        <v>11167.28</v>
      </c>
      <c r="H434" s="235">
        <v>11241.23</v>
      </c>
      <c r="I434" s="247">
        <f>ABS(G434-H434)</f>
        <v>73.949999999998909</v>
      </c>
      <c r="J434" s="235">
        <v>9786.86</v>
      </c>
      <c r="K434" s="199">
        <v>44729.304166666669</v>
      </c>
      <c r="L434" s="235">
        <v>11234.03</v>
      </c>
      <c r="M434" s="248">
        <f>ROUND(IF(C434="L",(L434-G434),(G434-L434)),4)</f>
        <v>-66.75</v>
      </c>
      <c r="N434" s="249">
        <f>IFERROR(ROUND((M434/I434),2),"")</f>
        <v>-0.9</v>
      </c>
      <c r="O434" s="250">
        <f>IF(D434="O",IF(N434&lt;0,N434,0),0)</f>
        <v>0</v>
      </c>
      <c r="P434" s="251">
        <f>IF(N434&gt;= 0,N434,0)</f>
        <v>0</v>
      </c>
      <c r="Q434" s="251">
        <f>IF(N434&lt;0,N434,0)</f>
        <v>-0.9</v>
      </c>
      <c r="R4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37023</v>
      </c>
      <c r="T4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4" s="253">
        <f ca="1">IF(Tabla33610673[[#This Row],[Equity]]&lt;Tabla33610673[[#This Row],[Equity Peak]],(Tabla33610673[[#This Row],[Equity Peak]]-Tabla33610673[[#This Row],[Equity]])/Tabla33610673[[#This Row],[Equity Peak]],"")</f>
        <v>3.5155842802043154E-2</v>
      </c>
      <c r="V434" s="254">
        <f>IF(B434="FX",N434,0)</f>
        <v>0</v>
      </c>
      <c r="W434" s="254">
        <f>IF(D434="O",IF(V434&lt;0,V434,0),0)</f>
        <v>0</v>
      </c>
      <c r="X434" s="254">
        <f>IF(B434="COM",N434,0)</f>
        <v>0</v>
      </c>
      <c r="Y434" s="254">
        <f>IF(D434="O",IF(X434&lt;0,X434,0),0)</f>
        <v>0</v>
      </c>
      <c r="Z434" s="254">
        <f>IF(B434="IND",N434,0)</f>
        <v>-0.9</v>
      </c>
      <c r="AA434" s="250">
        <f>IF(D434="O",IF(Z434&lt;0,Z434,0),0)</f>
        <v>0</v>
      </c>
      <c r="AB434" s="254">
        <f>IF(B434="CRYPTO",N434,0)</f>
        <v>0</v>
      </c>
      <c r="AC434" s="250">
        <f>IF(D434="O",IF(AB434&lt;0,AB434,0),0)</f>
        <v>0</v>
      </c>
      <c r="AD434" s="255">
        <f>IF(K434&lt;&gt;"",K434-E434,0)</f>
        <v>0.58541666666860692</v>
      </c>
      <c r="AE434" s="255">
        <f>IF(N434&gt;0,AD434,0)</f>
        <v>0</v>
      </c>
      <c r="AF434" s="255">
        <f>IF(N434&lt;0,AD434,0)</f>
        <v>0.58541666666860692</v>
      </c>
      <c r="AG434" s="255">
        <f>IF(N434=0,AD434,0)</f>
        <v>0</v>
      </c>
    </row>
    <row r="435" spans="2:33" ht="15" customHeight="1" x14ac:dyDescent="0.3">
      <c r="B435" s="196" t="s">
        <v>7</v>
      </c>
      <c r="C435" s="197" t="s">
        <v>15</v>
      </c>
      <c r="D435" s="246" t="str">
        <f>IF(E435&lt;&gt;"",IF(K435&lt;&gt;"","C","O"),"")</f>
        <v>C</v>
      </c>
      <c r="E435" s="199">
        <v>44729.166666666664</v>
      </c>
      <c r="F435" s="200" t="s">
        <v>115</v>
      </c>
      <c r="G435" s="235">
        <v>164.19900000000001</v>
      </c>
      <c r="H435" s="235">
        <v>163.16200000000001</v>
      </c>
      <c r="I435" s="247">
        <f>ABS(G435-H435)</f>
        <v>1.0370000000000061</v>
      </c>
      <c r="J435" s="235">
        <v>167.16300000000001</v>
      </c>
      <c r="K435" s="199">
        <v>44729.248611111114</v>
      </c>
      <c r="L435" s="235">
        <v>163.779</v>
      </c>
      <c r="M435" s="248">
        <f>ROUND(IF(C435="L",(L435-G435),(G435-L435)),4)</f>
        <v>-0.42</v>
      </c>
      <c r="N435" s="249">
        <f>IFERROR(ROUND((M435/I435),2),"")</f>
        <v>-0.41</v>
      </c>
      <c r="O435" s="250">
        <f>IF(D435="O",IF(N435&lt;0,N435,0),0)</f>
        <v>0</v>
      </c>
      <c r="P435" s="251">
        <f>IF(N435&gt;= 0,N435,0)</f>
        <v>0</v>
      </c>
      <c r="Q435" s="251">
        <f>IF(N435&lt;0,N435,0)</f>
        <v>-0.41</v>
      </c>
      <c r="R4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37113</v>
      </c>
      <c r="T4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5" s="253">
        <f ca="1">IF(Tabla33610673[[#This Row],[Equity]]&lt;Tabla33610673[[#This Row],[Equity Peak]],(Tabla33610673[[#This Row],[Equity Peak]]-Tabla33610673[[#This Row],[Equity]])/Tabla33610673[[#This Row],[Equity Peak]],"")</f>
        <v>3.2810382570624415E-2</v>
      </c>
      <c r="V435" s="254">
        <f>IF(B435="FX",N435,0)</f>
        <v>-0.41</v>
      </c>
      <c r="W435" s="254">
        <f>IF(D435="O",IF(V435&lt;0,V435,0),0)</f>
        <v>0</v>
      </c>
      <c r="X435" s="254">
        <f>IF(B435="COM",N435,0)</f>
        <v>0</v>
      </c>
      <c r="Y435" s="254">
        <f>IF(D435="O",IF(X435&lt;0,X435,0),0)</f>
        <v>0</v>
      </c>
      <c r="Z435" s="254">
        <f>IF(B435="IND",N435,0)</f>
        <v>0</v>
      </c>
      <c r="AA435" s="250">
        <f>IF(D435="O",IF(Z435&lt;0,Z435,0),0)</f>
        <v>0</v>
      </c>
      <c r="AB435" s="254">
        <f>IF(B435="CRYPTO",N435,0)</f>
        <v>0</v>
      </c>
      <c r="AC435" s="250">
        <f>IF(D435="O",IF(AB435&lt;0,AB435,0),0)</f>
        <v>0</v>
      </c>
      <c r="AD435" s="255">
        <f>IF(K435&lt;&gt;"",K435-E435,0)</f>
        <v>8.1944444449618459E-2</v>
      </c>
      <c r="AE435" s="255">
        <f>IF(N435&gt;0,AD435,0)</f>
        <v>0</v>
      </c>
      <c r="AF435" s="255">
        <f>IF(N435&lt;0,AD435,0)</f>
        <v>8.1944444449618459E-2</v>
      </c>
      <c r="AG435" s="255">
        <f>IF(N435=0,AD435,0)</f>
        <v>0</v>
      </c>
    </row>
    <row r="436" spans="2:33" ht="15" customHeight="1" x14ac:dyDescent="0.3">
      <c r="B436" s="196" t="s">
        <v>5</v>
      </c>
      <c r="C436" s="197" t="s">
        <v>13</v>
      </c>
      <c r="D436" s="246" t="str">
        <f>IF(E436&lt;&gt;"",IF(K436&lt;&gt;"","C","O"),"")</f>
        <v>C</v>
      </c>
      <c r="E436" s="199">
        <v>44728.71875</v>
      </c>
      <c r="F436" s="200" t="s">
        <v>93</v>
      </c>
      <c r="G436" s="235">
        <v>11167.28</v>
      </c>
      <c r="H436" s="235">
        <v>11238.78</v>
      </c>
      <c r="I436" s="247">
        <f>ABS(G436-H436)</f>
        <v>71.5</v>
      </c>
      <c r="J436" s="235">
        <v>10404.620000000001</v>
      </c>
      <c r="K436" s="199">
        <v>44729.202777777777</v>
      </c>
      <c r="L436" s="235">
        <v>11198.91</v>
      </c>
      <c r="M436" s="248">
        <f>ROUND(IF(C436="L",(L436-G436),(G436-L436)),4)</f>
        <v>-31.63</v>
      </c>
      <c r="N436" s="249">
        <f>IFERROR(ROUND((M436/I436),2),"")</f>
        <v>-0.44</v>
      </c>
      <c r="O436" s="250">
        <f>IF(D436="O",IF(N436&lt;0,N436,0),0)</f>
        <v>0</v>
      </c>
      <c r="P436" s="251">
        <f>IF(N436&gt;= 0,N436,0)</f>
        <v>0</v>
      </c>
      <c r="Q436" s="251">
        <f>IF(N436&lt;0,N436,0)</f>
        <v>-0.44</v>
      </c>
      <c r="R4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37154</v>
      </c>
      <c r="T4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6" s="253">
        <f ca="1">IF(Tabla33610673[[#This Row],[Equity]]&lt;Tabla33610673[[#This Row],[Equity Peak]],(Tabla33610673[[#This Row],[Equity Peak]]-Tabla33610673[[#This Row],[Equity]])/Tabla33610673[[#This Row],[Equity Peak]],"")</f>
        <v>3.1741895131866989E-2</v>
      </c>
      <c r="V436" s="254">
        <f>IF(B436="FX",N436,0)</f>
        <v>0</v>
      </c>
      <c r="W436" s="254">
        <f>IF(D436="O",IF(V436&lt;0,V436,0),0)</f>
        <v>0</v>
      </c>
      <c r="X436" s="254">
        <f>IF(B436="COM",N436,0)</f>
        <v>0</v>
      </c>
      <c r="Y436" s="254">
        <f>IF(D436="O",IF(X436&lt;0,X436,0),0)</f>
        <v>0</v>
      </c>
      <c r="Z436" s="254">
        <f>IF(B436="IND",N436,0)</f>
        <v>-0.44</v>
      </c>
      <c r="AA436" s="250">
        <f>IF(D436="O",IF(Z436&lt;0,Z436,0),0)</f>
        <v>0</v>
      </c>
      <c r="AB436" s="254">
        <f>IF(B436="CRYPTO",N436,0)</f>
        <v>0</v>
      </c>
      <c r="AC436" s="250">
        <f>IF(D436="O",IF(AB436&lt;0,AB436,0),0)</f>
        <v>0</v>
      </c>
      <c r="AD436" s="255">
        <f>IF(K436&lt;&gt;"",K436-E436,0)</f>
        <v>0.48402777777664596</v>
      </c>
      <c r="AE436" s="255">
        <f>IF(N436&gt;0,AD436,0)</f>
        <v>0</v>
      </c>
      <c r="AF436" s="255">
        <f>IF(N436&lt;0,AD436,0)</f>
        <v>0.48402777777664596</v>
      </c>
      <c r="AG436" s="255">
        <f>IF(N436=0,AD436,0)</f>
        <v>0</v>
      </c>
    </row>
    <row r="437" spans="2:33" ht="15" customHeight="1" x14ac:dyDescent="0.3">
      <c r="B437" s="196" t="s">
        <v>7</v>
      </c>
      <c r="C437" s="197" t="s">
        <v>13</v>
      </c>
      <c r="D437" s="246" t="str">
        <f>IF(E437&lt;&gt;"",IF(K437&lt;&gt;"","C","O"),"")</f>
        <v>C</v>
      </c>
      <c r="E437" s="199">
        <v>44728.59375</v>
      </c>
      <c r="F437" s="200" t="s">
        <v>115</v>
      </c>
      <c r="G437" s="235">
        <v>160.249</v>
      </c>
      <c r="H437" s="235">
        <v>161.131</v>
      </c>
      <c r="I437" s="247">
        <f>ABS(G437-H437)</f>
        <v>0.882000000000005</v>
      </c>
      <c r="J437" s="235">
        <v>157.72900000000001</v>
      </c>
      <c r="K437" s="199">
        <v>44728.602777777778</v>
      </c>
      <c r="L437" s="235">
        <v>161.131</v>
      </c>
      <c r="M437" s="248">
        <f>ROUND(IF(C437="L",(L437-G437),(G437-L437)),4)</f>
        <v>-0.88200000000000001</v>
      </c>
      <c r="N437" s="249">
        <f>IFERROR(ROUND((M437/I437),2),"")</f>
        <v>-1</v>
      </c>
      <c r="O437" s="250">
        <f>IF(D437="O",IF(N437&lt;0,N437,0),0)</f>
        <v>0</v>
      </c>
      <c r="P437" s="251">
        <f>IF(N437&gt;= 0,N437,0)</f>
        <v>0</v>
      </c>
      <c r="Q437" s="251">
        <f>IF(N437&lt;0,N437,0)</f>
        <v>-1</v>
      </c>
      <c r="R4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37198</v>
      </c>
      <c r="T4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7" s="253">
        <f ca="1">IF(Tabla33610673[[#This Row],[Equity]]&lt;Tabla33610673[[#This Row],[Equity Peak]],(Tabla33610673[[#This Row],[Equity Peak]]-Tabla33610673[[#This Row],[Equity]])/Tabla33610673[[#This Row],[Equity Peak]],"")</f>
        <v>3.0595225685395602E-2</v>
      </c>
      <c r="V437" s="254">
        <f>IF(B437="FX",N437,0)</f>
        <v>-1</v>
      </c>
      <c r="W437" s="254">
        <f>IF(D437="O",IF(V437&lt;0,V437,0),0)</f>
        <v>0</v>
      </c>
      <c r="X437" s="254">
        <f>IF(B437="COM",N437,0)</f>
        <v>0</v>
      </c>
      <c r="Y437" s="254">
        <f>IF(D437="O",IF(X437&lt;0,X437,0),0)</f>
        <v>0</v>
      </c>
      <c r="Z437" s="254">
        <f>IF(B437="IND",N437,0)</f>
        <v>0</v>
      </c>
      <c r="AA437" s="250">
        <f>IF(D437="O",IF(Z437&lt;0,Z437,0),0)</f>
        <v>0</v>
      </c>
      <c r="AB437" s="254">
        <f>IF(B437="CRYPTO",N437,0)</f>
        <v>0</v>
      </c>
      <c r="AC437" s="250">
        <f>IF(D437="O",IF(AB437&lt;0,AB437,0),0)</f>
        <v>0</v>
      </c>
      <c r="AD437" s="255">
        <f>IF(K437&lt;&gt;"",K437-E437,0)</f>
        <v>9.0277777781011537E-3</v>
      </c>
      <c r="AE437" s="255">
        <f>IF(N437&gt;0,AD437,0)</f>
        <v>0</v>
      </c>
      <c r="AF437" s="255">
        <f>IF(N437&lt;0,AD437,0)</f>
        <v>9.0277777781011537E-3</v>
      </c>
      <c r="AG437" s="255">
        <f>IF(N437=0,AD437,0)</f>
        <v>0</v>
      </c>
    </row>
    <row r="438" spans="2:33" ht="15" customHeight="1" x14ac:dyDescent="0.3">
      <c r="B438" s="196" t="s">
        <v>7</v>
      </c>
      <c r="C438" s="197" t="s">
        <v>13</v>
      </c>
      <c r="D438" s="246" t="str">
        <f>IF(E438&lt;&gt;"",IF(K438&lt;&gt;"","C","O"),"")</f>
        <v>C</v>
      </c>
      <c r="E438" s="199">
        <v>44728.479166666664</v>
      </c>
      <c r="F438" s="200" t="s">
        <v>115</v>
      </c>
      <c r="G438" s="235">
        <v>161.51900000000001</v>
      </c>
      <c r="H438" s="235">
        <v>162.28200000000001</v>
      </c>
      <c r="I438" s="247">
        <f>ABS(G438-H438)</f>
        <v>0.76300000000000523</v>
      </c>
      <c r="J438" s="235">
        <v>159.339</v>
      </c>
      <c r="K438" s="199">
        <v>44728.54583333333</v>
      </c>
      <c r="L438" s="235">
        <v>161.61199999999999</v>
      </c>
      <c r="M438" s="248">
        <f>ROUND(IF(C438="L",(L438-G438),(G438-L438)),4)</f>
        <v>-9.2999999999999999E-2</v>
      </c>
      <c r="N438" s="249">
        <f>IFERROR(ROUND((M438/I438),2),"")</f>
        <v>-0.12</v>
      </c>
      <c r="O438" s="250">
        <f>IF(D438="O",IF(N438&lt;0,N438,0),0)</f>
        <v>0</v>
      </c>
      <c r="P438" s="251">
        <f>IF(N438&gt;= 0,N438,0)</f>
        <v>0</v>
      </c>
      <c r="Q438" s="251">
        <f>IF(N438&lt;0,N438,0)</f>
        <v>-0.12</v>
      </c>
      <c r="R4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37298</v>
      </c>
      <c r="T4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8" s="253">
        <f ca="1">IF(Tabla33610673[[#This Row],[Equity]]&lt;Tabla33610673[[#This Row],[Equity Peak]],(Tabla33610673[[#This Row],[Equity Peak]]-Tabla33610673[[#This Row],[Equity]])/Tabla33610673[[#This Row],[Equity Peak]],"")</f>
        <v>2.7989158761596997E-2</v>
      </c>
      <c r="V438" s="254">
        <f>IF(B438="FX",N438,0)</f>
        <v>-0.12</v>
      </c>
      <c r="W438" s="254">
        <f>IF(D438="O",IF(V438&lt;0,V438,0),0)</f>
        <v>0</v>
      </c>
      <c r="X438" s="254">
        <f>IF(B438="COM",N438,0)</f>
        <v>0</v>
      </c>
      <c r="Y438" s="254">
        <f>IF(D438="O",IF(X438&lt;0,X438,0),0)</f>
        <v>0</v>
      </c>
      <c r="Z438" s="254">
        <f>IF(B438="IND",N438,0)</f>
        <v>0</v>
      </c>
      <c r="AA438" s="250">
        <f>IF(D438="O",IF(Z438&lt;0,Z438,0),0)</f>
        <v>0</v>
      </c>
      <c r="AB438" s="254">
        <f>IF(B438="CRYPTO",N438,0)</f>
        <v>0</v>
      </c>
      <c r="AC438" s="250">
        <f>IF(D438="O",IF(AB438&lt;0,AB438,0),0)</f>
        <v>0</v>
      </c>
      <c r="AD438" s="255">
        <f>IF(K438&lt;&gt;"",K438-E438,0)</f>
        <v>6.6666666665696539E-2</v>
      </c>
      <c r="AE438" s="255">
        <f>IF(N438&gt;0,AD438,0)</f>
        <v>0</v>
      </c>
      <c r="AF438" s="255">
        <f>IF(N438&lt;0,AD438,0)</f>
        <v>6.6666666665696539E-2</v>
      </c>
      <c r="AG438" s="255">
        <f>IF(N438=0,AD438,0)</f>
        <v>0</v>
      </c>
    </row>
    <row r="439" spans="2:33" ht="15" customHeight="1" x14ac:dyDescent="0.3">
      <c r="B439" s="196" t="s">
        <v>7</v>
      </c>
      <c r="C439" s="197" t="s">
        <v>15</v>
      </c>
      <c r="D439" s="246" t="str">
        <f>IF(E439&lt;&gt;"",IF(K439&lt;&gt;"","C","O"),"")</f>
        <v>C</v>
      </c>
      <c r="E439" s="199">
        <v>44728.052083333336</v>
      </c>
      <c r="F439" s="200" t="s">
        <v>115</v>
      </c>
      <c r="G439" s="235">
        <v>163.20699999999999</v>
      </c>
      <c r="H439" s="235">
        <v>162.36799999999999</v>
      </c>
      <c r="I439" s="247">
        <f>ABS(G439-H439)</f>
        <v>0.83899999999999864</v>
      </c>
      <c r="J439" s="235">
        <v>165.60400000000001</v>
      </c>
      <c r="K439" s="199">
        <v>44728.418749999997</v>
      </c>
      <c r="L439" s="235">
        <v>162.81</v>
      </c>
      <c r="M439" s="248">
        <f>ROUND(IF(C439="L",(L439-G439),(G439-L439)),4)</f>
        <v>-0.39700000000000002</v>
      </c>
      <c r="N439" s="249">
        <f>IFERROR(ROUND((M439/I439),2),"")</f>
        <v>-0.47</v>
      </c>
      <c r="O439" s="250">
        <f>IF(D439="O",IF(N439&lt;0,N439,0),0)</f>
        <v>0</v>
      </c>
      <c r="P439" s="251">
        <f>IF(N439&gt;= 0,N439,0)</f>
        <v>0</v>
      </c>
      <c r="Q439" s="251">
        <f>IF(N439&lt;0,N439,0)</f>
        <v>-0.47</v>
      </c>
      <c r="R4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37310</v>
      </c>
      <c r="T4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39" s="253">
        <f ca="1">IF(Tabla33610673[[#This Row],[Equity]]&lt;Tabla33610673[[#This Row],[Equity Peak]],(Tabla33610673[[#This Row],[Equity Peak]]-Tabla33610673[[#This Row],[Equity]])/Tabla33610673[[#This Row],[Equity Peak]],"")</f>
        <v>2.7676430730741164E-2</v>
      </c>
      <c r="V439" s="254">
        <f>IF(B439="FX",N439,0)</f>
        <v>-0.47</v>
      </c>
      <c r="W439" s="254">
        <f>IF(D439="O",IF(V439&lt;0,V439,0),0)</f>
        <v>0</v>
      </c>
      <c r="X439" s="254">
        <f>IF(B439="COM",N439,0)</f>
        <v>0</v>
      </c>
      <c r="Y439" s="254">
        <f>IF(D439="O",IF(X439&lt;0,X439,0),0)</f>
        <v>0</v>
      </c>
      <c r="Z439" s="254">
        <f>IF(B439="IND",N439,0)</f>
        <v>0</v>
      </c>
      <c r="AA439" s="250">
        <f>IF(D439="O",IF(Z439&lt;0,Z439,0),0)</f>
        <v>0</v>
      </c>
      <c r="AB439" s="254">
        <f>IF(B439="CRYPTO",N439,0)</f>
        <v>0</v>
      </c>
      <c r="AC439" s="250">
        <f>IF(D439="O",IF(AB439&lt;0,AB439,0),0)</f>
        <v>0</v>
      </c>
      <c r="AD439" s="255">
        <f>IF(K439&lt;&gt;"",K439-E439,0)</f>
        <v>0.36666666666133096</v>
      </c>
      <c r="AE439" s="255">
        <f>IF(N439&gt;0,AD439,0)</f>
        <v>0</v>
      </c>
      <c r="AF439" s="255">
        <f>IF(N439&lt;0,AD439,0)</f>
        <v>0.36666666666133096</v>
      </c>
      <c r="AG439" s="255">
        <f>IF(N439=0,AD439,0)</f>
        <v>0</v>
      </c>
    </row>
    <row r="440" spans="2:33" ht="15" customHeight="1" x14ac:dyDescent="0.3">
      <c r="B440" s="196" t="s">
        <v>7</v>
      </c>
      <c r="C440" s="197" t="s">
        <v>13</v>
      </c>
      <c r="D440" s="246" t="str">
        <f>IF(E440&lt;&gt;"",IF(K440&lt;&gt;"","C","O"),"")</f>
        <v>C</v>
      </c>
      <c r="E440" s="199">
        <v>44727.885416666664</v>
      </c>
      <c r="F440" s="200" t="s">
        <v>114</v>
      </c>
      <c r="G440" s="235">
        <v>1.0377000000000001</v>
      </c>
      <c r="H440" s="235">
        <v>1.0404500000000001</v>
      </c>
      <c r="I440" s="247">
        <f>ABS(G440-H440)</f>
        <v>2.7500000000000302E-3</v>
      </c>
      <c r="J440" s="235">
        <v>1.01294</v>
      </c>
      <c r="K440" s="199">
        <v>44727.887499999997</v>
      </c>
      <c r="L440" s="235">
        <v>1.0404500000000001</v>
      </c>
      <c r="M440" s="248">
        <f>ROUND(IF(C440="L",(L440-G440),(G440-L440)),4)</f>
        <v>-2.8E-3</v>
      </c>
      <c r="N440" s="249">
        <f>IFERROR(ROUND((M440/I440),2),"")</f>
        <v>-1.02</v>
      </c>
      <c r="O440" s="250">
        <f>IF(D440="O",IF(N440&lt;0,N440,0),0)</f>
        <v>0</v>
      </c>
      <c r="P440" s="251">
        <f>IF(N440&gt;= 0,N440,0)</f>
        <v>0</v>
      </c>
      <c r="Q440" s="251">
        <f>IF(N440&lt;0,N440,0)</f>
        <v>-1.02</v>
      </c>
      <c r="R4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37357</v>
      </c>
      <c r="T4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0" s="253">
        <f ca="1">IF(Tabla33610673[[#This Row],[Equity]]&lt;Tabla33610673[[#This Row],[Equity Peak]],(Tabla33610673[[#This Row],[Equity Peak]]-Tabla33610673[[#This Row],[Equity]])/Tabla33610673[[#This Row],[Equity Peak]],"")</f>
        <v>2.6451579276555823E-2</v>
      </c>
      <c r="V440" s="254">
        <f>IF(B440="FX",N440,0)</f>
        <v>-1.02</v>
      </c>
      <c r="W440" s="254">
        <f>IF(D440="O",IF(V440&lt;0,V440,0),0)</f>
        <v>0</v>
      </c>
      <c r="X440" s="254">
        <f>IF(B440="COM",N440,0)</f>
        <v>0</v>
      </c>
      <c r="Y440" s="254">
        <f>IF(D440="O",IF(X440&lt;0,X440,0),0)</f>
        <v>0</v>
      </c>
      <c r="Z440" s="254">
        <f>IF(B440="IND",N440,0)</f>
        <v>0</v>
      </c>
      <c r="AA440" s="250">
        <f>IF(D440="O",IF(Z440&lt;0,Z440,0),0)</f>
        <v>0</v>
      </c>
      <c r="AB440" s="254">
        <f>IF(B440="CRYPTO",N440,0)</f>
        <v>0</v>
      </c>
      <c r="AC440" s="250">
        <f>IF(D440="O",IF(AB440&lt;0,AB440,0),0)</f>
        <v>0</v>
      </c>
      <c r="AD440" s="255">
        <f>IF(K440&lt;&gt;"",K440-E440,0)</f>
        <v>2.0833333328482695E-3</v>
      </c>
      <c r="AE440" s="255">
        <f>IF(N440&gt;0,AD440,0)</f>
        <v>0</v>
      </c>
      <c r="AF440" s="255">
        <f>IF(N440&lt;0,AD440,0)</f>
        <v>2.0833333328482695E-3</v>
      </c>
      <c r="AG440" s="255">
        <f>IF(N440=0,AD440,0)</f>
        <v>0</v>
      </c>
    </row>
    <row r="441" spans="2:33" ht="15" customHeight="1" x14ac:dyDescent="0.3">
      <c r="B441" s="196" t="s">
        <v>7</v>
      </c>
      <c r="C441" s="197" t="s">
        <v>13</v>
      </c>
      <c r="D441" s="246" t="str">
        <f>IF(E441&lt;&gt;"",IF(K441&lt;&gt;"","C","O"),"")</f>
        <v>C</v>
      </c>
      <c r="E441" s="199">
        <v>44727.760416666664</v>
      </c>
      <c r="F441" s="200" t="s">
        <v>114</v>
      </c>
      <c r="G441" s="235">
        <v>1.0394099999999999</v>
      </c>
      <c r="H441" s="235">
        <v>1.0424199999999999</v>
      </c>
      <c r="I441" s="247">
        <f>ABS(G441-H441)</f>
        <v>3.0099999999999572E-3</v>
      </c>
      <c r="J441" s="235">
        <v>1.0123599999999999</v>
      </c>
      <c r="K441" s="199">
        <v>44727.875694444447</v>
      </c>
      <c r="L441" s="235">
        <v>1.0424199999999999</v>
      </c>
      <c r="M441" s="248">
        <f>ROUND(IF(C441="L",(L441-G441),(G441-L441)),4)</f>
        <v>-3.0000000000000001E-3</v>
      </c>
      <c r="N441" s="249">
        <f>IFERROR(ROUND((M441/I441),2),"")</f>
        <v>-1</v>
      </c>
      <c r="O441" s="250">
        <f>IF(D441="O",IF(N441&lt;0,N441,0),0)</f>
        <v>0</v>
      </c>
      <c r="P441" s="251">
        <f>IF(N441&gt;= 0,N441,0)</f>
        <v>0</v>
      </c>
      <c r="Q441" s="251">
        <f>IF(N441&lt;0,N441,0)</f>
        <v>-1</v>
      </c>
      <c r="R4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37459</v>
      </c>
      <c r="T4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1" s="253">
        <f ca="1">IF(Tabla33610673[[#This Row],[Equity]]&lt;Tabla33610673[[#This Row],[Equity Peak]],(Tabla33610673[[#This Row],[Equity Peak]]-Tabla33610673[[#This Row],[Equity]])/Tabla33610673[[#This Row],[Equity Peak]],"")</f>
        <v>2.3793391014281247E-2</v>
      </c>
      <c r="V441" s="254">
        <f>IF(B441="FX",N441,0)</f>
        <v>-1</v>
      </c>
      <c r="W441" s="254">
        <f>IF(D441="O",IF(V441&lt;0,V441,0),0)</f>
        <v>0</v>
      </c>
      <c r="X441" s="254">
        <f>IF(B441="COM",N441,0)</f>
        <v>0</v>
      </c>
      <c r="Y441" s="254">
        <f>IF(D441="O",IF(X441&lt;0,X441,0),0)</f>
        <v>0</v>
      </c>
      <c r="Z441" s="254">
        <f>IF(B441="IND",N441,0)</f>
        <v>0</v>
      </c>
      <c r="AA441" s="250">
        <f>IF(D441="O",IF(Z441&lt;0,Z441,0),0)</f>
        <v>0</v>
      </c>
      <c r="AB441" s="254">
        <f>IF(B441="CRYPTO",N441,0)</f>
        <v>0</v>
      </c>
      <c r="AC441" s="250">
        <f>IF(D441="O",IF(AB441&lt;0,AB441,0),0)</f>
        <v>0</v>
      </c>
      <c r="AD441" s="255">
        <f>IF(K441&lt;&gt;"",K441-E441,0)</f>
        <v>0.11527777778246673</v>
      </c>
      <c r="AE441" s="255">
        <f>IF(N441&gt;0,AD441,0)</f>
        <v>0</v>
      </c>
      <c r="AF441" s="255">
        <f>IF(N441&lt;0,AD441,0)</f>
        <v>0.11527777778246673</v>
      </c>
      <c r="AG441" s="255">
        <f>IF(N441=0,AD441,0)</f>
        <v>0</v>
      </c>
    </row>
    <row r="442" spans="2:33" ht="15" customHeight="1" x14ac:dyDescent="0.3">
      <c r="B442" s="196" t="s">
        <v>19</v>
      </c>
      <c r="C442" s="197" t="s">
        <v>13</v>
      </c>
      <c r="D442" s="246" t="str">
        <f>IF(E442&lt;&gt;"",IF(K442&lt;&gt;"","C","O"),"")</f>
        <v>C</v>
      </c>
      <c r="E442" s="199">
        <v>44726.90625</v>
      </c>
      <c r="F442" s="200" t="s">
        <v>88</v>
      </c>
      <c r="G442" s="235">
        <v>1808.87</v>
      </c>
      <c r="H442" s="235">
        <v>1812.74</v>
      </c>
      <c r="I442" s="247">
        <f>ABS(G442-H442)</f>
        <v>3.8700000000001182</v>
      </c>
      <c r="J442" s="235">
        <v>1762.45</v>
      </c>
      <c r="K442" s="199">
        <v>44727.175000000003</v>
      </c>
      <c r="L442" s="235">
        <v>1812.74</v>
      </c>
      <c r="M442" s="248">
        <f>ROUND(IF(C442="L",(L442-G442),(G442-L442)),4)</f>
        <v>-3.87</v>
      </c>
      <c r="N442" s="249">
        <f>IFERROR(ROUND((M442/I442),2),"")</f>
        <v>-1</v>
      </c>
      <c r="O442" s="250">
        <f>IF(D442="O",IF(N442&lt;0,N442,0),0)</f>
        <v>0</v>
      </c>
      <c r="P442" s="251">
        <f>IF(N442&gt;= 0,N442,0)</f>
        <v>0</v>
      </c>
      <c r="Q442" s="251">
        <f>IF(N442&lt;0,N442,0)</f>
        <v>-1</v>
      </c>
      <c r="R4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37559</v>
      </c>
      <c r="T4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2" s="253">
        <f ca="1">IF(Tabla33610673[[#This Row],[Equity]]&lt;Tabla33610673[[#This Row],[Equity Peak]],(Tabla33610673[[#This Row],[Equity Peak]]-Tabla33610673[[#This Row],[Equity]])/Tabla33610673[[#This Row],[Equity Peak]],"")</f>
        <v>2.1187324090482643E-2</v>
      </c>
      <c r="V442" s="254">
        <f>IF(B442="FX",N442,0)</f>
        <v>0</v>
      </c>
      <c r="W442" s="254">
        <f>IF(D442="O",IF(V442&lt;0,V442,0),0)</f>
        <v>0</v>
      </c>
      <c r="X442" s="254">
        <f>IF(B442="COM",N442,0)</f>
        <v>-1</v>
      </c>
      <c r="Y442" s="254">
        <f>IF(D442="O",IF(X442&lt;0,X442,0),0)</f>
        <v>0</v>
      </c>
      <c r="Z442" s="254">
        <f>IF(B442="IND",N442,0)</f>
        <v>0</v>
      </c>
      <c r="AA442" s="250">
        <f>IF(D442="O",IF(Z442&lt;0,Z442,0),0)</f>
        <v>0</v>
      </c>
      <c r="AB442" s="254">
        <f>IF(B442="CRYPTO",N442,0)</f>
        <v>0</v>
      </c>
      <c r="AC442" s="250">
        <f>IF(D442="O",IF(AB442&lt;0,AB442,0),0)</f>
        <v>0</v>
      </c>
      <c r="AD442" s="255">
        <f>IF(K442&lt;&gt;"",K442-E442,0)</f>
        <v>0.26875000000291038</v>
      </c>
      <c r="AE442" s="255">
        <f>IF(N442&gt;0,AD442,0)</f>
        <v>0</v>
      </c>
      <c r="AF442" s="255">
        <f>IF(N442&lt;0,AD442,0)</f>
        <v>0.26875000000291038</v>
      </c>
      <c r="AG442" s="255">
        <f>IF(N442=0,AD442,0)</f>
        <v>0</v>
      </c>
    </row>
    <row r="443" spans="2:33" ht="15" customHeight="1" x14ac:dyDescent="0.3">
      <c r="B443" s="196" t="s">
        <v>7</v>
      </c>
      <c r="C443" s="197" t="s">
        <v>15</v>
      </c>
      <c r="D443" s="246" t="str">
        <f>IF(E443&lt;&gt;"",IF(K443&lt;&gt;"","C","O"),"")</f>
        <v>C</v>
      </c>
      <c r="E443" s="199">
        <v>44726.916666666664</v>
      </c>
      <c r="F443" s="200" t="s">
        <v>116</v>
      </c>
      <c r="G443" s="235">
        <v>135.29</v>
      </c>
      <c r="H443" s="235">
        <v>134.922</v>
      </c>
      <c r="I443" s="247">
        <f>ABS(G443-H443)</f>
        <v>0.367999999999995</v>
      </c>
      <c r="J443" s="235">
        <v>139.11699999999999</v>
      </c>
      <c r="K443" s="199">
        <v>44727.109722222223</v>
      </c>
      <c r="L443" s="235">
        <v>135.18799999999999</v>
      </c>
      <c r="M443" s="248">
        <f>ROUND(IF(C443="L",(L443-G443),(G443-L443)),4)</f>
        <v>-0.10199999999999999</v>
      </c>
      <c r="N443" s="249">
        <f>IFERROR(ROUND((M443/I443),2),"")</f>
        <v>-0.28000000000000003</v>
      </c>
      <c r="O443" s="250">
        <f>IF(D443="O",IF(N443&lt;0,N443,0),0)</f>
        <v>0</v>
      </c>
      <c r="P443" s="251">
        <f>IF(N443&gt;= 0,N443,0)</f>
        <v>0</v>
      </c>
      <c r="Q443" s="251">
        <f>IF(N443&lt;0,N443,0)</f>
        <v>-0.28000000000000003</v>
      </c>
      <c r="R4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37659</v>
      </c>
      <c r="T4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3" s="253">
        <f ca="1">IF(Tabla33610673[[#This Row],[Equity]]&lt;Tabla33610673[[#This Row],[Equity Peak]],(Tabla33610673[[#This Row],[Equity Peak]]-Tabla33610673[[#This Row],[Equity]])/Tabla33610673[[#This Row],[Equity Peak]],"")</f>
        <v>1.8581257166684042E-2</v>
      </c>
      <c r="V443" s="254">
        <f>IF(B443="FX",N443,0)</f>
        <v>-0.28000000000000003</v>
      </c>
      <c r="W443" s="254">
        <f>IF(D443="O",IF(V443&lt;0,V443,0),0)</f>
        <v>0</v>
      </c>
      <c r="X443" s="254">
        <f>IF(B443="COM",N443,0)</f>
        <v>0</v>
      </c>
      <c r="Y443" s="254">
        <f>IF(D443="O",IF(X443&lt;0,X443,0),0)</f>
        <v>0</v>
      </c>
      <c r="Z443" s="254">
        <f>IF(B443="IND",N443,0)</f>
        <v>0</v>
      </c>
      <c r="AA443" s="250">
        <f>IF(D443="O",IF(Z443&lt;0,Z443,0),0)</f>
        <v>0</v>
      </c>
      <c r="AB443" s="254">
        <f>IF(B443="CRYPTO",N443,0)</f>
        <v>0</v>
      </c>
      <c r="AC443" s="250">
        <f>IF(D443="O",IF(AB443&lt;0,AB443,0),0)</f>
        <v>0</v>
      </c>
      <c r="AD443" s="255">
        <f>IF(K443&lt;&gt;"",K443-E443,0)</f>
        <v>0.19305555555911269</v>
      </c>
      <c r="AE443" s="255">
        <f>IF(N443&gt;0,AD443,0)</f>
        <v>0</v>
      </c>
      <c r="AF443" s="255">
        <f>IF(N443&lt;0,AD443,0)</f>
        <v>0.19305555555911269</v>
      </c>
      <c r="AG443" s="255">
        <f>IF(N443=0,AD443,0)</f>
        <v>0</v>
      </c>
    </row>
    <row r="444" spans="2:33" ht="15" customHeight="1" x14ac:dyDescent="0.3">
      <c r="B444" s="196" t="s">
        <v>7</v>
      </c>
      <c r="C444" s="197" t="s">
        <v>13</v>
      </c>
      <c r="D444" s="246" t="str">
        <f>IF(E444&lt;&gt;"",IF(K444&lt;&gt;"","C","O"),"")</f>
        <v>C</v>
      </c>
      <c r="E444" s="199">
        <v>44726.583333333336</v>
      </c>
      <c r="F444" s="200" t="s">
        <v>115</v>
      </c>
      <c r="G444" s="235">
        <v>162.23400000000001</v>
      </c>
      <c r="H444" s="235">
        <v>163.04400000000001</v>
      </c>
      <c r="I444" s="247">
        <f>ABS(G444-H444)</f>
        <v>0.81000000000000227</v>
      </c>
      <c r="J444" s="235">
        <v>159.91999999999999</v>
      </c>
      <c r="K444" s="199">
        <v>44727.034722222219</v>
      </c>
      <c r="L444" s="235">
        <v>162.542</v>
      </c>
      <c r="M444" s="248">
        <f>ROUND(IF(C444="L",(L444-G444),(G444-L444)),4)</f>
        <v>-0.308</v>
      </c>
      <c r="N444" s="249">
        <f>IFERROR(ROUND((M444/I444),2),"")</f>
        <v>-0.38</v>
      </c>
      <c r="O444" s="250">
        <f>IF(D444="O",IF(N444&lt;0,N444,0),0)</f>
        <v>0</v>
      </c>
      <c r="P444" s="251">
        <f>IF(N444&gt;= 0,N444,0)</f>
        <v>0</v>
      </c>
      <c r="Q444" s="251">
        <f>IF(N444&lt;0,N444,0)</f>
        <v>-0.38</v>
      </c>
      <c r="R4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37687</v>
      </c>
      <c r="T4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4" s="253">
        <f ca="1">IF(Tabla33610673[[#This Row],[Equity]]&lt;Tabla33610673[[#This Row],[Equity Peak]],(Tabla33610673[[#This Row],[Equity Peak]]-Tabla33610673[[#This Row],[Equity]])/Tabla33610673[[#This Row],[Equity Peak]],"")</f>
        <v>1.7851558428020432E-2</v>
      </c>
      <c r="V444" s="254">
        <f>IF(B444="FX",N444,0)</f>
        <v>-0.38</v>
      </c>
      <c r="W444" s="254">
        <f>IF(D444="O",IF(V444&lt;0,V444,0),0)</f>
        <v>0</v>
      </c>
      <c r="X444" s="254">
        <f>IF(B444="COM",N444,0)</f>
        <v>0</v>
      </c>
      <c r="Y444" s="254">
        <f>IF(D444="O",IF(X444&lt;0,X444,0),0)</f>
        <v>0</v>
      </c>
      <c r="Z444" s="254">
        <f>IF(B444="IND",N444,0)</f>
        <v>0</v>
      </c>
      <c r="AA444" s="250">
        <f>IF(D444="O",IF(Z444&lt;0,Z444,0),0)</f>
        <v>0</v>
      </c>
      <c r="AB444" s="254">
        <f>IF(B444="CRYPTO",N444,0)</f>
        <v>0</v>
      </c>
      <c r="AC444" s="250">
        <f>IF(D444="O",IF(AB444&lt;0,AB444,0),0)</f>
        <v>0</v>
      </c>
      <c r="AD444" s="255">
        <f>IF(K444&lt;&gt;"",K444-E444,0)</f>
        <v>0.45138888888322981</v>
      </c>
      <c r="AE444" s="255">
        <f>IF(N444&gt;0,AD444,0)</f>
        <v>0</v>
      </c>
      <c r="AF444" s="255">
        <f>IF(N444&lt;0,AD444,0)</f>
        <v>0.45138888888322981</v>
      </c>
      <c r="AG444" s="255">
        <f>IF(N444=0,AD444,0)</f>
        <v>0</v>
      </c>
    </row>
    <row r="445" spans="2:33" ht="15" customHeight="1" x14ac:dyDescent="0.3">
      <c r="B445" s="196" t="s">
        <v>5</v>
      </c>
      <c r="C445" s="197" t="s">
        <v>13</v>
      </c>
      <c r="D445" s="246" t="str">
        <f>IF(E445&lt;&gt;"",IF(K445&lt;&gt;"","C","O"),"")</f>
        <v>C</v>
      </c>
      <c r="E445" s="199">
        <v>44726.864583333336</v>
      </c>
      <c r="F445" s="200" t="s">
        <v>91</v>
      </c>
      <c r="G445" s="235">
        <v>13237.25</v>
      </c>
      <c r="H445" s="235">
        <v>13291.19</v>
      </c>
      <c r="I445" s="247">
        <f>ABS(G445-H445)</f>
        <v>53.940000000000509</v>
      </c>
      <c r="J445" s="235">
        <v>12230.36</v>
      </c>
      <c r="K445" s="199">
        <v>44726.942361111112</v>
      </c>
      <c r="L445" s="235">
        <v>13291.19</v>
      </c>
      <c r="M445" s="248">
        <f>ROUND(IF(C445="L",(L445-G445),(G445-L445)),4)</f>
        <v>-53.94</v>
      </c>
      <c r="N445" s="249">
        <f>IFERROR(ROUND((M445/I445),2),"")</f>
        <v>-1</v>
      </c>
      <c r="O445" s="250">
        <f>IF(D445="O",IF(N445&lt;0,N445,0),0)</f>
        <v>0</v>
      </c>
      <c r="P445" s="251">
        <f>IF(N445&gt;= 0,N445,0)</f>
        <v>0</v>
      </c>
      <c r="Q445" s="251">
        <f>IF(N445&lt;0,N445,0)</f>
        <v>-1</v>
      </c>
      <c r="R4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37725</v>
      </c>
      <c r="T4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5" s="253">
        <f ca="1">IF(Tabla33610673[[#This Row],[Equity]]&lt;Tabla33610673[[#This Row],[Equity Peak]],(Tabla33610673[[#This Row],[Equity Peak]]-Tabla33610673[[#This Row],[Equity]])/Tabla33610673[[#This Row],[Equity Peak]],"")</f>
        <v>1.6861252996976963E-2</v>
      </c>
      <c r="V445" s="254">
        <f>IF(B445="FX",N445,0)</f>
        <v>0</v>
      </c>
      <c r="W445" s="254">
        <f>IF(D445="O",IF(V445&lt;0,V445,0),0)</f>
        <v>0</v>
      </c>
      <c r="X445" s="254">
        <f>IF(B445="COM",N445,0)</f>
        <v>0</v>
      </c>
      <c r="Y445" s="254">
        <f>IF(D445="O",IF(X445&lt;0,X445,0),0)</f>
        <v>0</v>
      </c>
      <c r="Z445" s="254">
        <f>IF(B445="IND",N445,0)</f>
        <v>-1</v>
      </c>
      <c r="AA445" s="250">
        <f>IF(D445="O",IF(Z445&lt;0,Z445,0),0)</f>
        <v>0</v>
      </c>
      <c r="AB445" s="254">
        <f>IF(B445="CRYPTO",N445,0)</f>
        <v>0</v>
      </c>
      <c r="AC445" s="250">
        <f>IF(D445="O",IF(AB445&lt;0,AB445,0),0)</f>
        <v>0</v>
      </c>
      <c r="AD445" s="255">
        <f>IF(K445&lt;&gt;"",K445-E445,0)</f>
        <v>7.7777777776645962E-2</v>
      </c>
      <c r="AE445" s="255">
        <f>IF(N445&gt;0,AD445,0)</f>
        <v>0</v>
      </c>
      <c r="AF445" s="255">
        <f>IF(N445&lt;0,AD445,0)</f>
        <v>7.7777777776645962E-2</v>
      </c>
      <c r="AG445" s="255">
        <f>IF(N445=0,AD445,0)</f>
        <v>0</v>
      </c>
    </row>
    <row r="446" spans="2:33" ht="15" customHeight="1" x14ac:dyDescent="0.3">
      <c r="B446" s="196" t="s">
        <v>5</v>
      </c>
      <c r="C446" s="197" t="s">
        <v>13</v>
      </c>
      <c r="D446" s="246" t="str">
        <f>IF(E446&lt;&gt;"",IF(K446&lt;&gt;"","C","O"),"")</f>
        <v>C</v>
      </c>
      <c r="E446" s="199">
        <v>44726.927083333336</v>
      </c>
      <c r="F446" s="200" t="s">
        <v>92</v>
      </c>
      <c r="G446" s="235">
        <v>11219.1</v>
      </c>
      <c r="H446" s="235">
        <v>11278.22</v>
      </c>
      <c r="I446" s="247">
        <f>ABS(G446-H446)</f>
        <v>59.119999999998981</v>
      </c>
      <c r="J446" s="235">
        <v>10115.5</v>
      </c>
      <c r="K446" s="199">
        <v>44726.938194444447</v>
      </c>
      <c r="L446" s="235">
        <v>11278.22</v>
      </c>
      <c r="M446" s="248">
        <f>ROUND(IF(C446="L",(L446-G446),(G446-L446)),4)</f>
        <v>-59.12</v>
      </c>
      <c r="N446" s="249">
        <f>IFERROR(ROUND((M446/I446),2),"")</f>
        <v>-1</v>
      </c>
      <c r="O446" s="250">
        <f>IF(D446="O",IF(N446&lt;0,N446,0),0)</f>
        <v>0</v>
      </c>
      <c r="P446" s="251">
        <f>IF(N446&gt;= 0,N446,0)</f>
        <v>0</v>
      </c>
      <c r="Q446" s="251">
        <f>IF(N446&lt;0,N446,0)</f>
        <v>-1</v>
      </c>
      <c r="R4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37825</v>
      </c>
      <c r="T4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6" s="253">
        <f ca="1">IF(Tabla33610673[[#This Row],[Equity]]&lt;Tabla33610673[[#This Row],[Equity Peak]],(Tabla33610673[[#This Row],[Equity Peak]]-Tabla33610673[[#This Row],[Equity]])/Tabla33610673[[#This Row],[Equity Peak]],"")</f>
        <v>1.4255186073178359E-2</v>
      </c>
      <c r="V446" s="254">
        <f>IF(B446="FX",N446,0)</f>
        <v>0</v>
      </c>
      <c r="W446" s="254">
        <f>IF(D446="O",IF(V446&lt;0,V446,0),0)</f>
        <v>0</v>
      </c>
      <c r="X446" s="254">
        <f>IF(B446="COM",N446,0)</f>
        <v>0</v>
      </c>
      <c r="Y446" s="254">
        <f>IF(D446="O",IF(X446&lt;0,X446,0),0)</f>
        <v>0</v>
      </c>
      <c r="Z446" s="254">
        <f>IF(B446="IND",N446,0)</f>
        <v>-1</v>
      </c>
      <c r="AA446" s="250">
        <f>IF(D446="O",IF(Z446&lt;0,Z446,0),0)</f>
        <v>0</v>
      </c>
      <c r="AB446" s="254">
        <f>IF(B446="CRYPTO",N446,0)</f>
        <v>0</v>
      </c>
      <c r="AC446" s="250">
        <f>IF(D446="O",IF(AB446&lt;0,AB446,0),0)</f>
        <v>0</v>
      </c>
      <c r="AD446" s="255">
        <f>IF(K446&lt;&gt;"",K446-E446,0)</f>
        <v>1.1111111110949423E-2</v>
      </c>
      <c r="AE446" s="255">
        <f>IF(N446&gt;0,AD446,0)</f>
        <v>0</v>
      </c>
      <c r="AF446" s="255">
        <f>IF(N446&lt;0,AD446,0)</f>
        <v>1.1111111110949423E-2</v>
      </c>
      <c r="AG446" s="255">
        <f>IF(N446=0,AD446,0)</f>
        <v>0</v>
      </c>
    </row>
    <row r="447" spans="2:33" ht="15" customHeight="1" x14ac:dyDescent="0.3">
      <c r="B447" s="196" t="s">
        <v>5</v>
      </c>
      <c r="C447" s="197" t="s">
        <v>13</v>
      </c>
      <c r="D447" s="246" t="str">
        <f>IF(E447&lt;&gt;"",IF(K447&lt;&gt;"","C","O"),"")</f>
        <v>C</v>
      </c>
      <c r="E447" s="199">
        <v>44726.927083333336</v>
      </c>
      <c r="F447" s="200" t="s">
        <v>93</v>
      </c>
      <c r="G447" s="235">
        <v>11219.1</v>
      </c>
      <c r="H447" s="235">
        <v>11276.49</v>
      </c>
      <c r="I447" s="247">
        <f>ABS(G447-H447)</f>
        <v>57.389999999999418</v>
      </c>
      <c r="J447" s="235">
        <v>10606.96</v>
      </c>
      <c r="K447" s="199">
        <v>44726.936111111114</v>
      </c>
      <c r="L447" s="235">
        <v>11276.49</v>
      </c>
      <c r="M447" s="248">
        <f>ROUND(IF(C447="L",(L447-G447),(G447-L447)),4)</f>
        <v>-57.39</v>
      </c>
      <c r="N447" s="249">
        <f>IFERROR(ROUND((M447/I447),2),"")</f>
        <v>-1</v>
      </c>
      <c r="O447" s="250">
        <f>IF(D447="O",IF(N447&lt;0,N447,0),0)</f>
        <v>0</v>
      </c>
      <c r="P447" s="251">
        <f>IF(N447&gt;= 0,N447,0)</f>
        <v>0</v>
      </c>
      <c r="Q447" s="251">
        <f>IF(N447&lt;0,N447,0)</f>
        <v>-1</v>
      </c>
      <c r="R4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37925</v>
      </c>
      <c r="T4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7" s="253">
        <f ca="1">IF(Tabla33610673[[#This Row],[Equity]]&lt;Tabla33610673[[#This Row],[Equity Peak]],(Tabla33610673[[#This Row],[Equity Peak]]-Tabla33610673[[#This Row],[Equity]])/Tabla33610673[[#This Row],[Equity Peak]],"")</f>
        <v>1.1649119149379756E-2</v>
      </c>
      <c r="V447" s="254">
        <f>IF(B447="FX",N447,0)</f>
        <v>0</v>
      </c>
      <c r="W447" s="254">
        <f>IF(D447="O",IF(V447&lt;0,V447,0),0)</f>
        <v>0</v>
      </c>
      <c r="X447" s="254">
        <f>IF(B447="COM",N447,0)</f>
        <v>0</v>
      </c>
      <c r="Y447" s="254">
        <f>IF(D447="O",IF(X447&lt;0,X447,0),0)</f>
        <v>0</v>
      </c>
      <c r="Z447" s="254">
        <f>IF(B447="IND",N447,0)</f>
        <v>-1</v>
      </c>
      <c r="AA447" s="250">
        <f>IF(D447="O",IF(Z447&lt;0,Z447,0),0)</f>
        <v>0</v>
      </c>
      <c r="AB447" s="254">
        <f>IF(B447="CRYPTO",N447,0)</f>
        <v>0</v>
      </c>
      <c r="AC447" s="250">
        <f>IF(D447="O",IF(AB447&lt;0,AB447,0),0)</f>
        <v>0</v>
      </c>
      <c r="AD447" s="255">
        <f>IF(K447&lt;&gt;"",K447-E447,0)</f>
        <v>9.0277777781011537E-3</v>
      </c>
      <c r="AE447" s="255">
        <f>IF(N447&gt;0,AD447,0)</f>
        <v>0</v>
      </c>
      <c r="AF447" s="255">
        <f>IF(N447&lt;0,AD447,0)</f>
        <v>9.0277777781011537E-3</v>
      </c>
      <c r="AG447" s="255">
        <f>IF(N447=0,AD447,0)</f>
        <v>0</v>
      </c>
    </row>
    <row r="448" spans="2:33" ht="15" customHeight="1" x14ac:dyDescent="0.3">
      <c r="B448" s="196" t="s">
        <v>5</v>
      </c>
      <c r="C448" s="197" t="s">
        <v>13</v>
      </c>
      <c r="D448" s="246" t="str">
        <f>IF(E448&lt;&gt;"",IF(K448&lt;&gt;"","C","O"),"")</f>
        <v>C</v>
      </c>
      <c r="E448" s="199">
        <v>44726.802083333336</v>
      </c>
      <c r="F448" s="200" t="s">
        <v>91</v>
      </c>
      <c r="G448" s="235">
        <v>13240.4</v>
      </c>
      <c r="H448" s="235">
        <v>13293.81</v>
      </c>
      <c r="I448" s="247">
        <f>ABS(G448-H448)</f>
        <v>53.409999999999854</v>
      </c>
      <c r="J448" s="235">
        <v>12243.43</v>
      </c>
      <c r="K448" s="199">
        <v>44726.838888888888</v>
      </c>
      <c r="L448" s="235">
        <v>13293.81</v>
      </c>
      <c r="M448" s="248">
        <f>ROUND(IF(C448="L",(L448-G448),(G448-L448)),4)</f>
        <v>-53.41</v>
      </c>
      <c r="N448" s="249">
        <f>IFERROR(ROUND((M448/I448),2),"")</f>
        <v>-1</v>
      </c>
      <c r="O448" s="250">
        <f>IF(D448="O",IF(N448&lt;0,N448,0),0)</f>
        <v>0</v>
      </c>
      <c r="P448" s="251">
        <f>IF(N448&gt;= 0,N448,0)</f>
        <v>0</v>
      </c>
      <c r="Q448" s="251">
        <f>IF(N448&lt;0,N448,0)</f>
        <v>-1</v>
      </c>
      <c r="R4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38025</v>
      </c>
      <c r="T4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8" s="253">
        <f ca="1">IF(Tabla33610673[[#This Row],[Equity]]&lt;Tabla33610673[[#This Row],[Equity Peak]],(Tabla33610673[[#This Row],[Equity Peak]]-Tabla33610673[[#This Row],[Equity]])/Tabla33610673[[#This Row],[Equity Peak]],"")</f>
        <v>9.0430522255811538E-3</v>
      </c>
      <c r="V448" s="254">
        <f>IF(B448="FX",N448,0)</f>
        <v>0</v>
      </c>
      <c r="W448" s="254">
        <f>IF(D448="O",IF(V448&lt;0,V448,0),0)</f>
        <v>0</v>
      </c>
      <c r="X448" s="254">
        <f>IF(B448="COM",N448,0)</f>
        <v>0</v>
      </c>
      <c r="Y448" s="254">
        <f>IF(D448="O",IF(X448&lt;0,X448,0),0)</f>
        <v>0</v>
      </c>
      <c r="Z448" s="254">
        <f>IF(B448="IND",N448,0)</f>
        <v>-1</v>
      </c>
      <c r="AA448" s="250">
        <f>IF(D448="O",IF(Z448&lt;0,Z448,0),0)</f>
        <v>0</v>
      </c>
      <c r="AB448" s="254">
        <f>IF(B448="CRYPTO",N448,0)</f>
        <v>0</v>
      </c>
      <c r="AC448" s="250">
        <f>IF(D448="O",IF(AB448&lt;0,AB448,0),0)</f>
        <v>0</v>
      </c>
      <c r="AD448" s="255">
        <f>IF(K448&lt;&gt;"",K448-E448,0)</f>
        <v>3.6805555551836733E-2</v>
      </c>
      <c r="AE448" s="255">
        <f>IF(N448&gt;0,AD448,0)</f>
        <v>0</v>
      </c>
      <c r="AF448" s="255">
        <f>IF(N448&lt;0,AD448,0)</f>
        <v>3.6805555551836733E-2</v>
      </c>
      <c r="AG448" s="255">
        <f>IF(N448=0,AD448,0)</f>
        <v>0</v>
      </c>
    </row>
    <row r="449" spans="2:33" ht="15" customHeight="1" x14ac:dyDescent="0.3">
      <c r="B449" s="196" t="s">
        <v>19</v>
      </c>
      <c r="C449" s="197" t="s">
        <v>13</v>
      </c>
      <c r="D449" s="246" t="str">
        <f>IF(E449&lt;&gt;"",IF(K449&lt;&gt;"","C","O"),"")</f>
        <v>C</v>
      </c>
      <c r="E449" s="199">
        <v>44726.791666666664</v>
      </c>
      <c r="F449" s="200" t="s">
        <v>88</v>
      </c>
      <c r="G449" s="235">
        <v>1810.48</v>
      </c>
      <c r="H449" s="235">
        <v>1814.44</v>
      </c>
      <c r="I449" s="247">
        <f>ABS(G449-H449)</f>
        <v>3.9600000000000364</v>
      </c>
      <c r="J449" s="235">
        <v>1763.01</v>
      </c>
      <c r="K449" s="199">
        <v>44726.824305555558</v>
      </c>
      <c r="L449" s="235">
        <v>1814.44</v>
      </c>
      <c r="M449" s="248">
        <f>ROUND(IF(C449="L",(L449-G449),(G449-L449)),4)</f>
        <v>-3.96</v>
      </c>
      <c r="N449" s="249">
        <f>IFERROR(ROUND((M449/I449),2),"")</f>
        <v>-1</v>
      </c>
      <c r="O449" s="250">
        <f>IF(D449="O",IF(N449&lt;0,N449,0),0)</f>
        <v>0</v>
      </c>
      <c r="P449" s="251">
        <f>IF(N449&gt;= 0,N449,0)</f>
        <v>0</v>
      </c>
      <c r="Q449" s="251">
        <f>IF(N449&lt;0,N449,0)</f>
        <v>-1</v>
      </c>
      <c r="R4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38125</v>
      </c>
      <c r="T4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49" s="253">
        <f ca="1">IF(Tabla33610673[[#This Row],[Equity]]&lt;Tabla33610673[[#This Row],[Equity Peak]],(Tabla33610673[[#This Row],[Equity Peak]]-Tabla33610673[[#This Row],[Equity]])/Tabla33610673[[#This Row],[Equity Peak]],"")</f>
        <v>6.4369853017825496E-3</v>
      </c>
      <c r="V449" s="254">
        <f>IF(B449="FX",N449,0)</f>
        <v>0</v>
      </c>
      <c r="W449" s="254">
        <f>IF(D449="O",IF(V449&lt;0,V449,0),0)</f>
        <v>0</v>
      </c>
      <c r="X449" s="254">
        <f>IF(B449="COM",N449,0)</f>
        <v>-1</v>
      </c>
      <c r="Y449" s="254">
        <f>IF(D449="O",IF(X449&lt;0,X449,0),0)</f>
        <v>0</v>
      </c>
      <c r="Z449" s="254">
        <f>IF(B449="IND",N449,0)</f>
        <v>0</v>
      </c>
      <c r="AA449" s="250">
        <f>IF(D449="O",IF(Z449&lt;0,Z449,0),0)</f>
        <v>0</v>
      </c>
      <c r="AB449" s="254">
        <f>IF(B449="CRYPTO",N449,0)</f>
        <v>0</v>
      </c>
      <c r="AC449" s="250">
        <f>IF(D449="O",IF(AB449&lt;0,AB449,0),0)</f>
        <v>0</v>
      </c>
      <c r="AD449" s="255">
        <f>IF(K449&lt;&gt;"",K449-E449,0)</f>
        <v>3.2638888893416151E-2</v>
      </c>
      <c r="AE449" s="255">
        <f>IF(N449&gt;0,AD449,0)</f>
        <v>0</v>
      </c>
      <c r="AF449" s="255">
        <f>IF(N449&lt;0,AD449,0)</f>
        <v>3.2638888893416151E-2</v>
      </c>
      <c r="AG449" s="255">
        <f>IF(N449=0,AD449,0)</f>
        <v>0</v>
      </c>
    </row>
    <row r="450" spans="2:33" ht="15" customHeight="1" x14ac:dyDescent="0.3">
      <c r="B450" s="196" t="s">
        <v>5</v>
      </c>
      <c r="C450" s="197" t="s">
        <v>13</v>
      </c>
      <c r="D450" s="246" t="str">
        <f>IF(E450&lt;&gt;"",IF(K450&lt;&gt;"","C","O"),"")</f>
        <v>C</v>
      </c>
      <c r="E450" s="199">
        <v>44726.541666666664</v>
      </c>
      <c r="F450" s="200" t="s">
        <v>91</v>
      </c>
      <c r="G450" s="235">
        <v>13355.9</v>
      </c>
      <c r="H450" s="235">
        <v>13404.89</v>
      </c>
      <c r="I450" s="247">
        <f>ABS(G450-H450)</f>
        <v>48.989999999999782</v>
      </c>
      <c r="J450" s="235">
        <v>12441.33</v>
      </c>
      <c r="K450" s="199">
        <v>44726.627083333333</v>
      </c>
      <c r="L450" s="235">
        <v>13378.87</v>
      </c>
      <c r="M450" s="248">
        <f>ROUND(IF(C450="L",(L450-G450),(G450-L450)),4)</f>
        <v>-22.97</v>
      </c>
      <c r="N450" s="249">
        <f>IFERROR(ROUND((M450/I450),2),"")</f>
        <v>-0.47</v>
      </c>
      <c r="O450" s="250">
        <f>IF(D450="O",IF(N450&lt;0,N450,0),0)</f>
        <v>0</v>
      </c>
      <c r="P450" s="251">
        <f>IF(N450&gt;= 0,N450,0)</f>
        <v>0</v>
      </c>
      <c r="Q450" s="251">
        <f>IF(N450&lt;0,N450,0)</f>
        <v>-0.47</v>
      </c>
      <c r="R4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38225</v>
      </c>
      <c r="T4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50" s="253">
        <f ca="1">IF(Tabla33610673[[#This Row],[Equity]]&lt;Tabla33610673[[#This Row],[Equity Peak]],(Tabla33610673[[#This Row],[Equity Peak]]-Tabla33610673[[#This Row],[Equity]])/Tabla33610673[[#This Row],[Equity Peak]],"")</f>
        <v>3.8309183779839467E-3</v>
      </c>
      <c r="V450" s="254">
        <f>IF(B450="FX",N450,0)</f>
        <v>0</v>
      </c>
      <c r="W450" s="254">
        <f>IF(D450="O",IF(V450&lt;0,V450,0),0)</f>
        <v>0</v>
      </c>
      <c r="X450" s="254">
        <f>IF(B450="COM",N450,0)</f>
        <v>0</v>
      </c>
      <c r="Y450" s="254">
        <f>IF(D450="O",IF(X450&lt;0,X450,0),0)</f>
        <v>0</v>
      </c>
      <c r="Z450" s="254">
        <f>IF(B450="IND",N450,0)</f>
        <v>-0.47</v>
      </c>
      <c r="AA450" s="250">
        <f>IF(D450="O",IF(Z450&lt;0,Z450,0),0)</f>
        <v>0</v>
      </c>
      <c r="AB450" s="254">
        <f>IF(B450="CRYPTO",N450,0)</f>
        <v>0</v>
      </c>
      <c r="AC450" s="250">
        <f>IF(D450="O",IF(AB450&lt;0,AB450,0),0)</f>
        <v>0</v>
      </c>
      <c r="AD450" s="255">
        <f>IF(K450&lt;&gt;"",K450-E450,0)</f>
        <v>8.5416666668606922E-2</v>
      </c>
      <c r="AE450" s="255">
        <f>IF(N450&gt;0,AD450,0)</f>
        <v>0</v>
      </c>
      <c r="AF450" s="255">
        <f>IF(N450&lt;0,AD450,0)</f>
        <v>8.5416666668606922E-2</v>
      </c>
      <c r="AG450" s="255">
        <f>IF(N450=0,AD450,0)</f>
        <v>0</v>
      </c>
    </row>
    <row r="451" spans="2:33" ht="15" customHeight="1" x14ac:dyDescent="0.3">
      <c r="B451" s="196" t="s">
        <v>19</v>
      </c>
      <c r="C451" s="197" t="s">
        <v>13</v>
      </c>
      <c r="D451" s="246" t="str">
        <f>IF(E451&lt;&gt;"",IF(K451&lt;&gt;"","C","O"),"")</f>
        <v>C</v>
      </c>
      <c r="E451" s="199">
        <v>44725.927083333336</v>
      </c>
      <c r="F451" s="200" t="s">
        <v>88</v>
      </c>
      <c r="G451" s="235">
        <v>1822.47</v>
      </c>
      <c r="H451" s="235">
        <v>1826.97</v>
      </c>
      <c r="I451" s="247">
        <f>ABS(G451-H451)</f>
        <v>4.5</v>
      </c>
      <c r="J451" s="235">
        <v>1768.43</v>
      </c>
      <c r="K451" s="199">
        <v>44726.245833333334</v>
      </c>
      <c r="L451" s="235">
        <v>1826.97</v>
      </c>
      <c r="M451" s="248">
        <f>ROUND(IF(C451="L",(L451-G451),(G451-L451)),4)</f>
        <v>-4.5</v>
      </c>
      <c r="N451" s="249">
        <f>IFERROR(ROUND((M451/I451),2),"")</f>
        <v>-1</v>
      </c>
      <c r="O451" s="250">
        <f>IF(D451="O",IF(N451&lt;0,N451,0),0)</f>
        <v>0</v>
      </c>
      <c r="P451" s="251">
        <f>IF(N451&gt;= 0,N451,0)</f>
        <v>0</v>
      </c>
      <c r="Q451" s="251">
        <f>IF(N451&lt;0,N451,0)</f>
        <v>-1</v>
      </c>
      <c r="R4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38272</v>
      </c>
      <c r="T4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51" s="253">
        <f ca="1">IF(Tabla33610673[[#This Row],[Equity]]&lt;Tabla33610673[[#This Row],[Equity Peak]],(Tabla33610673[[#This Row],[Equity Peak]]-Tabla33610673[[#This Row],[Equity]])/Tabla33610673[[#This Row],[Equity Peak]],"")</f>
        <v>2.6060669237986034E-3</v>
      </c>
      <c r="V451" s="254">
        <f>IF(B451="FX",N451,0)</f>
        <v>0</v>
      </c>
      <c r="W451" s="254">
        <f>IF(D451="O",IF(V451&lt;0,V451,0),0)</f>
        <v>0</v>
      </c>
      <c r="X451" s="254">
        <f>IF(B451="COM",N451,0)</f>
        <v>-1</v>
      </c>
      <c r="Y451" s="254">
        <f>IF(D451="O",IF(X451&lt;0,X451,0),0)</f>
        <v>0</v>
      </c>
      <c r="Z451" s="254">
        <f>IF(B451="IND",N451,0)</f>
        <v>0</v>
      </c>
      <c r="AA451" s="250">
        <f>IF(D451="O",IF(Z451&lt;0,Z451,0),0)</f>
        <v>0</v>
      </c>
      <c r="AB451" s="254">
        <f>IF(B451="CRYPTO",N451,0)</f>
        <v>0</v>
      </c>
      <c r="AC451" s="250">
        <f>IF(D451="O",IF(AB451&lt;0,AB451,0),0)</f>
        <v>0</v>
      </c>
      <c r="AD451" s="255">
        <f>IF(K451&lt;&gt;"",K451-E451,0)</f>
        <v>0.31874999999854481</v>
      </c>
      <c r="AE451" s="255">
        <f>IF(N451&gt;0,AD451,0)</f>
        <v>0</v>
      </c>
      <c r="AF451" s="255">
        <f>IF(N451&lt;0,AD451,0)</f>
        <v>0.31874999999854481</v>
      </c>
      <c r="AG451" s="255">
        <f>IF(N451=0,AD451,0)</f>
        <v>0</v>
      </c>
    </row>
    <row r="452" spans="2:33" ht="15" customHeight="1" x14ac:dyDescent="0.3">
      <c r="B452" s="196" t="s">
        <v>7</v>
      </c>
      <c r="C452" s="197" t="s">
        <v>13</v>
      </c>
      <c r="D452" s="246" t="str">
        <f>IF(E452&lt;&gt;"",IF(K452&lt;&gt;"","C","O"),"")</f>
        <v>C</v>
      </c>
      <c r="E452" s="199">
        <v>44722.520833333336</v>
      </c>
      <c r="F452" s="200" t="s">
        <v>114</v>
      </c>
      <c r="G452" s="235">
        <v>1.0592900000000001</v>
      </c>
      <c r="H452" s="235">
        <v>1.0611299999999999</v>
      </c>
      <c r="I452" s="247">
        <f>ABS(G452-H452)</f>
        <v>1.8399999999998418E-3</v>
      </c>
      <c r="J452" s="235">
        <v>1.0427</v>
      </c>
      <c r="K452" s="199">
        <v>44725.720833333333</v>
      </c>
      <c r="L452" s="235">
        <v>1.0427</v>
      </c>
      <c r="M452" s="248">
        <f>ROUND(IF(C452="L",(L452-G452),(G452-L452)),4)</f>
        <v>1.66E-2</v>
      </c>
      <c r="N452" s="249">
        <f>IFERROR(ROUND((M452/I452),2),"")</f>
        <v>9.02</v>
      </c>
      <c r="O452" s="250">
        <f>IF(D452="O",IF(N452&lt;0,N452,0),0)</f>
        <v>0</v>
      </c>
      <c r="P452" s="251">
        <f>IF(N452&gt;= 0,N452,0)</f>
        <v>9.02</v>
      </c>
      <c r="Q452" s="251">
        <f>IF(N452&lt;0,N452,0)</f>
        <v>0</v>
      </c>
      <c r="R4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38372</v>
      </c>
      <c r="T4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38372</v>
      </c>
      <c r="U45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52" s="254">
        <f>IF(B452="FX",N452,0)</f>
        <v>9.02</v>
      </c>
      <c r="W452" s="254">
        <f>IF(D452="O",IF(V452&lt;0,V452,0),0)</f>
        <v>0</v>
      </c>
      <c r="X452" s="254">
        <f>IF(B452="COM",N452,0)</f>
        <v>0</v>
      </c>
      <c r="Y452" s="254">
        <f>IF(D452="O",IF(X452&lt;0,X452,0),0)</f>
        <v>0</v>
      </c>
      <c r="Z452" s="254">
        <f>IF(B452="IND",N452,0)</f>
        <v>0</v>
      </c>
      <c r="AA452" s="250">
        <f>IF(D452="O",IF(Z452&lt;0,Z452,0),0)</f>
        <v>0</v>
      </c>
      <c r="AB452" s="254">
        <f>IF(B452="CRYPTO",N452,0)</f>
        <v>0</v>
      </c>
      <c r="AC452" s="250">
        <f>IF(D452="O",IF(AB452&lt;0,AB452,0),0)</f>
        <v>0</v>
      </c>
      <c r="AD452" s="255">
        <f>IF(K452&lt;&gt;"",K452-E452,0)</f>
        <v>3.1999999999970896</v>
      </c>
      <c r="AE452" s="255">
        <f>IF(N452&gt;0,AD452,0)</f>
        <v>3.1999999999970896</v>
      </c>
      <c r="AF452" s="255">
        <f>IF(N452&lt;0,AD452,0)</f>
        <v>0</v>
      </c>
      <c r="AG452" s="255">
        <f>IF(N452=0,AD452,0)</f>
        <v>0</v>
      </c>
    </row>
    <row r="453" spans="2:33" ht="15" customHeight="1" x14ac:dyDescent="0.3">
      <c r="B453" s="196" t="s">
        <v>7</v>
      </c>
      <c r="C453" s="197" t="s">
        <v>13</v>
      </c>
      <c r="D453" s="246" t="str">
        <f>IF(E453&lt;&gt;"",IF(K453&lt;&gt;"","C","O"),"")</f>
        <v>C</v>
      </c>
      <c r="E453" s="199">
        <v>44722.4375</v>
      </c>
      <c r="F453" s="200" t="s">
        <v>115</v>
      </c>
      <c r="G453" s="235">
        <v>166.65199999999999</v>
      </c>
      <c r="H453" s="235">
        <v>167.28800000000001</v>
      </c>
      <c r="I453" s="247">
        <f>ABS(G453-H453)</f>
        <v>0.6360000000000241</v>
      </c>
      <c r="J453" s="235">
        <v>164.833</v>
      </c>
      <c r="K453" s="199">
        <v>44725.453472222223</v>
      </c>
      <c r="L453" s="235">
        <v>164.833</v>
      </c>
      <c r="M453" s="248">
        <f>ROUND(IF(C453="L",(L453-G453),(G453-L453)),4)</f>
        <v>1.819</v>
      </c>
      <c r="N453" s="249">
        <f>IFERROR(ROUND((M453/I453),2),"")</f>
        <v>2.86</v>
      </c>
      <c r="O453" s="250">
        <f>IF(D453="O",IF(N453&lt;0,N453,0),0)</f>
        <v>0</v>
      </c>
      <c r="P453" s="251">
        <f>IF(N453&gt;= 0,N453,0)</f>
        <v>2.86</v>
      </c>
      <c r="Q453" s="251">
        <f>IF(N453&lt;0,N453,0)</f>
        <v>0</v>
      </c>
      <c r="R4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37470</v>
      </c>
      <c r="T4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37470</v>
      </c>
      <c r="U45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53" s="254">
        <f>IF(B453="FX",N453,0)</f>
        <v>2.86</v>
      </c>
      <c r="W453" s="254">
        <f>IF(D453="O",IF(V453&lt;0,V453,0),0)</f>
        <v>0</v>
      </c>
      <c r="X453" s="254">
        <f>IF(B453="COM",N453,0)</f>
        <v>0</v>
      </c>
      <c r="Y453" s="254">
        <f>IF(D453="O",IF(X453&lt;0,X453,0),0)</f>
        <v>0</v>
      </c>
      <c r="Z453" s="254">
        <f>IF(B453="IND",N453,0)</f>
        <v>0</v>
      </c>
      <c r="AA453" s="250">
        <f>IF(D453="O",IF(Z453&lt;0,Z453,0),0)</f>
        <v>0</v>
      </c>
      <c r="AB453" s="254">
        <f>IF(B453="CRYPTO",N453,0)</f>
        <v>0</v>
      </c>
      <c r="AC453" s="250">
        <f>IF(D453="O",IF(AB453&lt;0,AB453,0),0)</f>
        <v>0</v>
      </c>
      <c r="AD453" s="255">
        <f>IF(K453&lt;&gt;"",K453-E453,0)</f>
        <v>3.015972222223354</v>
      </c>
      <c r="AE453" s="255">
        <f>IF(N453&gt;0,AD453,0)</f>
        <v>3.015972222223354</v>
      </c>
      <c r="AF453" s="255">
        <f>IF(N453&lt;0,AD453,0)</f>
        <v>0</v>
      </c>
      <c r="AG453" s="255">
        <f>IF(N453=0,AD453,0)</f>
        <v>0</v>
      </c>
    </row>
    <row r="454" spans="2:33" ht="15" customHeight="1" x14ac:dyDescent="0.3">
      <c r="B454" s="196" t="s">
        <v>7</v>
      </c>
      <c r="C454" s="197" t="s">
        <v>15</v>
      </c>
      <c r="D454" s="246" t="str">
        <f>IF(E454&lt;&gt;"",IF(K454&lt;&gt;"","C","O"),"")</f>
        <v>C</v>
      </c>
      <c r="E454" s="199">
        <v>44725.104166666664</v>
      </c>
      <c r="F454" s="200" t="s">
        <v>116</v>
      </c>
      <c r="G454" s="235">
        <v>134.77199999999999</v>
      </c>
      <c r="H454" s="235">
        <v>134.464</v>
      </c>
      <c r="I454" s="247">
        <f>ABS(G454-H454)</f>
        <v>0.30799999999999272</v>
      </c>
      <c r="J454" s="235">
        <v>137.97999999999999</v>
      </c>
      <c r="K454" s="199">
        <v>44725.345833333333</v>
      </c>
      <c r="L454" s="235">
        <v>134.732</v>
      </c>
      <c r="M454" s="248">
        <f>ROUND(IF(C454="L",(L454-G454),(G454-L454)),4)</f>
        <v>-0.04</v>
      </c>
      <c r="N454" s="249">
        <f>IFERROR(ROUND((M454/I454),2),"")</f>
        <v>-0.13</v>
      </c>
      <c r="O454" s="250">
        <f>IF(D454="O",IF(N454&lt;0,N454,0),0)</f>
        <v>0</v>
      </c>
      <c r="P454" s="251">
        <f>IF(N454&gt;= 0,N454,0)</f>
        <v>0</v>
      </c>
      <c r="Q454" s="251">
        <f>IF(N454&lt;0,N454,0)</f>
        <v>-0.13</v>
      </c>
      <c r="R4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37184</v>
      </c>
      <c r="T4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37197</v>
      </c>
      <c r="U454" s="253">
        <f ca="1">IF(Tabla33610673[[#This Row],[Equity]]&lt;Tabla33610673[[#This Row],[Equity Peak]],(Tabla33610673[[#This Row],[Equity Peak]]-Tabla33610673[[#This Row],[Equity]])/Tabla33610673[[#This Row],[Equity Peak]],"")</f>
        <v>3.4949055031319729E-4</v>
      </c>
      <c r="V454" s="254">
        <f>IF(B454="FX",N454,0)</f>
        <v>-0.13</v>
      </c>
      <c r="W454" s="254">
        <f>IF(D454="O",IF(V454&lt;0,V454,0),0)</f>
        <v>0</v>
      </c>
      <c r="X454" s="254">
        <f>IF(B454="COM",N454,0)</f>
        <v>0</v>
      </c>
      <c r="Y454" s="254">
        <f>IF(D454="O",IF(X454&lt;0,X454,0),0)</f>
        <v>0</v>
      </c>
      <c r="Z454" s="254">
        <f>IF(B454="IND",N454,0)</f>
        <v>0</v>
      </c>
      <c r="AA454" s="250">
        <f>IF(D454="O",IF(Z454&lt;0,Z454,0),0)</f>
        <v>0</v>
      </c>
      <c r="AB454" s="254">
        <f>IF(B454="CRYPTO",N454,0)</f>
        <v>0</v>
      </c>
      <c r="AC454" s="250">
        <f>IF(D454="O",IF(AB454&lt;0,AB454,0),0)</f>
        <v>0</v>
      </c>
      <c r="AD454" s="255">
        <f>IF(K454&lt;&gt;"",K454-E454,0)</f>
        <v>0.24166666666860692</v>
      </c>
      <c r="AE454" s="255">
        <f>IF(N454&gt;0,AD454,0)</f>
        <v>0</v>
      </c>
      <c r="AF454" s="255">
        <f>IF(N454&lt;0,AD454,0)</f>
        <v>0.24166666666860692</v>
      </c>
      <c r="AG454" s="255">
        <f>IF(N454=0,AD454,0)</f>
        <v>0</v>
      </c>
    </row>
    <row r="455" spans="2:33" ht="15" customHeight="1" x14ac:dyDescent="0.3">
      <c r="B455" s="196" t="s">
        <v>5</v>
      </c>
      <c r="C455" s="197" t="s">
        <v>13</v>
      </c>
      <c r="D455" s="246" t="str">
        <f>IF(E455&lt;&gt;"",IF(K455&lt;&gt;"","C","O"),"")</f>
        <v>C</v>
      </c>
      <c r="E455" s="199">
        <v>44721.90625</v>
      </c>
      <c r="F455" s="200" t="s">
        <v>92</v>
      </c>
      <c r="G455" s="235">
        <v>12469.3</v>
      </c>
      <c r="H455" s="235">
        <v>12516.05</v>
      </c>
      <c r="I455" s="247">
        <f>ABS(G455-H455)</f>
        <v>46.75</v>
      </c>
      <c r="J455" s="235">
        <v>11596.7</v>
      </c>
      <c r="K455" s="199">
        <v>44725.181944444441</v>
      </c>
      <c r="L455" s="235">
        <v>11596.7</v>
      </c>
      <c r="M455" s="248">
        <f>ROUND(IF(C455="L",(L455-G455),(G455-L455)),4)</f>
        <v>872.6</v>
      </c>
      <c r="N455" s="249">
        <f>IFERROR(ROUND((M455/I455),2),"")</f>
        <v>18.670000000000002</v>
      </c>
      <c r="O455" s="250">
        <f>IF(D455="O",IF(N455&lt;0,N455,0),0)</f>
        <v>0</v>
      </c>
      <c r="P455" s="251">
        <f>IF(N455&gt;= 0,N455,0)</f>
        <v>18.670000000000002</v>
      </c>
      <c r="Q455" s="251">
        <f>IF(N455&lt;0,N455,0)</f>
        <v>0</v>
      </c>
      <c r="R4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37197</v>
      </c>
      <c r="T4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37197</v>
      </c>
      <c r="U45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55" s="254">
        <f>IF(B455="FX",N455,0)</f>
        <v>0</v>
      </c>
      <c r="W455" s="254">
        <f>IF(D455="O",IF(V455&lt;0,V455,0),0)</f>
        <v>0</v>
      </c>
      <c r="X455" s="254">
        <f>IF(B455="COM",N455,0)</f>
        <v>0</v>
      </c>
      <c r="Y455" s="254">
        <f>IF(D455="O",IF(X455&lt;0,X455,0),0)</f>
        <v>0</v>
      </c>
      <c r="Z455" s="254">
        <f>IF(B455="IND",N455,0)</f>
        <v>18.670000000000002</v>
      </c>
      <c r="AA455" s="250">
        <f>IF(D455="O",IF(Z455&lt;0,Z455,0),0)</f>
        <v>0</v>
      </c>
      <c r="AB455" s="254">
        <f>IF(B455="CRYPTO",N455,0)</f>
        <v>0</v>
      </c>
      <c r="AC455" s="250">
        <f>IF(D455="O",IF(AB455&lt;0,AB455,0),0)</f>
        <v>0</v>
      </c>
      <c r="AD455" s="255">
        <f>IF(K455&lt;&gt;"",K455-E455,0)</f>
        <v>3.2756944444408873</v>
      </c>
      <c r="AE455" s="255">
        <f>IF(N455&gt;0,AD455,0)</f>
        <v>3.2756944444408873</v>
      </c>
      <c r="AF455" s="255">
        <f>IF(N455&lt;0,AD455,0)</f>
        <v>0</v>
      </c>
      <c r="AG455" s="255">
        <f>IF(N455=0,AD455,0)</f>
        <v>0</v>
      </c>
    </row>
    <row r="456" spans="2:33" ht="15" customHeight="1" x14ac:dyDescent="0.3">
      <c r="B456" s="196" t="s">
        <v>19</v>
      </c>
      <c r="C456" s="197" t="s">
        <v>15</v>
      </c>
      <c r="D456" s="246" t="str">
        <f>IF(E456&lt;&gt;"",IF(K456&lt;&gt;"","C","O"),"")</f>
        <v>C</v>
      </c>
      <c r="E456" s="199">
        <v>44725.052083333336</v>
      </c>
      <c r="F456" s="200" t="s">
        <v>88</v>
      </c>
      <c r="G456" s="235">
        <v>1877.89</v>
      </c>
      <c r="H456" s="235">
        <v>1873.11</v>
      </c>
      <c r="I456" s="247">
        <f>ABS(G456-H456)</f>
        <v>4.7800000000002001</v>
      </c>
      <c r="J456" s="235">
        <v>1935.22</v>
      </c>
      <c r="K456" s="199">
        <v>44725.154861111114</v>
      </c>
      <c r="L456" s="235">
        <v>1873.11</v>
      </c>
      <c r="M456" s="248">
        <f>ROUND(IF(C456="L",(L456-G456),(G456-L456)),4)</f>
        <v>-4.78</v>
      </c>
      <c r="N456" s="249">
        <f>IFERROR(ROUND((M456/I456),2),"")</f>
        <v>-1</v>
      </c>
      <c r="O456" s="250">
        <f>IF(D456="O",IF(N456&lt;0,N456,0),0)</f>
        <v>0</v>
      </c>
      <c r="P456" s="251">
        <f>IF(N456&gt;= 0,N456,0)</f>
        <v>0</v>
      </c>
      <c r="Q456" s="251">
        <f>IF(N456&lt;0,N456,0)</f>
        <v>-1</v>
      </c>
      <c r="R4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35330</v>
      </c>
      <c r="T4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35430</v>
      </c>
      <c r="U456" s="253">
        <f ca="1">IF(Tabla33610673[[#This Row],[Equity]]&lt;Tabla33610673[[#This Row],[Equity Peak]],(Tabla33610673[[#This Row],[Equity Peak]]-Tabla33610673[[#This Row],[Equity]])/Tabla33610673[[#This Row],[Equity Peak]],"")</f>
        <v>2.8224668360146768E-3</v>
      </c>
      <c r="V456" s="254">
        <f>IF(B456="FX",N456,0)</f>
        <v>0</v>
      </c>
      <c r="W456" s="254">
        <f>IF(D456="O",IF(V456&lt;0,V456,0),0)</f>
        <v>0</v>
      </c>
      <c r="X456" s="254">
        <f>IF(B456="COM",N456,0)</f>
        <v>-1</v>
      </c>
      <c r="Y456" s="254">
        <f>IF(D456="O",IF(X456&lt;0,X456,0),0)</f>
        <v>0</v>
      </c>
      <c r="Z456" s="254">
        <f>IF(B456="IND",N456,0)</f>
        <v>0</v>
      </c>
      <c r="AA456" s="250">
        <f>IF(D456="O",IF(Z456&lt;0,Z456,0),0)</f>
        <v>0</v>
      </c>
      <c r="AB456" s="254">
        <f>IF(B456="CRYPTO",N456,0)</f>
        <v>0</v>
      </c>
      <c r="AC456" s="250">
        <f>IF(D456="O",IF(AB456&lt;0,AB456,0),0)</f>
        <v>0</v>
      </c>
      <c r="AD456" s="255">
        <f>IF(K456&lt;&gt;"",K456-E456,0)</f>
        <v>0.10277777777810115</v>
      </c>
      <c r="AE456" s="255">
        <f>IF(N456&gt;0,AD456,0)</f>
        <v>0</v>
      </c>
      <c r="AF456" s="255">
        <f>IF(N456&lt;0,AD456,0)</f>
        <v>0.10277777777810115</v>
      </c>
      <c r="AG456" s="255">
        <f>IF(N456=0,AD456,0)</f>
        <v>0</v>
      </c>
    </row>
    <row r="457" spans="2:33" ht="15" customHeight="1" x14ac:dyDescent="0.3">
      <c r="B457" s="196" t="s">
        <v>5</v>
      </c>
      <c r="C457" s="197" t="s">
        <v>13</v>
      </c>
      <c r="D457" s="246" t="str">
        <f>IF(E457&lt;&gt;"",IF(K457&lt;&gt;"","C","O"),"")</f>
        <v>C</v>
      </c>
      <c r="E457" s="199">
        <v>44721.635416666664</v>
      </c>
      <c r="F457" s="200" t="s">
        <v>91</v>
      </c>
      <c r="G457" s="235">
        <v>14275.96</v>
      </c>
      <c r="H457" s="235">
        <v>14308.49</v>
      </c>
      <c r="I457" s="247">
        <f>ABS(G457-H457)</f>
        <v>32.530000000000655</v>
      </c>
      <c r="J457" s="235">
        <v>13668.7</v>
      </c>
      <c r="K457" s="199">
        <v>44725.135416666664</v>
      </c>
      <c r="L457" s="235">
        <v>13668.7</v>
      </c>
      <c r="M457" s="248">
        <f>ROUND(IF(C457="L",(L457-G457),(G457-L457)),4)</f>
        <v>607.26</v>
      </c>
      <c r="N457" s="249">
        <f>IFERROR(ROUND((M457/I457),2),"")</f>
        <v>18.670000000000002</v>
      </c>
      <c r="O457" s="250">
        <f>IF(D457="O",IF(N457&lt;0,N457,0),0)</f>
        <v>0</v>
      </c>
      <c r="P457" s="251">
        <f>IF(N457&gt;= 0,N457,0)</f>
        <v>18.670000000000002</v>
      </c>
      <c r="Q457" s="251">
        <f>IF(N457&lt;0,N457,0)</f>
        <v>0</v>
      </c>
      <c r="R4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35430</v>
      </c>
      <c r="T4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35430</v>
      </c>
      <c r="U45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57" s="254">
        <f>IF(B457="FX",N457,0)</f>
        <v>0</v>
      </c>
      <c r="W457" s="254">
        <f>IF(D457="O",IF(V457&lt;0,V457,0),0)</f>
        <v>0</v>
      </c>
      <c r="X457" s="254">
        <f>IF(B457="COM",N457,0)</f>
        <v>0</v>
      </c>
      <c r="Y457" s="254">
        <f>IF(D457="O",IF(X457&lt;0,X457,0),0)</f>
        <v>0</v>
      </c>
      <c r="Z457" s="254">
        <f>IF(B457="IND",N457,0)</f>
        <v>18.670000000000002</v>
      </c>
      <c r="AA457" s="250">
        <f>IF(D457="O",IF(Z457&lt;0,Z457,0),0)</f>
        <v>0</v>
      </c>
      <c r="AB457" s="254">
        <f>IF(B457="CRYPTO",N457,0)</f>
        <v>0</v>
      </c>
      <c r="AC457" s="250">
        <f>IF(D457="O",IF(AB457&lt;0,AB457,0),0)</f>
        <v>0</v>
      </c>
      <c r="AD457" s="255">
        <f>IF(K457&lt;&gt;"",K457-E457,0)</f>
        <v>3.5</v>
      </c>
      <c r="AE457" s="255">
        <f>IF(N457&gt;0,AD457,0)</f>
        <v>3.5</v>
      </c>
      <c r="AF457" s="255">
        <f>IF(N457&lt;0,AD457,0)</f>
        <v>0</v>
      </c>
      <c r="AG457" s="255">
        <f>IF(N457=0,AD457,0)</f>
        <v>0</v>
      </c>
    </row>
    <row r="458" spans="2:33" ht="15" customHeight="1" x14ac:dyDescent="0.3">
      <c r="B458" s="196" t="s">
        <v>19</v>
      </c>
      <c r="C458" s="197" t="s">
        <v>15</v>
      </c>
      <c r="D458" s="246" t="str">
        <f>IF(E458&lt;&gt;"",IF(K458&lt;&gt;"","C","O"),"")</f>
        <v>C</v>
      </c>
      <c r="E458" s="199">
        <v>44722.8125</v>
      </c>
      <c r="F458" s="200" t="s">
        <v>88</v>
      </c>
      <c r="G458" s="235">
        <v>1874.71</v>
      </c>
      <c r="H458" s="235">
        <v>1870.42</v>
      </c>
      <c r="I458" s="247">
        <f>ABS(G458-H458)</f>
        <v>4.2899999999999636</v>
      </c>
      <c r="J458" s="235">
        <v>1926.18</v>
      </c>
      <c r="K458" s="199">
        <v>44722.829861111109</v>
      </c>
      <c r="L458" s="235">
        <v>1870.42</v>
      </c>
      <c r="M458" s="248">
        <f>ROUND(IF(C458="L",(L458-G458),(G458-L458)),4)</f>
        <v>-4.29</v>
      </c>
      <c r="N458" s="249">
        <f>IFERROR(ROUND((M458/I458),2),"")</f>
        <v>-1</v>
      </c>
      <c r="O458" s="250">
        <f>IF(D458="O",IF(N458&lt;0,N458,0),0)</f>
        <v>0</v>
      </c>
      <c r="P458" s="251">
        <f>IF(N458&gt;= 0,N458,0)</f>
        <v>0</v>
      </c>
      <c r="Q458" s="251">
        <f>IF(N458&lt;0,N458,0)</f>
        <v>-1</v>
      </c>
      <c r="R4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33563</v>
      </c>
      <c r="T4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33663</v>
      </c>
      <c r="U458" s="253">
        <f ca="1">IF(Tabla33610673[[#This Row],[Equity]]&lt;Tabla33610673[[#This Row],[Equity Peak]],(Tabla33610673[[#This Row],[Equity Peak]]-Tabla33610673[[#This Row],[Equity]])/Tabla33610673[[#This Row],[Equity Peak]],"")</f>
        <v>2.9706205626355347E-3</v>
      </c>
      <c r="V458" s="254">
        <f>IF(B458="FX",N458,0)</f>
        <v>0</v>
      </c>
      <c r="W458" s="254">
        <f>IF(D458="O",IF(V458&lt;0,V458,0),0)</f>
        <v>0</v>
      </c>
      <c r="X458" s="254">
        <f>IF(B458="COM",N458,0)</f>
        <v>-1</v>
      </c>
      <c r="Y458" s="254">
        <f>IF(D458="O",IF(X458&lt;0,X458,0),0)</f>
        <v>0</v>
      </c>
      <c r="Z458" s="254">
        <f>IF(B458="IND",N458,0)</f>
        <v>0</v>
      </c>
      <c r="AA458" s="250">
        <f>IF(D458="O",IF(Z458&lt;0,Z458,0),0)</f>
        <v>0</v>
      </c>
      <c r="AB458" s="254">
        <f>IF(B458="CRYPTO",N458,0)</f>
        <v>0</v>
      </c>
      <c r="AC458" s="250">
        <f>IF(D458="O",IF(AB458&lt;0,AB458,0),0)</f>
        <v>0</v>
      </c>
      <c r="AD458" s="255">
        <f>IF(K458&lt;&gt;"",K458-E458,0)</f>
        <v>1.7361111109494232E-2</v>
      </c>
      <c r="AE458" s="255">
        <f>IF(N458&gt;0,AD458,0)</f>
        <v>0</v>
      </c>
      <c r="AF458" s="255">
        <f>IF(N458&lt;0,AD458,0)</f>
        <v>1.7361111109494232E-2</v>
      </c>
      <c r="AG458" s="255">
        <f>IF(N458=0,AD458,0)</f>
        <v>0</v>
      </c>
    </row>
    <row r="459" spans="2:33" ht="15" customHeight="1" x14ac:dyDescent="0.3">
      <c r="B459" s="196" t="s">
        <v>5</v>
      </c>
      <c r="C459" s="197" t="s">
        <v>13</v>
      </c>
      <c r="D459" s="246" t="str">
        <f>IF(E459&lt;&gt;"",IF(K459&lt;&gt;"","C","O"),"")</f>
        <v>C</v>
      </c>
      <c r="E459" s="199">
        <v>44721.90625</v>
      </c>
      <c r="F459" s="200" t="s">
        <v>93</v>
      </c>
      <c r="G459" s="235">
        <v>12469.3</v>
      </c>
      <c r="H459" s="235">
        <v>12514</v>
      </c>
      <c r="I459" s="247">
        <f>ABS(G459-H459)</f>
        <v>44.700000000000728</v>
      </c>
      <c r="J459" s="235">
        <v>11992.46</v>
      </c>
      <c r="K459" s="199">
        <v>44722.689583333333</v>
      </c>
      <c r="L459" s="235">
        <v>11992.46</v>
      </c>
      <c r="M459" s="248">
        <f>ROUND(IF(C459="L",(L459-G459),(G459-L459)),4)</f>
        <v>476.84</v>
      </c>
      <c r="N459" s="249">
        <f>IFERROR(ROUND((M459/I459),2),"")</f>
        <v>10.67</v>
      </c>
      <c r="O459" s="250">
        <f>IF(D459="O",IF(N459&lt;0,N459,0),0)</f>
        <v>0</v>
      </c>
      <c r="P459" s="251">
        <f>IF(N459&gt;= 0,N459,0)</f>
        <v>10.67</v>
      </c>
      <c r="Q459" s="251">
        <f>IF(N459&lt;0,N459,0)</f>
        <v>0</v>
      </c>
      <c r="R4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33663</v>
      </c>
      <c r="T4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33663</v>
      </c>
      <c r="U45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59" s="254">
        <f>IF(B459="FX",N459,0)</f>
        <v>0</v>
      </c>
      <c r="W459" s="254">
        <f>IF(D459="O",IF(V459&lt;0,V459,0),0)</f>
        <v>0</v>
      </c>
      <c r="X459" s="254">
        <f>IF(B459="COM",N459,0)</f>
        <v>0</v>
      </c>
      <c r="Y459" s="254">
        <f>IF(D459="O",IF(X459&lt;0,X459,0),0)</f>
        <v>0</v>
      </c>
      <c r="Z459" s="254">
        <f>IF(B459="IND",N459,0)</f>
        <v>10.67</v>
      </c>
      <c r="AA459" s="250">
        <f>IF(D459="O",IF(Z459&lt;0,Z459,0),0)</f>
        <v>0</v>
      </c>
      <c r="AB459" s="254">
        <f>IF(B459="CRYPTO",N459,0)</f>
        <v>0</v>
      </c>
      <c r="AC459" s="250">
        <f>IF(D459="O",IF(AB459&lt;0,AB459,0),0)</f>
        <v>0</v>
      </c>
      <c r="AD459" s="255">
        <f>IF(K459&lt;&gt;"",K459-E459,0)</f>
        <v>0.78333333333284827</v>
      </c>
      <c r="AE459" s="255">
        <f>IF(N459&gt;0,AD459,0)</f>
        <v>0.78333333333284827</v>
      </c>
      <c r="AF459" s="255">
        <f>IF(N459&lt;0,AD459,0)</f>
        <v>0</v>
      </c>
      <c r="AG459" s="255">
        <f>IF(N459=0,AD459,0)</f>
        <v>0</v>
      </c>
    </row>
    <row r="460" spans="2:33" ht="15" customHeight="1" x14ac:dyDescent="0.3">
      <c r="B460" s="196" t="s">
        <v>7</v>
      </c>
      <c r="C460" s="197" t="s">
        <v>13</v>
      </c>
      <c r="D460" s="246" t="str">
        <f>IF(E460&lt;&gt;"",IF(K460&lt;&gt;"","C","O"),"")</f>
        <v>C</v>
      </c>
      <c r="E460" s="199">
        <v>44721.854166666664</v>
      </c>
      <c r="F460" s="200" t="s">
        <v>114</v>
      </c>
      <c r="G460" s="235">
        <v>1.0629</v>
      </c>
      <c r="H460" s="235">
        <v>1.0668500000000001</v>
      </c>
      <c r="I460" s="247">
        <f>ABS(G460-H460)</f>
        <v>3.9500000000001201E-3</v>
      </c>
      <c r="J460" s="235">
        <v>1.0273300000000001</v>
      </c>
      <c r="K460" s="199">
        <v>44722.248611111114</v>
      </c>
      <c r="L460" s="235">
        <v>1.06301</v>
      </c>
      <c r="M460" s="248">
        <f>ROUND(IF(C460="L",(L460-G460),(G460-L460)),4)</f>
        <v>-1E-4</v>
      </c>
      <c r="N460" s="249">
        <f>IFERROR(ROUND((M460/I460),2),"")</f>
        <v>-0.03</v>
      </c>
      <c r="O460" s="250">
        <f>IF(D460="O",IF(N460&lt;0,N460,0),0)</f>
        <v>0</v>
      </c>
      <c r="P460" s="251">
        <f>IF(N460&gt;= 0,N460,0)</f>
        <v>0</v>
      </c>
      <c r="Q460" s="251">
        <f>IF(N460&lt;0,N460,0)</f>
        <v>-0.03</v>
      </c>
      <c r="R4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32596</v>
      </c>
      <c r="T4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32886</v>
      </c>
      <c r="U460" s="253">
        <f ca="1">IF(Tabla33610673[[#This Row],[Equity]]&lt;Tabla33610673[[#This Row],[Equity Peak]],(Tabla33610673[[#This Row],[Equity Peak]]-Tabla33610673[[#This Row],[Equity]])/Tabla33610673[[#This Row],[Equity Peak]],"")</f>
        <v>8.8183421516754845E-3</v>
      </c>
      <c r="V460" s="254">
        <f>IF(B460="FX",N460,0)</f>
        <v>-0.03</v>
      </c>
      <c r="W460" s="254">
        <f>IF(D460="O",IF(V460&lt;0,V460,0),0)</f>
        <v>0</v>
      </c>
      <c r="X460" s="254">
        <f>IF(B460="COM",N460,0)</f>
        <v>0</v>
      </c>
      <c r="Y460" s="254">
        <f>IF(D460="O",IF(X460&lt;0,X460,0),0)</f>
        <v>0</v>
      </c>
      <c r="Z460" s="254">
        <f>IF(B460="IND",N460,0)</f>
        <v>0</v>
      </c>
      <c r="AA460" s="250">
        <f>IF(D460="O",IF(Z460&lt;0,Z460,0),0)</f>
        <v>0</v>
      </c>
      <c r="AB460" s="254">
        <f>IF(B460="CRYPTO",N460,0)</f>
        <v>0</v>
      </c>
      <c r="AC460" s="250">
        <f>IF(D460="O",IF(AB460&lt;0,AB460,0),0)</f>
        <v>0</v>
      </c>
      <c r="AD460" s="255">
        <f>IF(K460&lt;&gt;"",K460-E460,0)</f>
        <v>0.39444444444961846</v>
      </c>
      <c r="AE460" s="255">
        <f>IF(N460&gt;0,AD460,0)</f>
        <v>0</v>
      </c>
      <c r="AF460" s="255">
        <f>IF(N460&lt;0,AD460,0)</f>
        <v>0.39444444444961846</v>
      </c>
      <c r="AG460" s="255">
        <f>IF(N460=0,AD460,0)</f>
        <v>0</v>
      </c>
    </row>
    <row r="461" spans="2:33" ht="15" customHeight="1" x14ac:dyDescent="0.3">
      <c r="B461" s="196" t="s">
        <v>7</v>
      </c>
      <c r="C461" s="197" t="s">
        <v>13</v>
      </c>
      <c r="D461" s="246" t="str">
        <f>IF(E461&lt;&gt;"",IF(K461&lt;&gt;"","C","O"),"")</f>
        <v>C</v>
      </c>
      <c r="E461" s="199">
        <v>44721.447916666664</v>
      </c>
      <c r="F461" s="200" t="s">
        <v>115</v>
      </c>
      <c r="G461" s="235">
        <v>166.92699999999999</v>
      </c>
      <c r="H461" s="235">
        <v>167.47900000000001</v>
      </c>
      <c r="I461" s="247">
        <f>ABS(G461-H461)</f>
        <v>0.55200000000002092</v>
      </c>
      <c r="J461" s="235">
        <v>165.35</v>
      </c>
      <c r="K461" s="199">
        <v>44721.486111111109</v>
      </c>
      <c r="L461" s="235">
        <v>167.40899999999999</v>
      </c>
      <c r="M461" s="248">
        <f>ROUND(IF(C461="L",(L461-G461),(G461-L461)),4)</f>
        <v>-0.48199999999999998</v>
      </c>
      <c r="N461" s="249">
        <f>IFERROR(ROUND((M461/I461),2),"")</f>
        <v>-0.87</v>
      </c>
      <c r="O461" s="250">
        <f>IF(D461="O",IF(N461&lt;0,N461,0),0)</f>
        <v>0</v>
      </c>
      <c r="P461" s="251">
        <f>IF(N461&gt;= 0,N461,0)</f>
        <v>0</v>
      </c>
      <c r="Q461" s="251">
        <f>IF(N461&lt;0,N461,0)</f>
        <v>-0.87</v>
      </c>
      <c r="R4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32599</v>
      </c>
      <c r="T4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32886</v>
      </c>
      <c r="U461" s="253">
        <f ca="1">IF(Tabla33610673[[#This Row],[Equity]]&lt;Tabla33610673[[#This Row],[Equity Peak]],(Tabla33610673[[#This Row],[Equity Peak]]-Tabla33610673[[#This Row],[Equity]])/Tabla33610673[[#This Row],[Equity Peak]],"")</f>
        <v>8.7271179225202212E-3</v>
      </c>
      <c r="V461" s="254">
        <f>IF(B461="FX",N461,0)</f>
        <v>-0.87</v>
      </c>
      <c r="W461" s="254">
        <f>IF(D461="O",IF(V461&lt;0,V461,0),0)</f>
        <v>0</v>
      </c>
      <c r="X461" s="254">
        <f>IF(B461="COM",N461,0)</f>
        <v>0</v>
      </c>
      <c r="Y461" s="254">
        <f>IF(D461="O",IF(X461&lt;0,X461,0),0)</f>
        <v>0</v>
      </c>
      <c r="Z461" s="254">
        <f>IF(B461="IND",N461,0)</f>
        <v>0</v>
      </c>
      <c r="AA461" s="250">
        <f>IF(D461="O",IF(Z461&lt;0,Z461,0),0)</f>
        <v>0</v>
      </c>
      <c r="AB461" s="254">
        <f>IF(B461="CRYPTO",N461,0)</f>
        <v>0</v>
      </c>
      <c r="AC461" s="250">
        <f>IF(D461="O",IF(AB461&lt;0,AB461,0),0)</f>
        <v>0</v>
      </c>
      <c r="AD461" s="255">
        <f>IF(K461&lt;&gt;"",K461-E461,0)</f>
        <v>3.8194444445252884E-2</v>
      </c>
      <c r="AE461" s="255">
        <f>IF(N461&gt;0,AD461,0)</f>
        <v>0</v>
      </c>
      <c r="AF461" s="255">
        <f>IF(N461&lt;0,AD461,0)</f>
        <v>3.8194444445252884E-2</v>
      </c>
      <c r="AG461" s="255">
        <f>IF(N461=0,AD461,0)</f>
        <v>0</v>
      </c>
    </row>
    <row r="462" spans="2:33" ht="15" customHeight="1" x14ac:dyDescent="0.3">
      <c r="B462" s="196" t="s">
        <v>5</v>
      </c>
      <c r="C462" s="197" t="s">
        <v>13</v>
      </c>
      <c r="D462" s="246" t="str">
        <f>IF(E462&lt;&gt;"",IF(K462&lt;&gt;"","C","O"),"")</f>
        <v>C</v>
      </c>
      <c r="E462" s="199">
        <v>44719.59375</v>
      </c>
      <c r="F462" s="200" t="s">
        <v>92</v>
      </c>
      <c r="G462" s="235">
        <v>12443.76</v>
      </c>
      <c r="H462" s="235">
        <v>12489.32</v>
      </c>
      <c r="I462" s="247">
        <f>ABS(G462-H462)</f>
        <v>45.559999999999491</v>
      </c>
      <c r="J462" s="235">
        <v>11593.31</v>
      </c>
      <c r="K462" s="199">
        <v>44719.692361111112</v>
      </c>
      <c r="L462" s="235">
        <v>12489.32</v>
      </c>
      <c r="M462" s="248">
        <f>ROUND(IF(C462="L",(L462-G462),(G462-L462)),4)</f>
        <v>-45.56</v>
      </c>
      <c r="N462" s="249">
        <f>IFERROR(ROUND((M462/I462),2),"")</f>
        <v>-1</v>
      </c>
      <c r="O462" s="250">
        <f>IF(D462="O",IF(N462&lt;0,N462,0),0)</f>
        <v>0</v>
      </c>
      <c r="P462" s="251">
        <f>IF(N462&gt;= 0,N462,0)</f>
        <v>0</v>
      </c>
      <c r="Q462" s="251">
        <f>IF(N462&lt;0,N462,0)</f>
        <v>-1</v>
      </c>
      <c r="R4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32686</v>
      </c>
      <c r="T4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32886</v>
      </c>
      <c r="U462" s="253">
        <f ca="1">IF(Tabla33610673[[#This Row],[Equity]]&lt;Tabla33610673[[#This Row],[Equity Peak]],(Tabla33610673[[#This Row],[Equity Peak]]-Tabla33610673[[#This Row],[Equity]])/Tabla33610673[[#This Row],[Equity Peak]],"")</f>
        <v>6.0816152770175758E-3</v>
      </c>
      <c r="V462" s="254">
        <f>IF(B462="FX",N462,0)</f>
        <v>0</v>
      </c>
      <c r="W462" s="254">
        <f>IF(D462="O",IF(V462&lt;0,V462,0),0)</f>
        <v>0</v>
      </c>
      <c r="X462" s="254">
        <f>IF(B462="COM",N462,0)</f>
        <v>0</v>
      </c>
      <c r="Y462" s="254">
        <f>IF(D462="O",IF(X462&lt;0,X462,0),0)</f>
        <v>0</v>
      </c>
      <c r="Z462" s="254">
        <f>IF(B462="IND",N462,0)</f>
        <v>-1</v>
      </c>
      <c r="AA462" s="250">
        <f>IF(D462="O",IF(Z462&lt;0,Z462,0),0)</f>
        <v>0</v>
      </c>
      <c r="AB462" s="254">
        <f>IF(B462="CRYPTO",N462,0)</f>
        <v>0</v>
      </c>
      <c r="AC462" s="250">
        <f>IF(D462="O",IF(AB462&lt;0,AB462,0),0)</f>
        <v>0</v>
      </c>
      <c r="AD462" s="255">
        <f>IF(K462&lt;&gt;"",K462-E462,0)</f>
        <v>9.8611111112404615E-2</v>
      </c>
      <c r="AE462" s="255">
        <f>IF(N462&gt;0,AD462,0)</f>
        <v>0</v>
      </c>
      <c r="AF462" s="255">
        <f>IF(N462&lt;0,AD462,0)</f>
        <v>9.8611111112404615E-2</v>
      </c>
      <c r="AG462" s="255">
        <f>IF(N462=0,AD462,0)</f>
        <v>0</v>
      </c>
    </row>
    <row r="463" spans="2:33" ht="15" customHeight="1" x14ac:dyDescent="0.3">
      <c r="B463" s="196" t="s">
        <v>5</v>
      </c>
      <c r="C463" s="197" t="s">
        <v>13</v>
      </c>
      <c r="D463" s="246" t="str">
        <f>IF(E463&lt;&gt;"",IF(K463&lt;&gt;"","C","O"),"")</f>
        <v>C</v>
      </c>
      <c r="E463" s="199">
        <v>44719.59375</v>
      </c>
      <c r="F463" s="200" t="s">
        <v>93</v>
      </c>
      <c r="G463" s="235">
        <v>12443.76</v>
      </c>
      <c r="H463" s="235">
        <v>12490.91</v>
      </c>
      <c r="I463" s="247">
        <f>ABS(G463-H463)</f>
        <v>47.149999999999636</v>
      </c>
      <c r="J463" s="235">
        <v>11940.82</v>
      </c>
      <c r="K463" s="199">
        <v>44719.692361111112</v>
      </c>
      <c r="L463" s="235">
        <v>12490.91</v>
      </c>
      <c r="M463" s="248">
        <f>ROUND(IF(C463="L",(L463-G463),(G463-L463)),4)</f>
        <v>-47.15</v>
      </c>
      <c r="N463" s="249">
        <f>IFERROR(ROUND((M463/I463),2),"")</f>
        <v>-1</v>
      </c>
      <c r="O463" s="250">
        <f>IF(D463="O",IF(N463&lt;0,N463,0),0)</f>
        <v>0</v>
      </c>
      <c r="P463" s="251">
        <f>IF(N463&gt;= 0,N463,0)</f>
        <v>0</v>
      </c>
      <c r="Q463" s="251">
        <f>IF(N463&lt;0,N463,0)</f>
        <v>-1</v>
      </c>
      <c r="R4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32786</v>
      </c>
      <c r="T4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32886</v>
      </c>
      <c r="U463" s="253">
        <f ca="1">IF(Tabla33610673[[#This Row],[Equity]]&lt;Tabla33610673[[#This Row],[Equity Peak]],(Tabla33610673[[#This Row],[Equity Peak]]-Tabla33610673[[#This Row],[Equity]])/Tabla33610673[[#This Row],[Equity Peak]],"")</f>
        <v>3.0408076385087879E-3</v>
      </c>
      <c r="V463" s="254">
        <f>IF(B463="FX",N463,0)</f>
        <v>0</v>
      </c>
      <c r="W463" s="254">
        <f>IF(D463="O",IF(V463&lt;0,V463,0),0)</f>
        <v>0</v>
      </c>
      <c r="X463" s="254">
        <f>IF(B463="COM",N463,0)</f>
        <v>0</v>
      </c>
      <c r="Y463" s="254">
        <f>IF(D463="O",IF(X463&lt;0,X463,0),0)</f>
        <v>0</v>
      </c>
      <c r="Z463" s="254">
        <f>IF(B463="IND",N463,0)</f>
        <v>-1</v>
      </c>
      <c r="AA463" s="250">
        <f>IF(D463="O",IF(Z463&lt;0,Z463,0),0)</f>
        <v>0</v>
      </c>
      <c r="AB463" s="254">
        <f>IF(B463="CRYPTO",N463,0)</f>
        <v>0</v>
      </c>
      <c r="AC463" s="250">
        <f>IF(D463="O",IF(AB463&lt;0,AB463,0),0)</f>
        <v>0</v>
      </c>
      <c r="AD463" s="255">
        <f>IF(K463&lt;&gt;"",K463-E463,0)</f>
        <v>9.8611111112404615E-2</v>
      </c>
      <c r="AE463" s="255">
        <f>IF(N463&gt;0,AD463,0)</f>
        <v>0</v>
      </c>
      <c r="AF463" s="255">
        <f>IF(N463&lt;0,AD463,0)</f>
        <v>9.8611111112404615E-2</v>
      </c>
      <c r="AG463" s="255">
        <f>IF(N463=0,AD463,0)</f>
        <v>0</v>
      </c>
    </row>
    <row r="464" spans="2:33" ht="15" customHeight="1" x14ac:dyDescent="0.3">
      <c r="B464" s="196" t="s">
        <v>7</v>
      </c>
      <c r="C464" s="197" t="s">
        <v>15</v>
      </c>
      <c r="D464" s="246" t="str">
        <f>IF(E464&lt;&gt;"",IF(K464&lt;&gt;"","C","O"),"")</f>
        <v>C</v>
      </c>
      <c r="E464" s="199">
        <v>44718.71875</v>
      </c>
      <c r="F464" s="200" t="s">
        <v>116</v>
      </c>
      <c r="G464" s="235">
        <v>131.04400000000001</v>
      </c>
      <c r="H464" s="235">
        <v>130.81899999999999</v>
      </c>
      <c r="I464" s="247">
        <f>ABS(G464-H464)</f>
        <v>0.22500000000002274</v>
      </c>
      <c r="J464" s="235">
        <v>133.38200000000001</v>
      </c>
      <c r="K464" s="199">
        <v>44719.408333333333</v>
      </c>
      <c r="L464" s="235">
        <v>132.62799999999999</v>
      </c>
      <c r="M464" s="248">
        <f>ROUND(IF(C464="L",(L464-G464),(G464-L464)),4)</f>
        <v>1.5840000000000001</v>
      </c>
      <c r="N464" s="249">
        <f>IFERROR(ROUND((M464/I464),2),"")</f>
        <v>7.04</v>
      </c>
      <c r="O464" s="250">
        <f>IF(D464="O",IF(N464&lt;0,N464,0),0)</f>
        <v>0</v>
      </c>
      <c r="P464" s="251">
        <f>IF(N464&gt;= 0,N464,0)</f>
        <v>7.04</v>
      </c>
      <c r="Q464" s="251">
        <f>IF(N464&lt;0,N464,0)</f>
        <v>0</v>
      </c>
      <c r="R4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32886</v>
      </c>
      <c r="T4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32886</v>
      </c>
      <c r="U46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64" s="254">
        <f>IF(B464="FX",N464,0)</f>
        <v>7.04</v>
      </c>
      <c r="W464" s="254">
        <f>IF(D464="O",IF(V464&lt;0,V464,0),0)</f>
        <v>0</v>
      </c>
      <c r="X464" s="254">
        <f>IF(B464="COM",N464,0)</f>
        <v>0</v>
      </c>
      <c r="Y464" s="254">
        <f>IF(D464="O",IF(X464&lt;0,X464,0),0)</f>
        <v>0</v>
      </c>
      <c r="Z464" s="254">
        <f>IF(B464="IND",N464,0)</f>
        <v>0</v>
      </c>
      <c r="AA464" s="250">
        <f>IF(D464="O",IF(Z464&lt;0,Z464,0),0)</f>
        <v>0</v>
      </c>
      <c r="AB464" s="254">
        <f>IF(B464="CRYPTO",N464,0)</f>
        <v>0</v>
      </c>
      <c r="AC464" s="250">
        <f>IF(D464="O",IF(AB464&lt;0,AB464,0),0)</f>
        <v>0</v>
      </c>
      <c r="AD464" s="255">
        <f>IF(K464&lt;&gt;"",K464-E464,0)</f>
        <v>0.68958333333284827</v>
      </c>
      <c r="AE464" s="255">
        <f>IF(N464&gt;0,AD464,0)</f>
        <v>0.68958333333284827</v>
      </c>
      <c r="AF464" s="255">
        <f>IF(N464&lt;0,AD464,0)</f>
        <v>0</v>
      </c>
      <c r="AG464" s="255">
        <f>IF(N464=0,AD464,0)</f>
        <v>0</v>
      </c>
    </row>
    <row r="465" spans="2:33" ht="15" customHeight="1" x14ac:dyDescent="0.3">
      <c r="B465" s="196" t="s">
        <v>5</v>
      </c>
      <c r="C465" s="197" t="s">
        <v>13</v>
      </c>
      <c r="D465" s="246" t="str">
        <f>IF(E465&lt;&gt;"",IF(K465&lt;&gt;"","C","O"),"")</f>
        <v>C</v>
      </c>
      <c r="E465" s="199">
        <v>44719.354166666664</v>
      </c>
      <c r="F465" s="200" t="s">
        <v>92</v>
      </c>
      <c r="G465" s="235">
        <v>12469.04</v>
      </c>
      <c r="H465" s="235">
        <v>12514.89</v>
      </c>
      <c r="I465" s="247">
        <f>ABS(G465-H465)</f>
        <v>45.849999999998545</v>
      </c>
      <c r="J465" s="235">
        <v>11613.23</v>
      </c>
      <c r="K465" s="199">
        <v>44719.396527777775</v>
      </c>
      <c r="L465" s="235">
        <v>12514.89</v>
      </c>
      <c r="M465" s="248">
        <f>ROUND(IF(C465="L",(L465-G465),(G465-L465)),4)</f>
        <v>-45.85</v>
      </c>
      <c r="N465" s="249">
        <f>IFERROR(ROUND((M465/I465),2),"")</f>
        <v>-1</v>
      </c>
      <c r="O465" s="250">
        <f>IF(D465="O",IF(N465&lt;0,N465,0),0)</f>
        <v>0</v>
      </c>
      <c r="P465" s="251">
        <f>IF(N465&gt;= 0,N465,0)</f>
        <v>0</v>
      </c>
      <c r="Q465" s="251">
        <f>IF(N465&lt;0,N465,0)</f>
        <v>-1</v>
      </c>
      <c r="R4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32182</v>
      </c>
      <c r="T4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65" s="253">
        <f ca="1">IF(Tabla33610673[[#This Row],[Equity]]&lt;Tabla33610673[[#This Row],[Equity Peak]],(Tabla33610673[[#This Row],[Equity Peak]]-Tabla33610673[[#This Row],[Equity]])/Tabla33610673[[#This Row],[Equity Peak]],"")</f>
        <v>1.5991438617948325E-2</v>
      </c>
      <c r="V465" s="254">
        <f>IF(B465="FX",N465,0)</f>
        <v>0</v>
      </c>
      <c r="W465" s="254">
        <f>IF(D465="O",IF(V465&lt;0,V465,0),0)</f>
        <v>0</v>
      </c>
      <c r="X465" s="254">
        <f>IF(B465="COM",N465,0)</f>
        <v>0</v>
      </c>
      <c r="Y465" s="254">
        <f>IF(D465="O",IF(X465&lt;0,X465,0),0)</f>
        <v>0</v>
      </c>
      <c r="Z465" s="254">
        <f>IF(B465="IND",N465,0)</f>
        <v>-1</v>
      </c>
      <c r="AA465" s="250">
        <f>IF(D465="O",IF(Z465&lt;0,Z465,0),0)</f>
        <v>0</v>
      </c>
      <c r="AB465" s="254">
        <f>IF(B465="CRYPTO",N465,0)</f>
        <v>0</v>
      </c>
      <c r="AC465" s="250">
        <f>IF(D465="O",IF(AB465&lt;0,AB465,0),0)</f>
        <v>0</v>
      </c>
      <c r="AD465" s="255">
        <f>IF(K465&lt;&gt;"",K465-E465,0)</f>
        <v>4.2361111110949423E-2</v>
      </c>
      <c r="AE465" s="255">
        <f>IF(N465&gt;0,AD465,0)</f>
        <v>0</v>
      </c>
      <c r="AF465" s="255">
        <f>IF(N465&lt;0,AD465,0)</f>
        <v>4.2361111110949423E-2</v>
      </c>
      <c r="AG465" s="255">
        <f>IF(N465=0,AD465,0)</f>
        <v>0</v>
      </c>
    </row>
    <row r="466" spans="2:33" ht="15" customHeight="1" x14ac:dyDescent="0.3">
      <c r="B466" s="196" t="s">
        <v>5</v>
      </c>
      <c r="C466" s="197" t="s">
        <v>13</v>
      </c>
      <c r="D466" s="246" t="str">
        <f>IF(E466&lt;&gt;"",IF(K466&lt;&gt;"","C","O"),"")</f>
        <v>C</v>
      </c>
      <c r="E466" s="199">
        <v>44719.354166666664</v>
      </c>
      <c r="F466" s="200" t="s">
        <v>93</v>
      </c>
      <c r="G466" s="235">
        <v>12469.04</v>
      </c>
      <c r="H466" s="235">
        <v>12513.79</v>
      </c>
      <c r="I466" s="247">
        <f>ABS(G466-H466)</f>
        <v>44.75</v>
      </c>
      <c r="J466" s="235">
        <v>11991.67</v>
      </c>
      <c r="K466" s="199">
        <v>44719.395833333336</v>
      </c>
      <c r="L466" s="235">
        <v>12513.79</v>
      </c>
      <c r="M466" s="248">
        <f>ROUND(IF(C466="L",(L466-G466),(G466-L466)),4)</f>
        <v>-44.75</v>
      </c>
      <c r="N466" s="249">
        <f>IFERROR(ROUND((M466/I466),2),"")</f>
        <v>-1</v>
      </c>
      <c r="O466" s="250">
        <f>IF(D466="O",IF(N466&lt;0,N466,0),0)</f>
        <v>0</v>
      </c>
      <c r="P466" s="251">
        <f>IF(N466&gt;= 0,N466,0)</f>
        <v>0</v>
      </c>
      <c r="Q466" s="251">
        <f>IF(N466&lt;0,N466,0)</f>
        <v>-1</v>
      </c>
      <c r="R4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32282</v>
      </c>
      <c r="T4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66" s="253">
        <f ca="1">IF(Tabla33610673[[#This Row],[Equity]]&lt;Tabla33610673[[#This Row],[Equity Peak]],(Tabla33610673[[#This Row],[Equity Peak]]-Tabla33610673[[#This Row],[Equity]])/Tabla33610673[[#This Row],[Equity Peak]],"")</f>
        <v>1.2933802170921877E-2</v>
      </c>
      <c r="V466" s="254">
        <f>IF(B466="FX",N466,0)</f>
        <v>0</v>
      </c>
      <c r="W466" s="254">
        <f>IF(D466="O",IF(V466&lt;0,V466,0),0)</f>
        <v>0</v>
      </c>
      <c r="X466" s="254">
        <f>IF(B466="COM",N466,0)</f>
        <v>0</v>
      </c>
      <c r="Y466" s="254">
        <f>IF(D466="O",IF(X466&lt;0,X466,0),0)</f>
        <v>0</v>
      </c>
      <c r="Z466" s="254">
        <f>IF(B466="IND",N466,0)</f>
        <v>-1</v>
      </c>
      <c r="AA466" s="250">
        <f>IF(D466="O",IF(Z466&lt;0,Z466,0),0)</f>
        <v>0</v>
      </c>
      <c r="AB466" s="254">
        <f>IF(B466="CRYPTO",N466,0)</f>
        <v>0</v>
      </c>
      <c r="AC466" s="250">
        <f>IF(D466="O",IF(AB466&lt;0,AB466,0),0)</f>
        <v>0</v>
      </c>
      <c r="AD466" s="255">
        <f>IF(K466&lt;&gt;"",K466-E466,0)</f>
        <v>4.1666666671517305E-2</v>
      </c>
      <c r="AE466" s="255">
        <f>IF(N466&gt;0,AD466,0)</f>
        <v>0</v>
      </c>
      <c r="AF466" s="255">
        <f>IF(N466&lt;0,AD466,0)</f>
        <v>4.1666666671517305E-2</v>
      </c>
      <c r="AG466" s="255">
        <f>IF(N466=0,AD466,0)</f>
        <v>0</v>
      </c>
    </row>
    <row r="467" spans="2:33" ht="15" customHeight="1" x14ac:dyDescent="0.3">
      <c r="B467" s="196" t="s">
        <v>7</v>
      </c>
      <c r="C467" s="197" t="s">
        <v>15</v>
      </c>
      <c r="D467" s="246" t="str">
        <f>IF(E467&lt;&gt;"",IF(K467&lt;&gt;"","C","O"),"")</f>
        <v>C</v>
      </c>
      <c r="E467" s="199">
        <v>44718.71875</v>
      </c>
      <c r="F467" s="200" t="s">
        <v>115</v>
      </c>
      <c r="G467" s="235">
        <v>164.51</v>
      </c>
      <c r="H467" s="235">
        <v>164.05</v>
      </c>
      <c r="I467" s="247">
        <f>ABS(G467-H467)</f>
        <v>0.45999999999997954</v>
      </c>
      <c r="J467" s="235">
        <v>165.82300000000001</v>
      </c>
      <c r="K467" s="199">
        <v>44719.177777777775</v>
      </c>
      <c r="L467" s="235">
        <v>165.82300000000001</v>
      </c>
      <c r="M467" s="248">
        <f>ROUND(IF(C467="L",(L467-G467),(G467-L467)),4)</f>
        <v>1.3129999999999999</v>
      </c>
      <c r="N467" s="249">
        <f>IFERROR(ROUND((M467/I467),2),"")</f>
        <v>2.85</v>
      </c>
      <c r="O467" s="250">
        <f>IF(D467="O",IF(N467&lt;0,N467,0),0)</f>
        <v>0</v>
      </c>
      <c r="P467" s="251">
        <f>IF(N467&gt;= 0,N467,0)</f>
        <v>2.85</v>
      </c>
      <c r="Q467" s="251">
        <f>IF(N467&lt;0,N467,0)</f>
        <v>0</v>
      </c>
      <c r="R4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32382</v>
      </c>
      <c r="T4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67" s="253">
        <f ca="1">IF(Tabla33610673[[#This Row],[Equity]]&lt;Tabla33610673[[#This Row],[Equity Peak]],(Tabla33610673[[#This Row],[Equity Peak]]-Tabla33610673[[#This Row],[Equity]])/Tabla33610673[[#This Row],[Equity Peak]],"")</f>
        <v>9.876165723895429E-3</v>
      </c>
      <c r="V467" s="254">
        <f>IF(B467="FX",N467,0)</f>
        <v>2.85</v>
      </c>
      <c r="W467" s="254">
        <f>IF(D467="O",IF(V467&lt;0,V467,0),0)</f>
        <v>0</v>
      </c>
      <c r="X467" s="254">
        <f>IF(B467="COM",N467,0)</f>
        <v>0</v>
      </c>
      <c r="Y467" s="254">
        <f>IF(D467="O",IF(X467&lt;0,X467,0),0)</f>
        <v>0</v>
      </c>
      <c r="Z467" s="254">
        <f>IF(B467="IND",N467,0)</f>
        <v>0</v>
      </c>
      <c r="AA467" s="250">
        <f>IF(D467="O",IF(Z467&lt;0,Z467,0),0)</f>
        <v>0</v>
      </c>
      <c r="AB467" s="254">
        <f>IF(B467="CRYPTO",N467,0)</f>
        <v>0</v>
      </c>
      <c r="AC467" s="250">
        <f>IF(D467="O",IF(AB467&lt;0,AB467,0),0)</f>
        <v>0</v>
      </c>
      <c r="AD467" s="255">
        <f>IF(K467&lt;&gt;"",K467-E467,0)</f>
        <v>0.45902777777519077</v>
      </c>
      <c r="AE467" s="255">
        <f>IF(N467&gt;0,AD467,0)</f>
        <v>0.45902777777519077</v>
      </c>
      <c r="AF467" s="255">
        <f>IF(N467&lt;0,AD467,0)</f>
        <v>0</v>
      </c>
      <c r="AG467" s="255">
        <f>IF(N467=0,AD467,0)</f>
        <v>0</v>
      </c>
    </row>
    <row r="468" spans="2:33" ht="15" customHeight="1" x14ac:dyDescent="0.3">
      <c r="B468" s="196" t="s">
        <v>5</v>
      </c>
      <c r="C468" s="197" t="s">
        <v>15</v>
      </c>
      <c r="D468" s="246" t="str">
        <f>IF(E468&lt;&gt;"",IF(K468&lt;&gt;"","C","O"),"")</f>
        <v>C</v>
      </c>
      <c r="E468" s="199">
        <v>44718.65625</v>
      </c>
      <c r="F468" s="200" t="s">
        <v>91</v>
      </c>
      <c r="G468" s="235">
        <v>14648.44</v>
      </c>
      <c r="H468" s="235">
        <v>14617.96</v>
      </c>
      <c r="I468" s="247">
        <f>ABS(G468-H468)</f>
        <v>30.480000000001382</v>
      </c>
      <c r="J468" s="235">
        <v>15217.45</v>
      </c>
      <c r="K468" s="199">
        <v>44718.763194444444</v>
      </c>
      <c r="L468" s="235">
        <v>14647.16</v>
      </c>
      <c r="M468" s="248">
        <f>ROUND(IF(C468="L",(L468-G468),(G468-L468)),4)</f>
        <v>-1.28</v>
      </c>
      <c r="N468" s="249">
        <f>IFERROR(ROUND((M468/I468),2),"")</f>
        <v>-0.04</v>
      </c>
      <c r="O468" s="250">
        <f>IF(D468="O",IF(N468&lt;0,N468,0),0)</f>
        <v>0</v>
      </c>
      <c r="P468" s="251">
        <f>IF(N468&gt;= 0,N468,0)</f>
        <v>0</v>
      </c>
      <c r="Q468" s="251">
        <f>IF(N468&lt;0,N468,0)</f>
        <v>-0.04</v>
      </c>
      <c r="R4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32097</v>
      </c>
      <c r="T4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68" s="253">
        <f ca="1">IF(Tabla33610673[[#This Row],[Equity]]&lt;Tabla33610673[[#This Row],[Equity Peak]],(Tabla33610673[[#This Row],[Equity Peak]]-Tabla33610673[[#This Row],[Equity]])/Tabla33610673[[#This Row],[Equity Peak]],"")</f>
        <v>1.8590429597920809E-2</v>
      </c>
      <c r="V468" s="254">
        <f>IF(B468="FX",N468,0)</f>
        <v>0</v>
      </c>
      <c r="W468" s="254">
        <f>IF(D468="O",IF(V468&lt;0,V468,0),0)</f>
        <v>0</v>
      </c>
      <c r="X468" s="254">
        <f>IF(B468="COM",N468,0)</f>
        <v>0</v>
      </c>
      <c r="Y468" s="254">
        <f>IF(D468="O",IF(X468&lt;0,X468,0),0)</f>
        <v>0</v>
      </c>
      <c r="Z468" s="254">
        <f>IF(B468="IND",N468,0)</f>
        <v>-0.04</v>
      </c>
      <c r="AA468" s="250">
        <f>IF(D468="O",IF(Z468&lt;0,Z468,0),0)</f>
        <v>0</v>
      </c>
      <c r="AB468" s="254">
        <f>IF(B468="CRYPTO",N468,0)</f>
        <v>0</v>
      </c>
      <c r="AC468" s="250">
        <f>IF(D468="O",IF(AB468&lt;0,AB468,0),0)</f>
        <v>0</v>
      </c>
      <c r="AD468" s="255">
        <f>IF(K468&lt;&gt;"",K468-E468,0)</f>
        <v>0.10694444444379769</v>
      </c>
      <c r="AE468" s="255">
        <f>IF(N468&gt;0,AD468,0)</f>
        <v>0</v>
      </c>
      <c r="AF468" s="255">
        <f>IF(N468&lt;0,AD468,0)</f>
        <v>0.10694444444379769</v>
      </c>
      <c r="AG468" s="255">
        <f>IF(N468=0,AD468,0)</f>
        <v>0</v>
      </c>
    </row>
    <row r="469" spans="2:33" ht="15" customHeight="1" x14ac:dyDescent="0.3">
      <c r="B469" s="196" t="s">
        <v>7</v>
      </c>
      <c r="C469" s="197" t="s">
        <v>15</v>
      </c>
      <c r="D469" s="246" t="str">
        <f>IF(E469&lt;&gt;"",IF(K469&lt;&gt;"","C","O"),"")</f>
        <v>C</v>
      </c>
      <c r="E469" s="199">
        <v>44718.46875</v>
      </c>
      <c r="F469" s="200" t="s">
        <v>115</v>
      </c>
      <c r="G469" s="235">
        <v>164.441</v>
      </c>
      <c r="H469" s="235">
        <v>164.01900000000001</v>
      </c>
      <c r="I469" s="247">
        <f>ABS(G469-H469)</f>
        <v>0.42199999999999704</v>
      </c>
      <c r="J469" s="235">
        <v>165.64599999999999</v>
      </c>
      <c r="K469" s="199">
        <v>44718.566666666666</v>
      </c>
      <c r="L469" s="235">
        <v>164.01900000000001</v>
      </c>
      <c r="M469" s="248">
        <f>ROUND(IF(C469="L",(L469-G469),(G469-L469)),4)</f>
        <v>-0.42199999999999999</v>
      </c>
      <c r="N469" s="249">
        <f>IFERROR(ROUND((M469/I469),2),"")</f>
        <v>-1</v>
      </c>
      <c r="O469" s="250">
        <f>IF(D469="O",IF(N469&lt;0,N469,0),0)</f>
        <v>0</v>
      </c>
      <c r="P469" s="251">
        <f>IF(N469&gt;= 0,N469,0)</f>
        <v>0</v>
      </c>
      <c r="Q469" s="251">
        <f>IF(N469&lt;0,N469,0)</f>
        <v>-1</v>
      </c>
      <c r="R4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32101</v>
      </c>
      <c r="T4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69" s="253">
        <f ca="1">IF(Tabla33610673[[#This Row],[Equity]]&lt;Tabla33610673[[#This Row],[Equity Peak]],(Tabla33610673[[#This Row],[Equity Peak]]-Tabla33610673[[#This Row],[Equity]])/Tabla33610673[[#This Row],[Equity Peak]],"")</f>
        <v>1.846812414003975E-2</v>
      </c>
      <c r="V469" s="254">
        <f>IF(B469="FX",N469,0)</f>
        <v>-1</v>
      </c>
      <c r="W469" s="254">
        <f>IF(D469="O",IF(V469&lt;0,V469,0),0)</f>
        <v>0</v>
      </c>
      <c r="X469" s="254">
        <f>IF(B469="COM",N469,0)</f>
        <v>0</v>
      </c>
      <c r="Y469" s="254">
        <f>IF(D469="O",IF(X469&lt;0,X469,0),0)</f>
        <v>0</v>
      </c>
      <c r="Z469" s="254">
        <f>IF(B469="IND",N469,0)</f>
        <v>0</v>
      </c>
      <c r="AA469" s="250">
        <f>IF(D469="O",IF(Z469&lt;0,Z469,0),0)</f>
        <v>0</v>
      </c>
      <c r="AB469" s="254">
        <f>IF(B469="CRYPTO",N469,0)</f>
        <v>0</v>
      </c>
      <c r="AC469" s="250">
        <f>IF(D469="O",IF(AB469&lt;0,AB469,0),0)</f>
        <v>0</v>
      </c>
      <c r="AD469" s="255">
        <f>IF(K469&lt;&gt;"",K469-E469,0)</f>
        <v>9.7916666665696539E-2</v>
      </c>
      <c r="AE469" s="255">
        <f>IF(N469&gt;0,AD469,0)</f>
        <v>0</v>
      </c>
      <c r="AF469" s="255">
        <f>IF(N469&lt;0,AD469,0)</f>
        <v>9.7916666665696539E-2</v>
      </c>
      <c r="AG469" s="255">
        <f>IF(N469=0,AD469,0)</f>
        <v>0</v>
      </c>
    </row>
    <row r="470" spans="2:33" ht="15" customHeight="1" x14ac:dyDescent="0.3">
      <c r="B470" s="196" t="s">
        <v>7</v>
      </c>
      <c r="C470" s="197" t="s">
        <v>13</v>
      </c>
      <c r="D470" s="246" t="str">
        <f>IF(E470&lt;&gt;"",IF(K470&lt;&gt;"","C","O"),"")</f>
        <v>C</v>
      </c>
      <c r="E470" s="199">
        <v>44718.197916666664</v>
      </c>
      <c r="F470" s="200" t="s">
        <v>115</v>
      </c>
      <c r="G470" s="235">
        <v>163.03200000000001</v>
      </c>
      <c r="H470" s="235">
        <v>163.459</v>
      </c>
      <c r="I470" s="247">
        <f>ABS(G470-H470)</f>
        <v>0.4269999999999925</v>
      </c>
      <c r="J470" s="235">
        <v>161.81299999999999</v>
      </c>
      <c r="K470" s="199">
        <v>44718.34375</v>
      </c>
      <c r="L470" s="235">
        <v>163.459</v>
      </c>
      <c r="M470" s="248">
        <f>ROUND(IF(C470="L",(L470-G470),(G470-L470)),4)</f>
        <v>-0.42699999999999999</v>
      </c>
      <c r="N470" s="249">
        <f>IFERROR(ROUND((M470/I470),2),"")</f>
        <v>-1</v>
      </c>
      <c r="O470" s="250">
        <f>IF(D470="O",IF(N470&lt;0,N470,0),0)</f>
        <v>0</v>
      </c>
      <c r="P470" s="251">
        <f>IF(N470&gt;= 0,N470,0)</f>
        <v>0</v>
      </c>
      <c r="Q470" s="251">
        <f>IF(N470&lt;0,N470,0)</f>
        <v>-1</v>
      </c>
      <c r="R4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32201</v>
      </c>
      <c r="T4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0" s="253">
        <f ca="1">IF(Tabla33610673[[#This Row],[Equity]]&lt;Tabla33610673[[#This Row],[Equity Peak]],(Tabla33610673[[#This Row],[Equity Peak]]-Tabla33610673[[#This Row],[Equity]])/Tabla33610673[[#This Row],[Equity Peak]],"")</f>
        <v>1.54104876930133E-2</v>
      </c>
      <c r="V470" s="254">
        <f>IF(B470="FX",N470,0)</f>
        <v>-1</v>
      </c>
      <c r="W470" s="254">
        <f>IF(D470="O",IF(V470&lt;0,V470,0),0)</f>
        <v>0</v>
      </c>
      <c r="X470" s="254">
        <f>IF(B470="COM",N470,0)</f>
        <v>0</v>
      </c>
      <c r="Y470" s="254">
        <f>IF(D470="O",IF(X470&lt;0,X470,0),0)</f>
        <v>0</v>
      </c>
      <c r="Z470" s="254">
        <f>IF(B470="IND",N470,0)</f>
        <v>0</v>
      </c>
      <c r="AA470" s="250">
        <f>IF(D470="O",IF(Z470&lt;0,Z470,0),0)</f>
        <v>0</v>
      </c>
      <c r="AB470" s="254">
        <f>IF(B470="CRYPTO",N470,0)</f>
        <v>0</v>
      </c>
      <c r="AC470" s="250">
        <f>IF(D470="O",IF(AB470&lt;0,AB470,0),0)</f>
        <v>0</v>
      </c>
      <c r="AD470" s="255">
        <f>IF(K470&lt;&gt;"",K470-E470,0)</f>
        <v>0.14583333333575865</v>
      </c>
      <c r="AE470" s="255">
        <f>IF(N470&gt;0,AD470,0)</f>
        <v>0</v>
      </c>
      <c r="AF470" s="255">
        <f>IF(N470&lt;0,AD470,0)</f>
        <v>0.14583333333575865</v>
      </c>
      <c r="AG470" s="255">
        <f>IF(N470=0,AD470,0)</f>
        <v>0</v>
      </c>
    </row>
    <row r="471" spans="2:33" ht="15" customHeight="1" x14ac:dyDescent="0.3">
      <c r="B471" s="196" t="s">
        <v>7</v>
      </c>
      <c r="C471" s="197" t="s">
        <v>15</v>
      </c>
      <c r="D471" s="246" t="str">
        <f>IF(E471&lt;&gt;"",IF(K471&lt;&gt;"","C","O"),"")</f>
        <v>C</v>
      </c>
      <c r="E471" s="199">
        <v>44715.65625</v>
      </c>
      <c r="F471" s="200" t="s">
        <v>116</v>
      </c>
      <c r="G471" s="235">
        <v>130.566</v>
      </c>
      <c r="H471" s="235">
        <v>130.34200000000001</v>
      </c>
      <c r="I471" s="247">
        <f>ABS(G471-H471)</f>
        <v>0.22399999999998954</v>
      </c>
      <c r="J471" s="235">
        <v>132.892</v>
      </c>
      <c r="K471" s="199">
        <v>44718.181944444441</v>
      </c>
      <c r="L471" s="235">
        <v>130.58799999999999</v>
      </c>
      <c r="M471" s="248">
        <f>ROUND(IF(C471="L",(L471-G471),(G471-L471)),4)</f>
        <v>2.1999999999999999E-2</v>
      </c>
      <c r="N471" s="249">
        <f>IFERROR(ROUND((M471/I471),2),"")</f>
        <v>0.1</v>
      </c>
      <c r="O471" s="250">
        <f>IF(D471="O",IF(N471&lt;0,N471,0),0)</f>
        <v>0</v>
      </c>
      <c r="P471" s="251">
        <f>IF(N471&gt;= 0,N471,0)</f>
        <v>0.1</v>
      </c>
      <c r="Q471" s="251">
        <f>IF(N471&lt;0,N471,0)</f>
        <v>0</v>
      </c>
      <c r="R4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32301</v>
      </c>
      <c r="T4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1" s="253">
        <f ca="1">IF(Tabla33610673[[#This Row],[Equity]]&lt;Tabla33610673[[#This Row],[Equity Peak]],(Tabla33610673[[#This Row],[Equity Peak]]-Tabla33610673[[#This Row],[Equity]])/Tabla33610673[[#This Row],[Equity Peak]],"")</f>
        <v>1.2352851245986852E-2</v>
      </c>
      <c r="V471" s="254">
        <f>IF(B471="FX",N471,0)</f>
        <v>0.1</v>
      </c>
      <c r="W471" s="254">
        <f>IF(D471="O",IF(V471&lt;0,V471,0),0)</f>
        <v>0</v>
      </c>
      <c r="X471" s="254">
        <f>IF(B471="COM",N471,0)</f>
        <v>0</v>
      </c>
      <c r="Y471" s="254">
        <f>IF(D471="O",IF(X471&lt;0,X471,0),0)</f>
        <v>0</v>
      </c>
      <c r="Z471" s="254">
        <f>IF(B471="IND",N471,0)</f>
        <v>0</v>
      </c>
      <c r="AA471" s="250">
        <f>IF(D471="O",IF(Z471&lt;0,Z471,0),0)</f>
        <v>0</v>
      </c>
      <c r="AB471" s="254">
        <f>IF(B471="CRYPTO",N471,0)</f>
        <v>0</v>
      </c>
      <c r="AC471" s="250">
        <f>IF(D471="O",IF(AB471&lt;0,AB471,0),0)</f>
        <v>0</v>
      </c>
      <c r="AD471" s="255">
        <f>IF(K471&lt;&gt;"",K471-E471,0)</f>
        <v>2.5256944444408873</v>
      </c>
      <c r="AE471" s="255">
        <f>IF(N471&gt;0,AD471,0)</f>
        <v>2.5256944444408873</v>
      </c>
      <c r="AF471" s="255">
        <f>IF(N471&lt;0,AD471,0)</f>
        <v>0</v>
      </c>
      <c r="AG471" s="255">
        <f>IF(N471=0,AD471,0)</f>
        <v>0</v>
      </c>
    </row>
    <row r="472" spans="2:33" ht="15" customHeight="1" x14ac:dyDescent="0.3">
      <c r="B472" s="196" t="s">
        <v>7</v>
      </c>
      <c r="C472" s="197" t="s">
        <v>15</v>
      </c>
      <c r="D472" s="246" t="str">
        <f>IF(E472&lt;&gt;"",IF(K472&lt;&gt;"","C","O"),"")</f>
        <v>C</v>
      </c>
      <c r="E472" s="199">
        <v>44714.822916666664</v>
      </c>
      <c r="F472" s="200" t="s">
        <v>115</v>
      </c>
      <c r="G472" s="235">
        <v>163.26900000000001</v>
      </c>
      <c r="H472" s="235">
        <v>162.74199999999999</v>
      </c>
      <c r="I472" s="247">
        <f>ABS(G472-H472)</f>
        <v>0.52700000000001523</v>
      </c>
      <c r="J472" s="235">
        <v>164.773</v>
      </c>
      <c r="K472" s="199">
        <v>44715.995138888888</v>
      </c>
      <c r="L472" s="235">
        <v>163.327</v>
      </c>
      <c r="M472" s="248">
        <f>ROUND(IF(C472="L",(L472-G472),(G472-L472)),4)</f>
        <v>5.8000000000000003E-2</v>
      </c>
      <c r="N472" s="249">
        <f>IFERROR(ROUND((M472/I472),2),"")</f>
        <v>0.11</v>
      </c>
      <c r="O472" s="250">
        <f>IF(D472="O",IF(N472&lt;0,N472,0),0)</f>
        <v>0</v>
      </c>
      <c r="P472" s="251">
        <f>IF(N472&gt;= 0,N472,0)</f>
        <v>0.11</v>
      </c>
      <c r="Q472" s="251">
        <f>IF(N472&lt;0,N472,0)</f>
        <v>0</v>
      </c>
      <c r="R4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32291</v>
      </c>
      <c r="T4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2" s="253">
        <f ca="1">IF(Tabla33610673[[#This Row],[Equity]]&lt;Tabla33610673[[#This Row],[Equity Peak]],(Tabla33610673[[#This Row],[Equity Peak]]-Tabla33610673[[#This Row],[Equity]])/Tabla33610673[[#This Row],[Equity Peak]],"")</f>
        <v>1.2658614890689496E-2</v>
      </c>
      <c r="V472" s="254">
        <f>IF(B472="FX",N472,0)</f>
        <v>0.11</v>
      </c>
      <c r="W472" s="254">
        <f>IF(D472="O",IF(V472&lt;0,V472,0),0)</f>
        <v>0</v>
      </c>
      <c r="X472" s="254">
        <f>IF(B472="COM",N472,0)</f>
        <v>0</v>
      </c>
      <c r="Y472" s="254">
        <f>IF(D472="O",IF(X472&lt;0,X472,0),0)</f>
        <v>0</v>
      </c>
      <c r="Z472" s="254">
        <f>IF(B472="IND",N472,0)</f>
        <v>0</v>
      </c>
      <c r="AA472" s="250">
        <f>IF(D472="O",IF(Z472&lt;0,Z472,0),0)</f>
        <v>0</v>
      </c>
      <c r="AB472" s="254">
        <f>IF(B472="CRYPTO",N472,0)</f>
        <v>0</v>
      </c>
      <c r="AC472" s="250">
        <f>IF(D472="O",IF(AB472&lt;0,AB472,0),0)</f>
        <v>0</v>
      </c>
      <c r="AD472" s="255">
        <f>IF(K472&lt;&gt;"",K472-E472,0)</f>
        <v>1.172222222223354</v>
      </c>
      <c r="AE472" s="255">
        <f>IF(N472&gt;0,AD472,0)</f>
        <v>1.172222222223354</v>
      </c>
      <c r="AF472" s="255">
        <f>IF(N472&lt;0,AD472,0)</f>
        <v>0</v>
      </c>
      <c r="AG472" s="255">
        <f>IF(N472=0,AD472,0)</f>
        <v>0</v>
      </c>
    </row>
    <row r="473" spans="2:33" ht="15" customHeight="1" x14ac:dyDescent="0.3">
      <c r="B473" s="196" t="s">
        <v>5</v>
      </c>
      <c r="C473" s="197" t="s">
        <v>15</v>
      </c>
      <c r="D473" s="246" t="str">
        <f>IF(E473&lt;&gt;"",IF(K473&lt;&gt;"","C","O"),"")</f>
        <v>C</v>
      </c>
      <c r="E473" s="199">
        <v>44714.864583333336</v>
      </c>
      <c r="F473" s="200" t="s">
        <v>92</v>
      </c>
      <c r="G473" s="235">
        <v>12820</v>
      </c>
      <c r="H473" s="235">
        <v>12772.68</v>
      </c>
      <c r="I473" s="247">
        <f>ABS(G473-H473)</f>
        <v>47.319999999999709</v>
      </c>
      <c r="J473" s="235">
        <v>13703.31</v>
      </c>
      <c r="K473" s="199">
        <v>44715.571527777778</v>
      </c>
      <c r="L473" s="235">
        <v>12772.68</v>
      </c>
      <c r="M473" s="248">
        <f>ROUND(IF(C473="L",(L473-G473),(G473-L473)),4)</f>
        <v>-47.32</v>
      </c>
      <c r="N473" s="249">
        <f>IFERROR(ROUND((M473/I473),2),"")</f>
        <v>-1</v>
      </c>
      <c r="O473" s="250">
        <f>IF(D473="O",IF(N473&lt;0,N473,0),0)</f>
        <v>0</v>
      </c>
      <c r="P473" s="251">
        <f>IF(N473&gt;= 0,N473,0)</f>
        <v>0</v>
      </c>
      <c r="Q473" s="251">
        <f>IF(N473&lt;0,N473,0)</f>
        <v>-1</v>
      </c>
      <c r="R4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32280</v>
      </c>
      <c r="T4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3" s="253">
        <f ca="1">IF(Tabla33610673[[#This Row],[Equity]]&lt;Tabla33610673[[#This Row],[Equity Peak]],(Tabla33610673[[#This Row],[Equity Peak]]-Tabla33610673[[#This Row],[Equity]])/Tabla33610673[[#This Row],[Equity Peak]],"")</f>
        <v>1.2994954899862406E-2</v>
      </c>
      <c r="V473" s="254">
        <f>IF(B473="FX",N473,0)</f>
        <v>0</v>
      </c>
      <c r="W473" s="254">
        <f>IF(D473="O",IF(V473&lt;0,V473,0),0)</f>
        <v>0</v>
      </c>
      <c r="X473" s="254">
        <f>IF(B473="COM",N473,0)</f>
        <v>0</v>
      </c>
      <c r="Y473" s="254">
        <f>IF(D473="O",IF(X473&lt;0,X473,0),0)</f>
        <v>0</v>
      </c>
      <c r="Z473" s="254">
        <f>IF(B473="IND",N473,0)</f>
        <v>-1</v>
      </c>
      <c r="AA473" s="250">
        <f>IF(D473="O",IF(Z473&lt;0,Z473,0),0)</f>
        <v>0</v>
      </c>
      <c r="AB473" s="254">
        <f>IF(B473="CRYPTO",N473,0)</f>
        <v>0</v>
      </c>
      <c r="AC473" s="250">
        <f>IF(D473="O",IF(AB473&lt;0,AB473,0),0)</f>
        <v>0</v>
      </c>
      <c r="AD473" s="255">
        <f>IF(K473&lt;&gt;"",K473-E473,0)</f>
        <v>0.7069444444423425</v>
      </c>
      <c r="AE473" s="255">
        <f>IF(N473&gt;0,AD473,0)</f>
        <v>0</v>
      </c>
      <c r="AF473" s="255">
        <f>IF(N473&lt;0,AD473,0)</f>
        <v>0.7069444444423425</v>
      </c>
      <c r="AG473" s="255">
        <f>IF(N473=0,AD473,0)</f>
        <v>0</v>
      </c>
    </row>
    <row r="474" spans="2:33" ht="15" customHeight="1" x14ac:dyDescent="0.3">
      <c r="B474" s="196" t="s">
        <v>5</v>
      </c>
      <c r="C474" s="197" t="s">
        <v>15</v>
      </c>
      <c r="D474" s="246" t="str">
        <f>IF(E474&lt;&gt;"",IF(K474&lt;&gt;"","C","O"),"")</f>
        <v>C</v>
      </c>
      <c r="E474" s="199">
        <v>44714.864583333336</v>
      </c>
      <c r="F474" s="200" t="s">
        <v>93</v>
      </c>
      <c r="G474" s="235">
        <v>12820</v>
      </c>
      <c r="H474" s="235">
        <v>12769.26</v>
      </c>
      <c r="I474" s="247">
        <f>ABS(G474-H474)</f>
        <v>50.739999999999782</v>
      </c>
      <c r="J474" s="235">
        <v>13361.26</v>
      </c>
      <c r="K474" s="199">
        <v>44715.460416666669</v>
      </c>
      <c r="L474" s="235">
        <v>12807.36</v>
      </c>
      <c r="M474" s="248">
        <f>ROUND(IF(C474="L",(L474-G474),(G474-L474)),4)</f>
        <v>-12.64</v>
      </c>
      <c r="N474" s="249">
        <f>IFERROR(ROUND((M474/I474),2),"")</f>
        <v>-0.25</v>
      </c>
      <c r="O474" s="250">
        <f>IF(D474="O",IF(N474&lt;0,N474,0),0)</f>
        <v>0</v>
      </c>
      <c r="P474" s="251">
        <f>IF(N474&gt;= 0,N474,0)</f>
        <v>0</v>
      </c>
      <c r="Q474" s="251">
        <f>IF(N474&lt;0,N474,0)</f>
        <v>-0.25</v>
      </c>
      <c r="R4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32380</v>
      </c>
      <c r="T4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4" s="253">
        <f ca="1">IF(Tabla33610673[[#This Row],[Equity]]&lt;Tabla33610673[[#This Row],[Equity Peak]],(Tabla33610673[[#This Row],[Equity Peak]]-Tabla33610673[[#This Row],[Equity]])/Tabla33610673[[#This Row],[Equity Peak]],"")</f>
        <v>9.9373184528359585E-3</v>
      </c>
      <c r="V474" s="254">
        <f>IF(B474="FX",N474,0)</f>
        <v>0</v>
      </c>
      <c r="W474" s="254">
        <f>IF(D474="O",IF(V474&lt;0,V474,0),0)</f>
        <v>0</v>
      </c>
      <c r="X474" s="254">
        <f>IF(B474="COM",N474,0)</f>
        <v>0</v>
      </c>
      <c r="Y474" s="254">
        <f>IF(D474="O",IF(X474&lt;0,X474,0),0)</f>
        <v>0</v>
      </c>
      <c r="Z474" s="254">
        <f>IF(B474="IND",N474,0)</f>
        <v>-0.25</v>
      </c>
      <c r="AA474" s="250">
        <f>IF(D474="O",IF(Z474&lt;0,Z474,0),0)</f>
        <v>0</v>
      </c>
      <c r="AB474" s="254">
        <f>IF(B474="CRYPTO",N474,0)</f>
        <v>0</v>
      </c>
      <c r="AC474" s="250">
        <f>IF(D474="O",IF(AB474&lt;0,AB474,0),0)</f>
        <v>0</v>
      </c>
      <c r="AD474" s="255">
        <f>IF(K474&lt;&gt;"",K474-E474,0)</f>
        <v>0.59583333333284827</v>
      </c>
      <c r="AE474" s="255">
        <f>IF(N474&gt;0,AD474,0)</f>
        <v>0</v>
      </c>
      <c r="AF474" s="255">
        <f>IF(N474&lt;0,AD474,0)</f>
        <v>0.59583333333284827</v>
      </c>
      <c r="AG474" s="255">
        <f>IF(N474=0,AD474,0)</f>
        <v>0</v>
      </c>
    </row>
    <row r="475" spans="2:33" ht="15" customHeight="1" x14ac:dyDescent="0.3">
      <c r="B475" s="196" t="s">
        <v>5</v>
      </c>
      <c r="C475" s="197" t="s">
        <v>15</v>
      </c>
      <c r="D475" s="246" t="str">
        <f>IF(E475&lt;&gt;"",IF(K475&lt;&gt;"","C","O"),"")</f>
        <v>C</v>
      </c>
      <c r="E475" s="199">
        <v>44715.145833333336</v>
      </c>
      <c r="F475" s="200" t="s">
        <v>91</v>
      </c>
      <c r="G475" s="235">
        <v>14623.15</v>
      </c>
      <c r="H475" s="235">
        <v>14589.73</v>
      </c>
      <c r="I475" s="247">
        <f>ABS(G475-H475)</f>
        <v>33.420000000000073</v>
      </c>
      <c r="J475" s="235">
        <v>15247.01</v>
      </c>
      <c r="K475" s="199">
        <v>44715.377083333333</v>
      </c>
      <c r="L475" s="235">
        <v>14589.73</v>
      </c>
      <c r="M475" s="248">
        <f>ROUND(IF(C475="L",(L475-G475),(G475-L475)),4)</f>
        <v>-33.42</v>
      </c>
      <c r="N475" s="249">
        <f>IFERROR(ROUND((M475/I475),2),"")</f>
        <v>-1</v>
      </c>
      <c r="O475" s="250">
        <f>IF(D475="O",IF(N475&lt;0,N475,0),0)</f>
        <v>0</v>
      </c>
      <c r="P475" s="251">
        <f>IF(N475&gt;= 0,N475,0)</f>
        <v>0</v>
      </c>
      <c r="Q475" s="251">
        <f>IF(N475&lt;0,N475,0)</f>
        <v>-1</v>
      </c>
      <c r="R4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32405</v>
      </c>
      <c r="T4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5" s="253">
        <f ca="1">IF(Tabla33610673[[#This Row],[Equity]]&lt;Tabla33610673[[#This Row],[Equity Peak]],(Tabla33610673[[#This Row],[Equity Peak]]-Tabla33610673[[#This Row],[Equity]])/Tabla33610673[[#This Row],[Equity Peak]],"")</f>
        <v>9.1729093410793452E-3</v>
      </c>
      <c r="V475" s="254">
        <f>IF(B475="FX",N475,0)</f>
        <v>0</v>
      </c>
      <c r="W475" s="254">
        <f>IF(D475="O",IF(V475&lt;0,V475,0),0)</f>
        <v>0</v>
      </c>
      <c r="X475" s="254">
        <f>IF(B475="COM",N475,0)</f>
        <v>0</v>
      </c>
      <c r="Y475" s="254">
        <f>IF(D475="O",IF(X475&lt;0,X475,0),0)</f>
        <v>0</v>
      </c>
      <c r="Z475" s="254">
        <f>IF(B475="IND",N475,0)</f>
        <v>-1</v>
      </c>
      <c r="AA475" s="250">
        <f>IF(D475="O",IF(Z475&lt;0,Z475,0),0)</f>
        <v>0</v>
      </c>
      <c r="AB475" s="254">
        <f>IF(B475="CRYPTO",N475,0)</f>
        <v>0</v>
      </c>
      <c r="AC475" s="250">
        <f>IF(D475="O",IF(AB475&lt;0,AB475,0),0)</f>
        <v>0</v>
      </c>
      <c r="AD475" s="255">
        <f>IF(K475&lt;&gt;"",K475-E475,0)</f>
        <v>0.23124999999708962</v>
      </c>
      <c r="AE475" s="255">
        <f>IF(N475&gt;0,AD475,0)</f>
        <v>0</v>
      </c>
      <c r="AF475" s="255">
        <f>IF(N475&lt;0,AD475,0)</f>
        <v>0.23124999999708962</v>
      </c>
      <c r="AG475" s="255">
        <f>IF(N475=0,AD475,0)</f>
        <v>0</v>
      </c>
    </row>
    <row r="476" spans="2:33" ht="15" customHeight="1" x14ac:dyDescent="0.3">
      <c r="B476" s="196" t="s">
        <v>19</v>
      </c>
      <c r="C476" s="197" t="s">
        <v>15</v>
      </c>
      <c r="D476" s="246" t="str">
        <f>IF(E476&lt;&gt;"",IF(K476&lt;&gt;"","C","O"),"")</f>
        <v>C</v>
      </c>
      <c r="E476" s="199">
        <v>44715.15625</v>
      </c>
      <c r="F476" s="200" t="s">
        <v>88</v>
      </c>
      <c r="G476" s="235">
        <v>1871.41</v>
      </c>
      <c r="H476" s="235">
        <v>1868.53</v>
      </c>
      <c r="I476" s="247">
        <f>ABS(G476-H476)</f>
        <v>2.8800000000001091</v>
      </c>
      <c r="J476" s="235">
        <v>1906</v>
      </c>
      <c r="K476" s="199">
        <v>44715.267361111109</v>
      </c>
      <c r="L476" s="235">
        <v>1868.53</v>
      </c>
      <c r="M476" s="248">
        <f>ROUND(IF(C476="L",(L476-G476),(G476-L476)),4)</f>
        <v>-2.88</v>
      </c>
      <c r="N476" s="249">
        <f>IFERROR(ROUND((M476/I476),2),"")</f>
        <v>-1</v>
      </c>
      <c r="O476" s="250">
        <f>IF(D476="O",IF(N476&lt;0,N476,0),0)</f>
        <v>0</v>
      </c>
      <c r="P476" s="251">
        <f>IF(N476&gt;= 0,N476,0)</f>
        <v>0</v>
      </c>
      <c r="Q476" s="251">
        <f>IF(N476&lt;0,N476,0)</f>
        <v>-1</v>
      </c>
      <c r="R4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32505</v>
      </c>
      <c r="T4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6" s="253">
        <f ca="1">IF(Tabla33610673[[#This Row],[Equity]]&lt;Tabla33610673[[#This Row],[Equity Peak]],(Tabla33610673[[#This Row],[Equity Peak]]-Tabla33610673[[#This Row],[Equity]])/Tabla33610673[[#This Row],[Equity Peak]],"")</f>
        <v>6.1152728940528974E-3</v>
      </c>
      <c r="V476" s="254">
        <f>IF(B476="FX",N476,0)</f>
        <v>0</v>
      </c>
      <c r="W476" s="254">
        <f>IF(D476="O",IF(V476&lt;0,V476,0),0)</f>
        <v>0</v>
      </c>
      <c r="X476" s="254">
        <f>IF(B476="COM",N476,0)</f>
        <v>-1</v>
      </c>
      <c r="Y476" s="254">
        <f>IF(D476="O",IF(X476&lt;0,X476,0),0)</f>
        <v>0</v>
      </c>
      <c r="Z476" s="254">
        <f>IF(B476="IND",N476,0)</f>
        <v>0</v>
      </c>
      <c r="AA476" s="250">
        <f>IF(D476="O",IF(Z476&lt;0,Z476,0),0)</f>
        <v>0</v>
      </c>
      <c r="AB476" s="254">
        <f>IF(B476="CRYPTO",N476,0)</f>
        <v>0</v>
      </c>
      <c r="AC476" s="250">
        <f>IF(D476="O",IF(AB476&lt;0,AB476,0),0)</f>
        <v>0</v>
      </c>
      <c r="AD476" s="255">
        <f>IF(K476&lt;&gt;"",K476-E476,0)</f>
        <v>0.11111111110949423</v>
      </c>
      <c r="AE476" s="255">
        <f>IF(N476&gt;0,AD476,0)</f>
        <v>0</v>
      </c>
      <c r="AF476" s="255">
        <f>IF(N476&lt;0,AD476,0)</f>
        <v>0.11111111110949423</v>
      </c>
      <c r="AG476" s="255">
        <f>IF(N476=0,AD476,0)</f>
        <v>0</v>
      </c>
    </row>
    <row r="477" spans="2:33" ht="15" customHeight="1" x14ac:dyDescent="0.3">
      <c r="B477" s="196" t="s">
        <v>19</v>
      </c>
      <c r="C477" s="197" t="s">
        <v>15</v>
      </c>
      <c r="D477" s="246" t="str">
        <f>IF(E477&lt;&gt;"",IF(K477&lt;&gt;"","C","O"),"")</f>
        <v>C</v>
      </c>
      <c r="E477" s="199">
        <v>44714.802083333336</v>
      </c>
      <c r="F477" s="200" t="s">
        <v>88</v>
      </c>
      <c r="G477" s="235">
        <v>1869.91</v>
      </c>
      <c r="H477" s="235">
        <v>1866.94</v>
      </c>
      <c r="I477" s="247">
        <f>ABS(G477-H477)</f>
        <v>2.9700000000000273</v>
      </c>
      <c r="J477" s="235">
        <v>1905.52</v>
      </c>
      <c r="K477" s="199">
        <v>44714.842361111114</v>
      </c>
      <c r="L477" s="235">
        <v>1866.94</v>
      </c>
      <c r="M477" s="248">
        <f>ROUND(IF(C477="L",(L477-G477),(G477-L477)),4)</f>
        <v>-2.97</v>
      </c>
      <c r="N477" s="249">
        <f>IFERROR(ROUND((M477/I477),2),"")</f>
        <v>-1</v>
      </c>
      <c r="O477" s="250">
        <f>IF(D477="O",IF(N477&lt;0,N477,0),0)</f>
        <v>0</v>
      </c>
      <c r="P477" s="251">
        <f>IF(N477&gt;= 0,N477,0)</f>
        <v>0</v>
      </c>
      <c r="Q477" s="251">
        <f>IF(N477&lt;0,N477,0)</f>
        <v>-1</v>
      </c>
      <c r="R4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32605</v>
      </c>
      <c r="T4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7" s="253">
        <f ca="1">IF(Tabla33610673[[#This Row],[Equity]]&lt;Tabla33610673[[#This Row],[Equity Peak]],(Tabla33610673[[#This Row],[Equity Peak]]-Tabla33610673[[#This Row],[Equity]])/Tabla33610673[[#This Row],[Equity Peak]],"")</f>
        <v>3.0576364470264487E-3</v>
      </c>
      <c r="V477" s="254">
        <f>IF(B477="FX",N477,0)</f>
        <v>0</v>
      </c>
      <c r="W477" s="254">
        <f>IF(D477="O",IF(V477&lt;0,V477,0),0)</f>
        <v>0</v>
      </c>
      <c r="X477" s="254">
        <f>IF(B477="COM",N477,0)</f>
        <v>-1</v>
      </c>
      <c r="Y477" s="254">
        <f>IF(D477="O",IF(X477&lt;0,X477,0),0)</f>
        <v>0</v>
      </c>
      <c r="Z477" s="254">
        <f>IF(B477="IND",N477,0)</f>
        <v>0</v>
      </c>
      <c r="AA477" s="250">
        <f>IF(D477="O",IF(Z477&lt;0,Z477,0),0)</f>
        <v>0</v>
      </c>
      <c r="AB477" s="254">
        <f>IF(B477="CRYPTO",N477,0)</f>
        <v>0</v>
      </c>
      <c r="AC477" s="250">
        <f>IF(D477="O",IF(AB477&lt;0,AB477,0),0)</f>
        <v>0</v>
      </c>
      <c r="AD477" s="255">
        <f>IF(K477&lt;&gt;"",K477-E477,0)</f>
        <v>4.0277777778101154E-2</v>
      </c>
      <c r="AE477" s="255">
        <f>IF(N477&gt;0,AD477,0)</f>
        <v>0</v>
      </c>
      <c r="AF477" s="255">
        <f>IF(N477&lt;0,AD477,0)</f>
        <v>4.0277777778101154E-2</v>
      </c>
      <c r="AG477" s="255">
        <f>IF(N477=0,AD477,0)</f>
        <v>0</v>
      </c>
    </row>
    <row r="478" spans="2:33" ht="15" customHeight="1" x14ac:dyDescent="0.3">
      <c r="B478" s="196" t="s">
        <v>7</v>
      </c>
      <c r="C478" s="197" t="s">
        <v>15</v>
      </c>
      <c r="D478" s="246" t="str">
        <f>IF(E478&lt;&gt;"",IF(K478&lt;&gt;"","C","O"),"")</f>
        <v>C</v>
      </c>
      <c r="E478" s="199">
        <v>44713.177083333336</v>
      </c>
      <c r="F478" s="200" t="s">
        <v>116</v>
      </c>
      <c r="G478" s="235">
        <v>128.97</v>
      </c>
      <c r="H478" s="235">
        <v>128.73099999999999</v>
      </c>
      <c r="I478" s="247">
        <f>ABS(G478-H478)</f>
        <v>0.23900000000000432</v>
      </c>
      <c r="J478" s="235">
        <v>131.459</v>
      </c>
      <c r="K478" s="199">
        <v>44714.418055555558</v>
      </c>
      <c r="L478" s="235">
        <v>129.81399999999999</v>
      </c>
      <c r="M478" s="248">
        <f>ROUND(IF(C478="L",(L478-G478),(G478-L478)),4)</f>
        <v>0.84399999999999997</v>
      </c>
      <c r="N478" s="249">
        <f>IFERROR(ROUND((M478/I478),2),"")</f>
        <v>3.53</v>
      </c>
      <c r="O478" s="250">
        <f>IF(D478="O",IF(N478&lt;0,N478,0),0)</f>
        <v>0</v>
      </c>
      <c r="P478" s="251">
        <f>IF(N478&gt;= 0,N478,0)</f>
        <v>3.53</v>
      </c>
      <c r="Q478" s="251">
        <f>IF(N478&lt;0,N478,0)</f>
        <v>0</v>
      </c>
      <c r="R4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32705</v>
      </c>
      <c r="T4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32705</v>
      </c>
      <c r="U47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78" s="254">
        <f>IF(B478="FX",N478,0)</f>
        <v>3.53</v>
      </c>
      <c r="W478" s="254">
        <f>IF(D478="O",IF(V478&lt;0,V478,0),0)</f>
        <v>0</v>
      </c>
      <c r="X478" s="254">
        <f>IF(B478="COM",N478,0)</f>
        <v>0</v>
      </c>
      <c r="Y478" s="254">
        <f>IF(D478="O",IF(X478&lt;0,X478,0),0)</f>
        <v>0</v>
      </c>
      <c r="Z478" s="254">
        <f>IF(B478="IND",N478,0)</f>
        <v>0</v>
      </c>
      <c r="AA478" s="250">
        <f>IF(D478="O",IF(Z478&lt;0,Z478,0),0)</f>
        <v>0</v>
      </c>
      <c r="AB478" s="254">
        <f>IF(B478="CRYPTO",N478,0)</f>
        <v>0</v>
      </c>
      <c r="AC478" s="250">
        <f>IF(D478="O",IF(AB478&lt;0,AB478,0),0)</f>
        <v>0</v>
      </c>
      <c r="AD478" s="255">
        <f>IF(K478&lt;&gt;"",K478-E478,0)</f>
        <v>1.2409722222218988</v>
      </c>
      <c r="AE478" s="255">
        <f>IF(N478&gt;0,AD478,0)</f>
        <v>1.2409722222218988</v>
      </c>
      <c r="AF478" s="255">
        <f>IF(N478&lt;0,AD478,0)</f>
        <v>0</v>
      </c>
      <c r="AG478" s="255">
        <f>IF(N478=0,AD478,0)</f>
        <v>0</v>
      </c>
    </row>
    <row r="479" spans="2:33" ht="15" customHeight="1" x14ac:dyDescent="0.3">
      <c r="B479" s="196" t="s">
        <v>7</v>
      </c>
      <c r="C479" s="197" t="s">
        <v>13</v>
      </c>
      <c r="D479" s="246" t="str">
        <f>IF(E479&lt;&gt;"",IF(K479&lt;&gt;"","C","O"),"")</f>
        <v>C</v>
      </c>
      <c r="E479" s="199">
        <v>44713.78125</v>
      </c>
      <c r="F479" s="200" t="s">
        <v>114</v>
      </c>
      <c r="G479" s="235">
        <v>1.0628299999999999</v>
      </c>
      <c r="H479" s="235">
        <v>1.0653999999999999</v>
      </c>
      <c r="I479" s="247">
        <f>ABS(G479-H479)</f>
        <v>2.5699999999999612E-3</v>
      </c>
      <c r="J479" s="235">
        <v>1.03966</v>
      </c>
      <c r="K479" s="199">
        <v>44713.870138888888</v>
      </c>
      <c r="L479" s="235">
        <v>1.0653999999999999</v>
      </c>
      <c r="M479" s="248">
        <f>ROUND(IF(C479="L",(L479-G479),(G479-L479)),4)</f>
        <v>-2.5999999999999999E-3</v>
      </c>
      <c r="N479" s="249">
        <f>IFERROR(ROUND((M479/I479),2),"")</f>
        <v>-1.01</v>
      </c>
      <c r="O479" s="250">
        <f>IF(D479="O",IF(N479&lt;0,N479,0),0)</f>
        <v>0</v>
      </c>
      <c r="P479" s="251">
        <f>IF(N479&gt;= 0,N479,0)</f>
        <v>0</v>
      </c>
      <c r="Q479" s="251">
        <f>IF(N479&lt;0,N479,0)</f>
        <v>-1.01</v>
      </c>
      <c r="R4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32352</v>
      </c>
      <c r="T4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32453</v>
      </c>
      <c r="U479" s="253">
        <f ca="1">IF(Tabla33610673[[#This Row],[Equity]]&lt;Tabla33610673[[#This Row],[Equity Peak]],(Tabla33610673[[#This Row],[Equity Peak]]-Tabla33610673[[#This Row],[Equity]])/Tabla33610673[[#This Row],[Equity Peak]],"")</f>
        <v>3.1121930175946754E-3</v>
      </c>
      <c r="V479" s="254">
        <f>IF(B479="FX",N479,0)</f>
        <v>-1.01</v>
      </c>
      <c r="W479" s="254">
        <f>IF(D479="O",IF(V479&lt;0,V479,0),0)</f>
        <v>0</v>
      </c>
      <c r="X479" s="254">
        <f>IF(B479="COM",N479,0)</f>
        <v>0</v>
      </c>
      <c r="Y479" s="254">
        <f>IF(D479="O",IF(X479&lt;0,X479,0),0)</f>
        <v>0</v>
      </c>
      <c r="Z479" s="254">
        <f>IF(B479="IND",N479,0)</f>
        <v>0</v>
      </c>
      <c r="AA479" s="250">
        <f>IF(D479="O",IF(Z479&lt;0,Z479,0),0)</f>
        <v>0</v>
      </c>
      <c r="AB479" s="254">
        <f>IF(B479="CRYPTO",N479,0)</f>
        <v>0</v>
      </c>
      <c r="AC479" s="250">
        <f>IF(D479="O",IF(AB479&lt;0,AB479,0),0)</f>
        <v>0</v>
      </c>
      <c r="AD479" s="255">
        <f>IF(K479&lt;&gt;"",K479-E479,0)</f>
        <v>8.8888888887595385E-2</v>
      </c>
      <c r="AE479" s="255">
        <f>IF(N479&gt;0,AD479,0)</f>
        <v>0</v>
      </c>
      <c r="AF479" s="255">
        <f>IF(N479&lt;0,AD479,0)</f>
        <v>8.8888888887595385E-2</v>
      </c>
      <c r="AG479" s="255">
        <f>IF(N479=0,AD479,0)</f>
        <v>0</v>
      </c>
    </row>
    <row r="480" spans="2:33" ht="15" customHeight="1" x14ac:dyDescent="0.3">
      <c r="B480" s="196" t="s">
        <v>7</v>
      </c>
      <c r="C480" s="197" t="s">
        <v>15</v>
      </c>
      <c r="D480" s="246" t="str">
        <f>IF(E480&lt;&gt;"",IF(K480&lt;&gt;"","C","O"),"")</f>
        <v>C</v>
      </c>
      <c r="E480" s="199">
        <v>44712.708333333336</v>
      </c>
      <c r="F480" s="200" t="s">
        <v>115</v>
      </c>
      <c r="G480" s="235">
        <v>162.06299999999999</v>
      </c>
      <c r="H480" s="235">
        <v>161.59700000000001</v>
      </c>
      <c r="I480" s="247">
        <f>ABS(G480-H480)</f>
        <v>0.46599999999997976</v>
      </c>
      <c r="J480" s="235">
        <v>163.39400000000001</v>
      </c>
      <c r="K480" s="199">
        <v>44713.691666666666</v>
      </c>
      <c r="L480" s="235">
        <v>162.399</v>
      </c>
      <c r="M480" s="248">
        <f>ROUND(IF(C480="L",(L480-G480),(G480-L480)),4)</f>
        <v>0.33600000000000002</v>
      </c>
      <c r="N480" s="249">
        <f>IFERROR(ROUND((M480/I480),2),"")</f>
        <v>0.72</v>
      </c>
      <c r="O480" s="250">
        <f>IF(D480="O",IF(N480&lt;0,N480,0),0)</f>
        <v>0</v>
      </c>
      <c r="P480" s="251">
        <f>IF(N480&gt;= 0,N480,0)</f>
        <v>0.72</v>
      </c>
      <c r="Q480" s="251">
        <f>IF(N480&lt;0,N480,0)</f>
        <v>0</v>
      </c>
      <c r="R4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32453</v>
      </c>
      <c r="T4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32453</v>
      </c>
      <c r="U48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80" s="254">
        <f>IF(B480="FX",N480,0)</f>
        <v>0.72</v>
      </c>
      <c r="W480" s="254">
        <f>IF(D480="O",IF(V480&lt;0,V480,0),0)</f>
        <v>0</v>
      </c>
      <c r="X480" s="254">
        <f>IF(B480="COM",N480,0)</f>
        <v>0</v>
      </c>
      <c r="Y480" s="254">
        <f>IF(D480="O",IF(X480&lt;0,X480,0),0)</f>
        <v>0</v>
      </c>
      <c r="Z480" s="254">
        <f>IF(B480="IND",N480,0)</f>
        <v>0</v>
      </c>
      <c r="AA480" s="250">
        <f>IF(D480="O",IF(Z480&lt;0,Z480,0),0)</f>
        <v>0</v>
      </c>
      <c r="AB480" s="254">
        <f>IF(B480="CRYPTO",N480,0)</f>
        <v>0</v>
      </c>
      <c r="AC480" s="250">
        <f>IF(D480="O",IF(AB480&lt;0,AB480,0),0)</f>
        <v>0</v>
      </c>
      <c r="AD480" s="255">
        <f>IF(K480&lt;&gt;"",K480-E480,0)</f>
        <v>0.98333333332993789</v>
      </c>
      <c r="AE480" s="255">
        <f>IF(N480&gt;0,AD480,0)</f>
        <v>0.98333333332993789</v>
      </c>
      <c r="AF480" s="255">
        <f>IF(N480&lt;0,AD480,0)</f>
        <v>0</v>
      </c>
      <c r="AG480" s="255">
        <f>IF(N480=0,AD480,0)</f>
        <v>0</v>
      </c>
    </row>
    <row r="481" spans="2:33" ht="15" customHeight="1" x14ac:dyDescent="0.3">
      <c r="B481" s="196" t="s">
        <v>5</v>
      </c>
      <c r="C481" s="197" t="s">
        <v>15</v>
      </c>
      <c r="D481" s="246" t="str">
        <f>IF(E481&lt;&gt;"",IF(K481&lt;&gt;"","C","O"),"")</f>
        <v>C</v>
      </c>
      <c r="E481" s="199">
        <v>44707.760416666664</v>
      </c>
      <c r="F481" s="200" t="s">
        <v>91</v>
      </c>
      <c r="G481" s="235">
        <v>14226.79</v>
      </c>
      <c r="H481" s="235">
        <v>14185.76</v>
      </c>
      <c r="I481" s="247">
        <f>ABS(G481-H481)</f>
        <v>41.030000000000655</v>
      </c>
      <c r="J481" s="235">
        <v>14992.63</v>
      </c>
      <c r="K481" s="199">
        <v>44712.408333333333</v>
      </c>
      <c r="L481" s="235">
        <v>14478.11</v>
      </c>
      <c r="M481" s="248">
        <f>ROUND(IF(C481="L",(L481-G481),(G481-L481)),4)</f>
        <v>251.32</v>
      </c>
      <c r="N481" s="249">
        <f>IFERROR(ROUND((M481/I481),2),"")</f>
        <v>6.13</v>
      </c>
      <c r="O481" s="250">
        <f>IF(D481="O",IF(N481&lt;0,N481,0),0)</f>
        <v>0</v>
      </c>
      <c r="P481" s="251">
        <f>IF(N481&gt;= 0,N481,0)</f>
        <v>6.13</v>
      </c>
      <c r="Q481" s="251">
        <f>IF(N481&lt;0,N481,0)</f>
        <v>0</v>
      </c>
      <c r="R4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32381</v>
      </c>
      <c r="T4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32381</v>
      </c>
      <c r="U48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81" s="254">
        <f>IF(B481="FX",N481,0)</f>
        <v>0</v>
      </c>
      <c r="W481" s="254">
        <f>IF(D481="O",IF(V481&lt;0,V481,0),0)</f>
        <v>0</v>
      </c>
      <c r="X481" s="254">
        <f>IF(B481="COM",N481,0)</f>
        <v>0</v>
      </c>
      <c r="Y481" s="254">
        <f>IF(D481="O",IF(X481&lt;0,X481,0),0)</f>
        <v>0</v>
      </c>
      <c r="Z481" s="254">
        <f>IF(B481="IND",N481,0)</f>
        <v>6.13</v>
      </c>
      <c r="AA481" s="250">
        <f>IF(D481="O",IF(Z481&lt;0,Z481,0),0)</f>
        <v>0</v>
      </c>
      <c r="AB481" s="254">
        <f>IF(B481="CRYPTO",N481,0)</f>
        <v>0</v>
      </c>
      <c r="AC481" s="250">
        <f>IF(D481="O",IF(AB481&lt;0,AB481,0),0)</f>
        <v>0</v>
      </c>
      <c r="AD481" s="255">
        <f>IF(K481&lt;&gt;"",K481-E481,0)</f>
        <v>4.6479166666686069</v>
      </c>
      <c r="AE481" s="255">
        <f>IF(N481&gt;0,AD481,0)</f>
        <v>4.6479166666686069</v>
      </c>
      <c r="AF481" s="255">
        <f>IF(N481&lt;0,AD481,0)</f>
        <v>0</v>
      </c>
      <c r="AG481" s="255">
        <f>IF(N481=0,AD481,0)</f>
        <v>0</v>
      </c>
    </row>
    <row r="482" spans="2:33" ht="15" customHeight="1" x14ac:dyDescent="0.3">
      <c r="B482" s="196" t="s">
        <v>7</v>
      </c>
      <c r="C482" s="197" t="s">
        <v>15</v>
      </c>
      <c r="D482" s="246" t="str">
        <f>IF(E482&lt;&gt;"",IF(K482&lt;&gt;"","C","O"),"")</f>
        <v>C</v>
      </c>
      <c r="E482" s="199">
        <v>44711.114583333336</v>
      </c>
      <c r="F482" s="200" t="s">
        <v>115</v>
      </c>
      <c r="G482" s="235">
        <v>160.74299999999999</v>
      </c>
      <c r="H482" s="235">
        <v>160.16499999999999</v>
      </c>
      <c r="I482" s="247">
        <f>ABS(G482-H482)</f>
        <v>0.57800000000000296</v>
      </c>
      <c r="J482" s="235">
        <v>162.39400000000001</v>
      </c>
      <c r="K482" s="199">
        <v>44712.364583333336</v>
      </c>
      <c r="L482" s="235">
        <v>161.27199999999999</v>
      </c>
      <c r="M482" s="248">
        <f>ROUND(IF(C482="L",(L482-G482),(G482-L482)),4)</f>
        <v>0.52900000000000003</v>
      </c>
      <c r="N482" s="249">
        <f>IFERROR(ROUND((M482/I482),2),"")</f>
        <v>0.92</v>
      </c>
      <c r="O482" s="250">
        <f>IF(D482="O",IF(N482&lt;0,N482,0),0)</f>
        <v>0</v>
      </c>
      <c r="P482" s="251">
        <f>IF(N482&gt;= 0,N482,0)</f>
        <v>0.92</v>
      </c>
      <c r="Q482" s="251">
        <f>IF(N482&lt;0,N482,0)</f>
        <v>0</v>
      </c>
      <c r="R4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31768</v>
      </c>
      <c r="T4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31768</v>
      </c>
      <c r="U48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82" s="254">
        <f>IF(B482="FX",N482,0)</f>
        <v>0.92</v>
      </c>
      <c r="W482" s="254">
        <f>IF(D482="O",IF(V482&lt;0,V482,0),0)</f>
        <v>0</v>
      </c>
      <c r="X482" s="254">
        <f>IF(B482="COM",N482,0)</f>
        <v>0</v>
      </c>
      <c r="Y482" s="254">
        <f>IF(D482="O",IF(X482&lt;0,X482,0),0)</f>
        <v>0</v>
      </c>
      <c r="Z482" s="254">
        <f>IF(B482="IND",N482,0)</f>
        <v>0</v>
      </c>
      <c r="AA482" s="250">
        <f>IF(D482="O",IF(Z482&lt;0,Z482,0),0)</f>
        <v>0</v>
      </c>
      <c r="AB482" s="254">
        <f>IF(B482="CRYPTO",N482,0)</f>
        <v>0</v>
      </c>
      <c r="AC482" s="250">
        <f>IF(D482="O",IF(AB482&lt;0,AB482,0),0)</f>
        <v>0</v>
      </c>
      <c r="AD482" s="255">
        <f>IF(K482&lt;&gt;"",K482-E482,0)</f>
        <v>1.25</v>
      </c>
      <c r="AE482" s="255">
        <f>IF(N482&gt;0,AD482,0)</f>
        <v>1.25</v>
      </c>
      <c r="AF482" s="255">
        <f>IF(N482&lt;0,AD482,0)</f>
        <v>0</v>
      </c>
      <c r="AG482" s="255">
        <f>IF(N482=0,AD482,0)</f>
        <v>0</v>
      </c>
    </row>
    <row r="483" spans="2:33" ht="15" customHeight="1" x14ac:dyDescent="0.3">
      <c r="B483" s="196" t="s">
        <v>7</v>
      </c>
      <c r="C483" s="197" t="s">
        <v>15</v>
      </c>
      <c r="D483" s="246" t="str">
        <f>IF(E483&lt;&gt;"",IF(K483&lt;&gt;"","C","O"),"")</f>
        <v>C</v>
      </c>
      <c r="E483" s="199">
        <v>44711.75</v>
      </c>
      <c r="F483" s="200" t="s">
        <v>114</v>
      </c>
      <c r="G483" s="235">
        <v>1.0781499999999999</v>
      </c>
      <c r="H483" s="235">
        <v>1.07657</v>
      </c>
      <c r="I483" s="247">
        <f>ABS(G483-H483)</f>
        <v>1.5799999999999148E-3</v>
      </c>
      <c r="J483" s="235">
        <v>1.09236</v>
      </c>
      <c r="K483" s="199">
        <v>44712.111111111109</v>
      </c>
      <c r="L483" s="235">
        <v>1.0771599999999999</v>
      </c>
      <c r="M483" s="248">
        <f>ROUND(IF(C483="L",(L483-G483),(G483-L483)),4)</f>
        <v>-1E-3</v>
      </c>
      <c r="N483" s="249">
        <f>IFERROR(ROUND((M483/I483),2),"")</f>
        <v>-0.63</v>
      </c>
      <c r="O483" s="250">
        <f>IF(D483="O",IF(N483&lt;0,N483,0),0)</f>
        <v>0</v>
      </c>
      <c r="P483" s="251">
        <f>IF(N483&gt;= 0,N483,0)</f>
        <v>0</v>
      </c>
      <c r="Q483" s="251">
        <f>IF(N483&lt;0,N483,0)</f>
        <v>-0.63</v>
      </c>
      <c r="R4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31676</v>
      </c>
      <c r="T4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31739</v>
      </c>
      <c r="U483" s="253">
        <f ca="1">IF(Tabla33610673[[#This Row],[Equity]]&lt;Tabla33610673[[#This Row],[Equity Peak]],(Tabla33610673[[#This Row],[Equity Peak]]-Tabla33610673[[#This Row],[Equity]])/Tabla33610673[[#This Row],[Equity Peak]],"")</f>
        <v>1.9849396641356061E-3</v>
      </c>
      <c r="V483" s="254">
        <f>IF(B483="FX",N483,0)</f>
        <v>-0.63</v>
      </c>
      <c r="W483" s="254">
        <f>IF(D483="O",IF(V483&lt;0,V483,0),0)</f>
        <v>0</v>
      </c>
      <c r="X483" s="254">
        <f>IF(B483="COM",N483,0)</f>
        <v>0</v>
      </c>
      <c r="Y483" s="254">
        <f>IF(D483="O",IF(X483&lt;0,X483,0),0)</f>
        <v>0</v>
      </c>
      <c r="Z483" s="254">
        <f>IF(B483="IND",N483,0)</f>
        <v>0</v>
      </c>
      <c r="AA483" s="250">
        <f>IF(D483="O",IF(Z483&lt;0,Z483,0),0)</f>
        <v>0</v>
      </c>
      <c r="AB483" s="254">
        <f>IF(B483="CRYPTO",N483,0)</f>
        <v>0</v>
      </c>
      <c r="AC483" s="250">
        <f>IF(D483="O",IF(AB483&lt;0,AB483,0),0)</f>
        <v>0</v>
      </c>
      <c r="AD483" s="255">
        <f>IF(K483&lt;&gt;"",K483-E483,0)</f>
        <v>0.36111111110949423</v>
      </c>
      <c r="AE483" s="255">
        <f>IF(N483&gt;0,AD483,0)</f>
        <v>0</v>
      </c>
      <c r="AF483" s="255">
        <f>IF(N483&lt;0,AD483,0)</f>
        <v>0.36111111110949423</v>
      </c>
      <c r="AG483" s="255">
        <f>IF(N483=0,AD483,0)</f>
        <v>0</v>
      </c>
    </row>
    <row r="484" spans="2:33" ht="15" customHeight="1" x14ac:dyDescent="0.3">
      <c r="B484" s="196" t="s">
        <v>5</v>
      </c>
      <c r="C484" s="197" t="s">
        <v>15</v>
      </c>
      <c r="D484" s="246" t="str">
        <f>IF(E484&lt;&gt;"",IF(K484&lt;&gt;"","C","O"),"")</f>
        <v>C</v>
      </c>
      <c r="E484" s="199">
        <v>44708.666666666664</v>
      </c>
      <c r="F484" s="200" t="s">
        <v>92</v>
      </c>
      <c r="G484" s="235">
        <v>12410.07</v>
      </c>
      <c r="H484" s="235">
        <v>12371.44</v>
      </c>
      <c r="I484" s="247">
        <f>ABS(G484-H484)</f>
        <v>38.6299999999992</v>
      </c>
      <c r="J484" s="235">
        <v>13131.07</v>
      </c>
      <c r="K484" s="199">
        <v>44711.693055555559</v>
      </c>
      <c r="L484" s="235">
        <v>12742.29</v>
      </c>
      <c r="M484" s="248">
        <f>ROUND(IF(C484="L",(L484-G484),(G484-L484)),4)</f>
        <v>332.22</v>
      </c>
      <c r="N484" s="249">
        <f>IFERROR(ROUND((M484/I484),2),"")</f>
        <v>8.6</v>
      </c>
      <c r="O484" s="250">
        <f>IF(D484="O",IF(N484&lt;0,N484,0),0)</f>
        <v>0</v>
      </c>
      <c r="P484" s="251">
        <f>IF(N484&gt;= 0,N484,0)</f>
        <v>8.6</v>
      </c>
      <c r="Q484" s="251">
        <f>IF(N484&lt;0,N484,0)</f>
        <v>0</v>
      </c>
      <c r="R4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31739</v>
      </c>
      <c r="T4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31739</v>
      </c>
      <c r="U48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484" s="254">
        <f>IF(B484="FX",N484,0)</f>
        <v>0</v>
      </c>
      <c r="W484" s="254">
        <f>IF(D484="O",IF(V484&lt;0,V484,0),0)</f>
        <v>0</v>
      </c>
      <c r="X484" s="254">
        <f>IF(B484="COM",N484,0)</f>
        <v>0</v>
      </c>
      <c r="Y484" s="254">
        <f>IF(D484="O",IF(X484&lt;0,X484,0),0)</f>
        <v>0</v>
      </c>
      <c r="Z484" s="254">
        <f>IF(B484="IND",N484,0)</f>
        <v>8.6</v>
      </c>
      <c r="AA484" s="250">
        <f>IF(D484="O",IF(Z484&lt;0,Z484,0),0)</f>
        <v>0</v>
      </c>
      <c r="AB484" s="254">
        <f>IF(B484="CRYPTO",N484,0)</f>
        <v>0</v>
      </c>
      <c r="AC484" s="250">
        <f>IF(D484="O",IF(AB484&lt;0,AB484,0),0)</f>
        <v>0</v>
      </c>
      <c r="AD484" s="255">
        <f>IF(K484&lt;&gt;"",K484-E484,0)</f>
        <v>3.0263888888948713</v>
      </c>
      <c r="AE484" s="255">
        <f>IF(N484&gt;0,AD484,0)</f>
        <v>3.0263888888948713</v>
      </c>
      <c r="AF484" s="255">
        <f>IF(N484&lt;0,AD484,0)</f>
        <v>0</v>
      </c>
      <c r="AG484" s="255">
        <f>IF(N484=0,AD484,0)</f>
        <v>0</v>
      </c>
    </row>
    <row r="485" spans="2:33" ht="15" customHeight="1" x14ac:dyDescent="0.3">
      <c r="B485" s="196" t="s">
        <v>7</v>
      </c>
      <c r="C485" s="197" t="s">
        <v>15</v>
      </c>
      <c r="D485" s="246" t="str">
        <f>IF(E485&lt;&gt;"",IF(K485&lt;&gt;"","C","O"),"")</f>
        <v>C</v>
      </c>
      <c r="E485" s="199">
        <v>44711.572916666664</v>
      </c>
      <c r="F485" s="200" t="s">
        <v>114</v>
      </c>
      <c r="G485" s="235">
        <v>1.07738</v>
      </c>
      <c r="H485" s="235">
        <v>1.0753699999999999</v>
      </c>
      <c r="I485" s="247">
        <f>ABS(G485-H485)</f>
        <v>2.0100000000000673E-3</v>
      </c>
      <c r="J485" s="235">
        <v>1.0954299999999999</v>
      </c>
      <c r="K485" s="199">
        <v>44711.650694444441</v>
      </c>
      <c r="L485" s="235">
        <v>1.0753699999999999</v>
      </c>
      <c r="M485" s="248">
        <f>ROUND(IF(C485="L",(L485-G485),(G485-L485)),4)</f>
        <v>-2E-3</v>
      </c>
      <c r="N485" s="249">
        <f>IFERROR(ROUND((M485/I485),2),"")</f>
        <v>-1</v>
      </c>
      <c r="O485" s="250">
        <f>IF(D485="O",IF(N485&lt;0,N485,0),0)</f>
        <v>0</v>
      </c>
      <c r="P485" s="251">
        <f>IF(N485&gt;= 0,N485,0)</f>
        <v>0</v>
      </c>
      <c r="Q485" s="251">
        <f>IF(N485&lt;0,N485,0)</f>
        <v>-1</v>
      </c>
      <c r="R4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30879</v>
      </c>
      <c r="T4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85" s="253">
        <f ca="1">IF(Tabla33610673[[#This Row],[Equity]]&lt;Tabla33610673[[#This Row],[Equity Peak]],(Tabla33610673[[#This Row],[Equity Peak]]-Tabla33610673[[#This Row],[Equity]])/Tabla33610673[[#This Row],[Equity Peak]],"")</f>
        <v>1.6310407441623397E-2</v>
      </c>
      <c r="V485" s="254">
        <f>IF(B485="FX",N485,0)</f>
        <v>-1</v>
      </c>
      <c r="W485" s="254">
        <f>IF(D485="O",IF(V485&lt;0,V485,0),0)</f>
        <v>0</v>
      </c>
      <c r="X485" s="254">
        <f>IF(B485="COM",N485,0)</f>
        <v>0</v>
      </c>
      <c r="Y485" s="254">
        <f>IF(D485="O",IF(X485&lt;0,X485,0),0)</f>
        <v>0</v>
      </c>
      <c r="Z485" s="254">
        <f>IF(B485="IND",N485,0)</f>
        <v>0</v>
      </c>
      <c r="AA485" s="250">
        <f>IF(D485="O",IF(Z485&lt;0,Z485,0),0)</f>
        <v>0</v>
      </c>
      <c r="AB485" s="254">
        <f>IF(B485="CRYPTO",N485,0)</f>
        <v>0</v>
      </c>
      <c r="AC485" s="250">
        <f>IF(D485="O",IF(AB485&lt;0,AB485,0),0)</f>
        <v>0</v>
      </c>
      <c r="AD485" s="255">
        <f>IF(K485&lt;&gt;"",K485-E485,0)</f>
        <v>7.7777777776645962E-2</v>
      </c>
      <c r="AE485" s="255">
        <f>IF(N485&gt;0,AD485,0)</f>
        <v>0</v>
      </c>
      <c r="AF485" s="255">
        <f>IF(N485&lt;0,AD485,0)</f>
        <v>7.7777777776645962E-2</v>
      </c>
      <c r="AG485" s="255">
        <f>IF(N485=0,AD485,0)</f>
        <v>0</v>
      </c>
    </row>
    <row r="486" spans="2:33" ht="15" customHeight="1" x14ac:dyDescent="0.3">
      <c r="B486" s="196" t="s">
        <v>5</v>
      </c>
      <c r="C486" s="197" t="s">
        <v>15</v>
      </c>
      <c r="D486" s="246" t="str">
        <f>IF(E486&lt;&gt;"",IF(K486&lt;&gt;"","C","O"),"")</f>
        <v>C</v>
      </c>
      <c r="E486" s="199">
        <v>44707.71875</v>
      </c>
      <c r="F486" s="200" t="s">
        <v>93</v>
      </c>
      <c r="G486" s="235">
        <v>12154.8</v>
      </c>
      <c r="H486" s="235">
        <v>12098.69</v>
      </c>
      <c r="I486" s="247">
        <f>ABS(G486-H486)</f>
        <v>56.109999999998763</v>
      </c>
      <c r="J486" s="235">
        <v>12753.3</v>
      </c>
      <c r="K486" s="199">
        <v>44711.175000000003</v>
      </c>
      <c r="L486" s="235">
        <v>12753.3</v>
      </c>
      <c r="M486" s="248">
        <f>ROUND(IF(C486="L",(L486-G486),(G486-L486)),4)</f>
        <v>598.5</v>
      </c>
      <c r="N486" s="249">
        <f>IFERROR(ROUND((M486/I486),2),"")</f>
        <v>10.67</v>
      </c>
      <c r="O486" s="250">
        <f>IF(D486="O",IF(N486&lt;0,N486,0),0)</f>
        <v>0</v>
      </c>
      <c r="P486" s="251">
        <f>IF(N486&gt;= 0,N486,0)</f>
        <v>10.67</v>
      </c>
      <c r="Q486" s="251">
        <f>IF(N486&lt;0,N486,0)</f>
        <v>0</v>
      </c>
      <c r="R4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30979</v>
      </c>
      <c r="T4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86" s="253">
        <f ca="1">IF(Tabla33610673[[#This Row],[Equity]]&lt;Tabla33610673[[#This Row],[Equity Peak]],(Tabla33610673[[#This Row],[Equity Peak]]-Tabla33610673[[#This Row],[Equity]])/Tabla33610673[[#This Row],[Equity Peak]],"")</f>
        <v>1.3124780988181326E-2</v>
      </c>
      <c r="V486" s="254">
        <f>IF(B486="FX",N486,0)</f>
        <v>0</v>
      </c>
      <c r="W486" s="254">
        <f>IF(D486="O",IF(V486&lt;0,V486,0),0)</f>
        <v>0</v>
      </c>
      <c r="X486" s="254">
        <f>IF(B486="COM",N486,0)</f>
        <v>0</v>
      </c>
      <c r="Y486" s="254">
        <f>IF(D486="O",IF(X486&lt;0,X486,0),0)</f>
        <v>0</v>
      </c>
      <c r="Z486" s="254">
        <f>IF(B486="IND",N486,0)</f>
        <v>10.67</v>
      </c>
      <c r="AA486" s="250">
        <f>IF(D486="O",IF(Z486&lt;0,Z486,0),0)</f>
        <v>0</v>
      </c>
      <c r="AB486" s="254">
        <f>IF(B486="CRYPTO",N486,0)</f>
        <v>0</v>
      </c>
      <c r="AC486" s="250">
        <f>IF(D486="O",IF(AB486&lt;0,AB486,0),0)</f>
        <v>0</v>
      </c>
      <c r="AD486" s="255">
        <f>IF(K486&lt;&gt;"",K486-E486,0)</f>
        <v>3.4562500000029104</v>
      </c>
      <c r="AE486" s="255">
        <f>IF(N486&gt;0,AD486,0)</f>
        <v>3.4562500000029104</v>
      </c>
      <c r="AF486" s="255">
        <f>IF(N486&lt;0,AD486,0)</f>
        <v>0</v>
      </c>
      <c r="AG486" s="255">
        <f>IF(N486=0,AD486,0)</f>
        <v>0</v>
      </c>
    </row>
    <row r="487" spans="2:33" ht="15" customHeight="1" x14ac:dyDescent="0.3">
      <c r="B487" s="196" t="s">
        <v>7</v>
      </c>
      <c r="C487" s="197" t="s">
        <v>15</v>
      </c>
      <c r="D487" s="246" t="str">
        <f>IF(E487&lt;&gt;"",IF(K487&lt;&gt;"","C","O"),"")</f>
        <v>C</v>
      </c>
      <c r="E487" s="199">
        <v>44708.208333333336</v>
      </c>
      <c r="F487" s="200" t="s">
        <v>114</v>
      </c>
      <c r="G487" s="235">
        <v>1.0762799999999999</v>
      </c>
      <c r="H487" s="235">
        <v>1.0750299999999999</v>
      </c>
      <c r="I487" s="247">
        <f>ABS(G487-H487)</f>
        <v>1.2499999999999734E-3</v>
      </c>
      <c r="J487" s="235">
        <v>1.0875699999999999</v>
      </c>
      <c r="K487" s="199">
        <v>44708.366666666669</v>
      </c>
      <c r="L487" s="235">
        <v>1.0750299999999999</v>
      </c>
      <c r="M487" s="248">
        <f>ROUND(IF(C487="L",(L487-G487),(G487-L487)),4)</f>
        <v>-1.1999999999999999E-3</v>
      </c>
      <c r="N487" s="249">
        <f>IFERROR(ROUND((M487/I487),2),"")</f>
        <v>-0.96</v>
      </c>
      <c r="O487" s="250">
        <f>IF(D487="O",IF(N487&lt;0,N487,0),0)</f>
        <v>0</v>
      </c>
      <c r="P487" s="251">
        <f>IF(N487&gt;= 0,N487,0)</f>
        <v>0</v>
      </c>
      <c r="Q487" s="251">
        <f>IF(N487&lt;0,N487,0)</f>
        <v>-0.96</v>
      </c>
      <c r="R4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29912</v>
      </c>
      <c r="T4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87" s="253">
        <f ca="1">IF(Tabla33610673[[#This Row],[Equity]]&lt;Tabla33610673[[#This Row],[Equity Peak]],(Tabla33610673[[#This Row],[Equity Peak]]-Tabla33610673[[#This Row],[Equity]])/Tabla33610673[[#This Row],[Equity Peak]],"")</f>
        <v>4.7115415246408207E-2</v>
      </c>
      <c r="V487" s="254">
        <f>IF(B487="FX",N487,0)</f>
        <v>-0.96</v>
      </c>
      <c r="W487" s="254">
        <f>IF(D487="O",IF(V487&lt;0,V487,0),0)</f>
        <v>0</v>
      </c>
      <c r="X487" s="254">
        <f>IF(B487="COM",N487,0)</f>
        <v>0</v>
      </c>
      <c r="Y487" s="254">
        <f>IF(D487="O",IF(X487&lt;0,X487,0),0)</f>
        <v>0</v>
      </c>
      <c r="Z487" s="254">
        <f>IF(B487="IND",N487,0)</f>
        <v>0</v>
      </c>
      <c r="AA487" s="250">
        <f>IF(D487="O",IF(Z487&lt;0,Z487,0),0)</f>
        <v>0</v>
      </c>
      <c r="AB487" s="254">
        <f>IF(B487="CRYPTO",N487,0)</f>
        <v>0</v>
      </c>
      <c r="AC487" s="250">
        <f>IF(D487="O",IF(AB487&lt;0,AB487,0),0)</f>
        <v>0</v>
      </c>
      <c r="AD487" s="255">
        <f>IF(K487&lt;&gt;"",K487-E487,0)</f>
        <v>0.15833333333284827</v>
      </c>
      <c r="AE487" s="255">
        <f>IF(N487&gt;0,AD487,0)</f>
        <v>0</v>
      </c>
      <c r="AF487" s="255">
        <f>IF(N487&lt;0,AD487,0)</f>
        <v>0.15833333333284827</v>
      </c>
      <c r="AG487" s="255">
        <f>IF(N487=0,AD487,0)</f>
        <v>0</v>
      </c>
    </row>
    <row r="488" spans="2:33" ht="15" customHeight="1" x14ac:dyDescent="0.3">
      <c r="B488" s="196" t="s">
        <v>7</v>
      </c>
      <c r="C488" s="197" t="s">
        <v>15</v>
      </c>
      <c r="D488" s="246" t="str">
        <f>IF(E488&lt;&gt;"",IF(K488&lt;&gt;"","C","O"),"")</f>
        <v>C</v>
      </c>
      <c r="E488" s="199">
        <v>44706.875</v>
      </c>
      <c r="F488" s="200" t="s">
        <v>115</v>
      </c>
      <c r="G488" s="235">
        <v>159.96899999999999</v>
      </c>
      <c r="H488" s="235">
        <v>159.25</v>
      </c>
      <c r="I488" s="247">
        <f>ABS(G488-H488)</f>
        <v>0.71899999999999409</v>
      </c>
      <c r="J488" s="235">
        <v>162.02199999999999</v>
      </c>
      <c r="K488" s="199">
        <v>44707.373611111114</v>
      </c>
      <c r="L488" s="235">
        <v>159.85</v>
      </c>
      <c r="M488" s="248">
        <f>ROUND(IF(C488="L",(L488-G488),(G488-L488)),4)</f>
        <v>-0.11899999999999999</v>
      </c>
      <c r="N488" s="249">
        <f>IFERROR(ROUND((M488/I488),2),"")</f>
        <v>-0.17</v>
      </c>
      <c r="O488" s="250">
        <f>IF(D488="O",IF(N488&lt;0,N488,0),0)</f>
        <v>0</v>
      </c>
      <c r="P488" s="251">
        <f>IF(N488&gt;= 0,N488,0)</f>
        <v>0</v>
      </c>
      <c r="Q488" s="251">
        <f>IF(N488&lt;0,N488,0)</f>
        <v>-0.17</v>
      </c>
      <c r="R4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30008</v>
      </c>
      <c r="T4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88" s="253">
        <f ca="1">IF(Tabla33610673[[#This Row],[Equity]]&lt;Tabla33610673[[#This Row],[Equity Peak]],(Tabla33610673[[#This Row],[Equity Peak]]-Tabla33610673[[#This Row],[Equity]])/Tabla33610673[[#This Row],[Equity Peak]],"")</f>
        <v>4.4057213851103817E-2</v>
      </c>
      <c r="V488" s="254">
        <f>IF(B488="FX",N488,0)</f>
        <v>-0.17</v>
      </c>
      <c r="W488" s="254">
        <f>IF(D488="O",IF(V488&lt;0,V488,0),0)</f>
        <v>0</v>
      </c>
      <c r="X488" s="254">
        <f>IF(B488="COM",N488,0)</f>
        <v>0</v>
      </c>
      <c r="Y488" s="254">
        <f>IF(D488="O",IF(X488&lt;0,X488,0),0)</f>
        <v>0</v>
      </c>
      <c r="Z488" s="254">
        <f>IF(B488="IND",N488,0)</f>
        <v>0</v>
      </c>
      <c r="AA488" s="250">
        <f>IF(D488="O",IF(Z488&lt;0,Z488,0),0)</f>
        <v>0</v>
      </c>
      <c r="AB488" s="254">
        <f>IF(B488="CRYPTO",N488,0)</f>
        <v>0</v>
      </c>
      <c r="AC488" s="250">
        <f>IF(D488="O",IF(AB488&lt;0,AB488,0),0)</f>
        <v>0</v>
      </c>
      <c r="AD488" s="255">
        <f>IF(K488&lt;&gt;"",K488-E488,0)</f>
        <v>0.49861111111385981</v>
      </c>
      <c r="AE488" s="255">
        <f>IF(N488&gt;0,AD488,0)</f>
        <v>0</v>
      </c>
      <c r="AF488" s="255">
        <f>IF(N488&lt;0,AD488,0)</f>
        <v>0.49861111111385981</v>
      </c>
      <c r="AG488" s="255">
        <f>IF(N488=0,AD488,0)</f>
        <v>0</v>
      </c>
    </row>
    <row r="489" spans="2:33" ht="15" customHeight="1" x14ac:dyDescent="0.3">
      <c r="B489" s="196" t="s">
        <v>7</v>
      </c>
      <c r="C489" s="197" t="s">
        <v>15</v>
      </c>
      <c r="D489" s="246" t="str">
        <f>IF(E489&lt;&gt;"",IF(K489&lt;&gt;"","C","O"),"")</f>
        <v>C</v>
      </c>
      <c r="E489" s="199">
        <v>44704.479166666664</v>
      </c>
      <c r="F489" s="200" t="s">
        <v>114</v>
      </c>
      <c r="G489" s="235">
        <v>1.06277</v>
      </c>
      <c r="H489" s="235">
        <v>1.0609</v>
      </c>
      <c r="I489" s="247">
        <f>ABS(G489-H489)</f>
        <v>1.8700000000000383E-3</v>
      </c>
      <c r="J489" s="235">
        <v>1.0796399999999999</v>
      </c>
      <c r="K489" s="199">
        <v>44706.238194444442</v>
      </c>
      <c r="L489" s="235">
        <v>1.0704400000000001</v>
      </c>
      <c r="M489" s="248">
        <f>ROUND(IF(C489="L",(L489-G489),(G489-L489)),4)</f>
        <v>7.7000000000000002E-3</v>
      </c>
      <c r="N489" s="249">
        <f>IFERROR(ROUND((M489/I489),2),"")</f>
        <v>4.12</v>
      </c>
      <c r="O489" s="250">
        <f>IF(D489="O",IF(N489&lt;0,N489,0),0)</f>
        <v>0</v>
      </c>
      <c r="P489" s="251">
        <f>IF(N489&gt;= 0,N489,0)</f>
        <v>4.12</v>
      </c>
      <c r="Q489" s="251">
        <f>IF(N489&lt;0,N489,0)</f>
        <v>0</v>
      </c>
      <c r="R4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30025</v>
      </c>
      <c r="T4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89" s="253">
        <f ca="1">IF(Tabla33610673[[#This Row],[Equity]]&lt;Tabla33610673[[#This Row],[Equity Peak]],(Tabla33610673[[#This Row],[Equity Peak]]-Tabla33610673[[#This Row],[Equity]])/Tabla33610673[[#This Row],[Equity Peak]],"")</f>
        <v>4.3515657354018668E-2</v>
      </c>
      <c r="V489" s="254">
        <f>IF(B489="FX",N489,0)</f>
        <v>4.12</v>
      </c>
      <c r="W489" s="254">
        <f>IF(D489="O",IF(V489&lt;0,V489,0),0)</f>
        <v>0</v>
      </c>
      <c r="X489" s="254">
        <f>IF(B489="COM",N489,0)</f>
        <v>0</v>
      </c>
      <c r="Y489" s="254">
        <f>IF(D489="O",IF(X489&lt;0,X489,0),0)</f>
        <v>0</v>
      </c>
      <c r="Z489" s="254">
        <f>IF(B489="IND",N489,0)</f>
        <v>0</v>
      </c>
      <c r="AA489" s="250">
        <f>IF(D489="O",IF(Z489&lt;0,Z489,0),0)</f>
        <v>0</v>
      </c>
      <c r="AB489" s="254">
        <f>IF(B489="CRYPTO",N489,0)</f>
        <v>0</v>
      </c>
      <c r="AC489" s="250">
        <f>IF(D489="O",IF(AB489&lt;0,AB489,0),0)</f>
        <v>0</v>
      </c>
      <c r="AD489" s="255">
        <f>IF(K489&lt;&gt;"",K489-E489,0)</f>
        <v>1.7590277777781012</v>
      </c>
      <c r="AE489" s="255">
        <f>IF(N489&gt;0,AD489,0)</f>
        <v>1.7590277777781012</v>
      </c>
      <c r="AF489" s="255">
        <f>IF(N489&lt;0,AD489,0)</f>
        <v>0</v>
      </c>
      <c r="AG489" s="255">
        <f>IF(N489=0,AD489,0)</f>
        <v>0</v>
      </c>
    </row>
    <row r="490" spans="2:33" ht="15" customHeight="1" x14ac:dyDescent="0.3">
      <c r="B490" s="196" t="s">
        <v>7</v>
      </c>
      <c r="C490" s="197" t="s">
        <v>13</v>
      </c>
      <c r="D490" s="246" t="str">
        <f>IF(E490&lt;&gt;"",IF(K490&lt;&gt;"","C","O"),"")</f>
        <v>C</v>
      </c>
      <c r="E490" s="199">
        <v>44705.489583333336</v>
      </c>
      <c r="F490" s="200" t="s">
        <v>115</v>
      </c>
      <c r="G490" s="235">
        <v>159.048</v>
      </c>
      <c r="H490" s="235">
        <v>159.71700000000001</v>
      </c>
      <c r="I490" s="247">
        <f>ABS(G490-H490)</f>
        <v>0.66900000000001114</v>
      </c>
      <c r="J490" s="235">
        <v>157.136</v>
      </c>
      <c r="K490" s="199">
        <v>44706.053472222222</v>
      </c>
      <c r="L490" s="235">
        <v>159.08500000000001</v>
      </c>
      <c r="M490" s="248">
        <f>ROUND(IF(C490="L",(L490-G490),(G490-L490)),4)</f>
        <v>-3.6999999999999998E-2</v>
      </c>
      <c r="N490" s="249">
        <f>IFERROR(ROUND((M490/I490),2),"")</f>
        <v>-0.06</v>
      </c>
      <c r="O490" s="250">
        <f>IF(D490="O",IF(N490&lt;0,N490,0),0)</f>
        <v>0</v>
      </c>
      <c r="P490" s="251">
        <f>IF(N490&gt;= 0,N490,0)</f>
        <v>0</v>
      </c>
      <c r="Q490" s="251">
        <f>IF(N490&lt;0,N490,0)</f>
        <v>-0.06</v>
      </c>
      <c r="R4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29613</v>
      </c>
      <c r="T4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0" s="253">
        <f ca="1">IF(Tabla33610673[[#This Row],[Equity]]&lt;Tabla33610673[[#This Row],[Equity Peak]],(Tabla33610673[[#This Row],[Equity Peak]]-Tabla33610673[[#This Row],[Equity]])/Tabla33610673[[#This Row],[Equity Peak]],"")</f>
        <v>5.6640438342199992E-2</v>
      </c>
      <c r="V490" s="254">
        <f>IF(B490="FX",N490,0)</f>
        <v>-0.06</v>
      </c>
      <c r="W490" s="254">
        <f>IF(D490="O",IF(V490&lt;0,V490,0),0)</f>
        <v>0</v>
      </c>
      <c r="X490" s="254">
        <f>IF(B490="COM",N490,0)</f>
        <v>0</v>
      </c>
      <c r="Y490" s="254">
        <f>IF(D490="O",IF(X490&lt;0,X490,0),0)</f>
        <v>0</v>
      </c>
      <c r="Z490" s="254">
        <f>IF(B490="IND",N490,0)</f>
        <v>0</v>
      </c>
      <c r="AA490" s="250">
        <f>IF(D490="O",IF(Z490&lt;0,Z490,0),0)</f>
        <v>0</v>
      </c>
      <c r="AB490" s="254">
        <f>IF(B490="CRYPTO",N490,0)</f>
        <v>0</v>
      </c>
      <c r="AC490" s="250">
        <f>IF(D490="O",IF(AB490&lt;0,AB490,0),0)</f>
        <v>0</v>
      </c>
      <c r="AD490" s="255">
        <f>IF(K490&lt;&gt;"",K490-E490,0)</f>
        <v>0.56388888888614019</v>
      </c>
      <c r="AE490" s="255">
        <f>IF(N490&gt;0,AD490,0)</f>
        <v>0</v>
      </c>
      <c r="AF490" s="255">
        <f>IF(N490&lt;0,AD490,0)</f>
        <v>0.56388888888614019</v>
      </c>
      <c r="AG490" s="255">
        <f>IF(N490=0,AD490,0)</f>
        <v>0</v>
      </c>
    </row>
    <row r="491" spans="2:33" ht="15" customHeight="1" x14ac:dyDescent="0.3">
      <c r="B491" s="196" t="s">
        <v>7</v>
      </c>
      <c r="C491" s="197" t="s">
        <v>13</v>
      </c>
      <c r="D491" s="246" t="str">
        <f>IF(E491&lt;&gt;"",IF(K491&lt;&gt;"","C","O"),"")</f>
        <v>C</v>
      </c>
      <c r="E491" s="199">
        <v>44705.697916666664</v>
      </c>
      <c r="F491" s="200" t="s">
        <v>116</v>
      </c>
      <c r="G491" s="235">
        <v>126.745</v>
      </c>
      <c r="H491" s="235">
        <v>127.05</v>
      </c>
      <c r="I491" s="247">
        <f>ABS(G491-H491)</f>
        <v>0.30499999999999261</v>
      </c>
      <c r="J491" s="235">
        <v>123.577</v>
      </c>
      <c r="K491" s="199">
        <v>44705.870138888888</v>
      </c>
      <c r="L491" s="235">
        <v>126.76300000000001</v>
      </c>
      <c r="M491" s="248">
        <f>ROUND(IF(C491="L",(L491-G491),(G491-L491)),4)</f>
        <v>-1.7999999999999999E-2</v>
      </c>
      <c r="N491" s="249">
        <f>IFERROR(ROUND((M491/I491),2),"")</f>
        <v>-0.06</v>
      </c>
      <c r="O491" s="250">
        <f>IF(D491="O",IF(N491&lt;0,N491,0),0)</f>
        <v>0</v>
      </c>
      <c r="P491" s="251">
        <f>IF(N491&gt;= 0,N491,0)</f>
        <v>0</v>
      </c>
      <c r="Q491" s="251">
        <f>IF(N491&lt;0,N491,0)</f>
        <v>-0.06</v>
      </c>
      <c r="R4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29619</v>
      </c>
      <c r="T4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1" s="253">
        <f ca="1">IF(Tabla33610673[[#This Row],[Equity]]&lt;Tabla33610673[[#This Row],[Equity Peak]],(Tabla33610673[[#This Row],[Equity Peak]]-Tabla33610673[[#This Row],[Equity]])/Tabla33610673[[#This Row],[Equity Peak]],"")</f>
        <v>5.6449300754993471E-2</v>
      </c>
      <c r="V491" s="254">
        <f>IF(B491="FX",N491,0)</f>
        <v>-0.06</v>
      </c>
      <c r="W491" s="254">
        <f>IF(D491="O",IF(V491&lt;0,V491,0),0)</f>
        <v>0</v>
      </c>
      <c r="X491" s="254">
        <f>IF(B491="COM",N491,0)</f>
        <v>0</v>
      </c>
      <c r="Y491" s="254">
        <f>IF(D491="O",IF(X491&lt;0,X491,0),0)</f>
        <v>0</v>
      </c>
      <c r="Z491" s="254">
        <f>IF(B491="IND",N491,0)</f>
        <v>0</v>
      </c>
      <c r="AA491" s="250">
        <f>IF(D491="O",IF(Z491&lt;0,Z491,0),0)</f>
        <v>0</v>
      </c>
      <c r="AB491" s="254">
        <f>IF(B491="CRYPTO",N491,0)</f>
        <v>0</v>
      </c>
      <c r="AC491" s="250">
        <f>IF(D491="O",IF(AB491&lt;0,AB491,0),0)</f>
        <v>0</v>
      </c>
      <c r="AD491" s="255">
        <f>IF(K491&lt;&gt;"",K491-E491,0)</f>
        <v>0.17222222222335404</v>
      </c>
      <c r="AE491" s="255">
        <f>IF(N491&gt;0,AD491,0)</f>
        <v>0</v>
      </c>
      <c r="AF491" s="255">
        <f>IF(N491&lt;0,AD491,0)</f>
        <v>0.17222222222335404</v>
      </c>
      <c r="AG491" s="255">
        <f>IF(N491=0,AD491,0)</f>
        <v>0</v>
      </c>
    </row>
    <row r="492" spans="2:33" ht="15" customHeight="1" x14ac:dyDescent="0.3">
      <c r="B492" s="196" t="s">
        <v>7</v>
      </c>
      <c r="C492" s="197" t="s">
        <v>15</v>
      </c>
      <c r="D492" s="246" t="str">
        <f>IF(E492&lt;&gt;"",IF(K492&lt;&gt;"","C","O"),"")</f>
        <v>C</v>
      </c>
      <c r="E492" s="199">
        <v>44704.375</v>
      </c>
      <c r="F492" s="200" t="s">
        <v>115</v>
      </c>
      <c r="G492" s="235">
        <v>160.453</v>
      </c>
      <c r="H492" s="235">
        <v>159.66499999999999</v>
      </c>
      <c r="I492" s="247">
        <f>ABS(G492-H492)</f>
        <v>0.78800000000001091</v>
      </c>
      <c r="J492" s="235">
        <v>162.70400000000001</v>
      </c>
      <c r="K492" s="199">
        <v>44705.453472222223</v>
      </c>
      <c r="L492" s="235">
        <v>160.14599999999999</v>
      </c>
      <c r="M492" s="248">
        <f>ROUND(IF(C492="L",(L492-G492),(G492-L492)),4)</f>
        <v>-0.307</v>
      </c>
      <c r="N492" s="249">
        <f>IFERROR(ROUND((M492/I492),2),"")</f>
        <v>-0.39</v>
      </c>
      <c r="O492" s="250">
        <f>IF(D492="O",IF(N492&lt;0,N492,0),0)</f>
        <v>0</v>
      </c>
      <c r="P492" s="251">
        <f>IF(N492&gt;= 0,N492,0)</f>
        <v>0</v>
      </c>
      <c r="Q492" s="251">
        <f>IF(N492&lt;0,N492,0)</f>
        <v>-0.39</v>
      </c>
      <c r="R4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29625</v>
      </c>
      <c r="T4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2" s="253">
        <f ca="1">IF(Tabla33610673[[#This Row],[Equity]]&lt;Tabla33610673[[#This Row],[Equity Peak]],(Tabla33610673[[#This Row],[Equity Peak]]-Tabla33610673[[#This Row],[Equity]])/Tabla33610673[[#This Row],[Equity Peak]],"")</f>
        <v>5.6258163167786944E-2</v>
      </c>
      <c r="V492" s="254">
        <f>IF(B492="FX",N492,0)</f>
        <v>-0.39</v>
      </c>
      <c r="W492" s="254">
        <f>IF(D492="O",IF(V492&lt;0,V492,0),0)</f>
        <v>0</v>
      </c>
      <c r="X492" s="254">
        <f>IF(B492="COM",N492,0)</f>
        <v>0</v>
      </c>
      <c r="Y492" s="254">
        <f>IF(D492="O",IF(X492&lt;0,X492,0),0)</f>
        <v>0</v>
      </c>
      <c r="Z492" s="254">
        <f>IF(B492="IND",N492,0)</f>
        <v>0</v>
      </c>
      <c r="AA492" s="250">
        <f>IF(D492="O",IF(Z492&lt;0,Z492,0),0)</f>
        <v>0</v>
      </c>
      <c r="AB492" s="254">
        <f>IF(B492="CRYPTO",N492,0)</f>
        <v>0</v>
      </c>
      <c r="AC492" s="250">
        <f>IF(D492="O",IF(AB492&lt;0,AB492,0),0)</f>
        <v>0</v>
      </c>
      <c r="AD492" s="255">
        <f>IF(K492&lt;&gt;"",K492-E492,0)</f>
        <v>1.078472222223354</v>
      </c>
      <c r="AE492" s="255">
        <f>IF(N492&gt;0,AD492,0)</f>
        <v>0</v>
      </c>
      <c r="AF492" s="255">
        <f>IF(N492&lt;0,AD492,0)</f>
        <v>1.078472222223354</v>
      </c>
      <c r="AG492" s="255">
        <f>IF(N492=0,AD492,0)</f>
        <v>0</v>
      </c>
    </row>
    <row r="493" spans="2:33" ht="15" customHeight="1" x14ac:dyDescent="0.3">
      <c r="B493" s="196" t="s">
        <v>5</v>
      </c>
      <c r="C493" s="197" t="s">
        <v>13</v>
      </c>
      <c r="D493" s="246" t="str">
        <f>IF(E493&lt;&gt;"",IF(K493&lt;&gt;"","C","O"),"")</f>
        <v>C</v>
      </c>
      <c r="E493" s="199">
        <v>44701.802083333336</v>
      </c>
      <c r="F493" s="200" t="s">
        <v>92</v>
      </c>
      <c r="G493" s="235">
        <v>11661.7</v>
      </c>
      <c r="H493" s="235">
        <v>11711.79</v>
      </c>
      <c r="I493" s="247">
        <f>ABS(G493-H493)</f>
        <v>50.090000000000146</v>
      </c>
      <c r="J493" s="235">
        <v>10726.68</v>
      </c>
      <c r="K493" s="199">
        <v>44701.936111111114</v>
      </c>
      <c r="L493" s="235">
        <v>11659.12</v>
      </c>
      <c r="M493" s="248">
        <f>ROUND(IF(C493="L",(L493-G493),(G493-L493)),4)</f>
        <v>2.58</v>
      </c>
      <c r="N493" s="249">
        <f>IFERROR(ROUND((M493/I493),2),"")</f>
        <v>0.05</v>
      </c>
      <c r="O493" s="250">
        <f>IF(D493="O",IF(N493&lt;0,N493,0),0)</f>
        <v>0</v>
      </c>
      <c r="P493" s="251">
        <f>IF(N493&gt;= 0,N493,0)</f>
        <v>0.05</v>
      </c>
      <c r="Q493" s="251">
        <f>IF(N493&lt;0,N493,0)</f>
        <v>0</v>
      </c>
      <c r="R4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29664</v>
      </c>
      <c r="T4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3" s="253">
        <f ca="1">IF(Tabla33610673[[#This Row],[Equity]]&lt;Tabla33610673[[#This Row],[Equity Peak]],(Tabla33610673[[#This Row],[Equity Peak]]-Tabla33610673[[#This Row],[Equity]])/Tabla33610673[[#This Row],[Equity Peak]],"")</f>
        <v>5.5015768850944537E-2</v>
      </c>
      <c r="V493" s="254">
        <f>IF(B493="FX",N493,0)</f>
        <v>0</v>
      </c>
      <c r="W493" s="254">
        <f>IF(D493="O",IF(V493&lt;0,V493,0),0)</f>
        <v>0</v>
      </c>
      <c r="X493" s="254">
        <f>IF(B493="COM",N493,0)</f>
        <v>0</v>
      </c>
      <c r="Y493" s="254">
        <f>IF(D493="O",IF(X493&lt;0,X493,0),0)</f>
        <v>0</v>
      </c>
      <c r="Z493" s="254">
        <f>IF(B493="IND",N493,0)</f>
        <v>0.05</v>
      </c>
      <c r="AA493" s="250">
        <f>IF(D493="O",IF(Z493&lt;0,Z493,0),0)</f>
        <v>0</v>
      </c>
      <c r="AB493" s="254">
        <f>IF(B493="CRYPTO",N493,0)</f>
        <v>0</v>
      </c>
      <c r="AC493" s="250">
        <f>IF(D493="O",IF(AB493&lt;0,AB493,0),0)</f>
        <v>0</v>
      </c>
      <c r="AD493" s="255">
        <f>IF(K493&lt;&gt;"",K493-E493,0)</f>
        <v>0.13402777777810115</v>
      </c>
      <c r="AE493" s="255">
        <f>IF(N493&gt;0,AD493,0)</f>
        <v>0.13402777777810115</v>
      </c>
      <c r="AF493" s="255">
        <f>IF(N493&lt;0,AD493,0)</f>
        <v>0</v>
      </c>
      <c r="AG493" s="255">
        <f>IF(N493=0,AD493,0)</f>
        <v>0</v>
      </c>
    </row>
    <row r="494" spans="2:33" ht="15" customHeight="1" x14ac:dyDescent="0.3">
      <c r="B494" s="196" t="s">
        <v>5</v>
      </c>
      <c r="C494" s="197" t="s">
        <v>13</v>
      </c>
      <c r="D494" s="246" t="str">
        <f>IF(E494&lt;&gt;"",IF(K494&lt;&gt;"","C","O"),"")</f>
        <v>C</v>
      </c>
      <c r="E494" s="199">
        <v>44701.802083333336</v>
      </c>
      <c r="F494" s="200" t="s">
        <v>93</v>
      </c>
      <c r="G494" s="235">
        <v>11661.7</v>
      </c>
      <c r="H494" s="235">
        <v>11719.26</v>
      </c>
      <c r="I494" s="247">
        <f>ABS(G494-H494)</f>
        <v>57.559999999999491</v>
      </c>
      <c r="J494" s="235">
        <v>11047.7</v>
      </c>
      <c r="K494" s="199">
        <v>44701.870138888888</v>
      </c>
      <c r="L494" s="235">
        <v>11621.65</v>
      </c>
      <c r="M494" s="248">
        <f>ROUND(IF(C494="L",(L494-G494),(G494-L494)),4)</f>
        <v>40.049999999999997</v>
      </c>
      <c r="N494" s="249">
        <f>IFERROR(ROUND((M494/I494),2),"")</f>
        <v>0.7</v>
      </c>
      <c r="O494" s="250">
        <f>IF(D494="O",IF(N494&lt;0,N494,0),0)</f>
        <v>0</v>
      </c>
      <c r="P494" s="251">
        <f>IF(N494&gt;= 0,N494,0)</f>
        <v>0.7</v>
      </c>
      <c r="Q494" s="251">
        <f>IF(N494&lt;0,N494,0)</f>
        <v>0</v>
      </c>
      <c r="R4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29659</v>
      </c>
      <c r="T4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4" s="253">
        <f ca="1">IF(Tabla33610673[[#This Row],[Equity]]&lt;Tabla33610673[[#This Row],[Equity Peak]],(Tabla33610673[[#This Row],[Equity Peak]]-Tabla33610673[[#This Row],[Equity]])/Tabla33610673[[#This Row],[Equity Peak]],"")</f>
        <v>5.5175050173616645E-2</v>
      </c>
      <c r="V494" s="254">
        <f>IF(B494="FX",N494,0)</f>
        <v>0</v>
      </c>
      <c r="W494" s="254">
        <f>IF(D494="O",IF(V494&lt;0,V494,0),0)</f>
        <v>0</v>
      </c>
      <c r="X494" s="254">
        <f>IF(B494="COM",N494,0)</f>
        <v>0</v>
      </c>
      <c r="Y494" s="254">
        <f>IF(D494="O",IF(X494&lt;0,X494,0),0)</f>
        <v>0</v>
      </c>
      <c r="Z494" s="254">
        <f>IF(B494="IND",N494,0)</f>
        <v>0.7</v>
      </c>
      <c r="AA494" s="250">
        <f>IF(D494="O",IF(Z494&lt;0,Z494,0),0)</f>
        <v>0</v>
      </c>
      <c r="AB494" s="254">
        <f>IF(B494="CRYPTO",N494,0)</f>
        <v>0</v>
      </c>
      <c r="AC494" s="250">
        <f>IF(D494="O",IF(AB494&lt;0,AB494,0),0)</f>
        <v>0</v>
      </c>
      <c r="AD494" s="255">
        <f>IF(K494&lt;&gt;"",K494-E494,0)</f>
        <v>6.8055555551836733E-2</v>
      </c>
      <c r="AE494" s="255">
        <f>IF(N494&gt;0,AD494,0)</f>
        <v>6.8055555551836733E-2</v>
      </c>
      <c r="AF494" s="255">
        <f>IF(N494&lt;0,AD494,0)</f>
        <v>0</v>
      </c>
      <c r="AG494" s="255">
        <f>IF(N494=0,AD494,0)</f>
        <v>0</v>
      </c>
    </row>
    <row r="495" spans="2:33" ht="15" customHeight="1" x14ac:dyDescent="0.3">
      <c r="B495" s="196" t="s">
        <v>7</v>
      </c>
      <c r="C495" s="197" t="s">
        <v>15</v>
      </c>
      <c r="D495" s="246" t="str">
        <f>IF(E495&lt;&gt;"",IF(K495&lt;&gt;"","C","O"),"")</f>
        <v>C</v>
      </c>
      <c r="E495" s="199">
        <v>44701.510416666664</v>
      </c>
      <c r="F495" s="200" t="s">
        <v>115</v>
      </c>
      <c r="G495" s="235">
        <v>160.148</v>
      </c>
      <c r="H495" s="235">
        <v>159.27099999999999</v>
      </c>
      <c r="I495" s="247">
        <f>ABS(G495-H495)</f>
        <v>0.87700000000000955</v>
      </c>
      <c r="J495" s="235">
        <v>162.65299999999999</v>
      </c>
      <c r="K495" s="199">
        <v>44701.756944444445</v>
      </c>
      <c r="L495" s="235">
        <v>159.27099999999999</v>
      </c>
      <c r="M495" s="248">
        <f>ROUND(IF(C495="L",(L495-G495),(G495-L495)),4)</f>
        <v>-0.877</v>
      </c>
      <c r="N495" s="249">
        <f>IFERROR(ROUND((M495/I495),2),"")</f>
        <v>-1</v>
      </c>
      <c r="O495" s="250">
        <f>IF(D495="O",IF(N495&lt;0,N495,0),0)</f>
        <v>0</v>
      </c>
      <c r="P495" s="251">
        <f>IF(N495&gt;= 0,N495,0)</f>
        <v>0</v>
      </c>
      <c r="Q495" s="251">
        <f>IF(N495&lt;0,N495,0)</f>
        <v>-1</v>
      </c>
      <c r="R4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29589</v>
      </c>
      <c r="T4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5" s="253">
        <f ca="1">IF(Tabla33610673[[#This Row],[Equity]]&lt;Tabla33610673[[#This Row],[Equity Peak]],(Tabla33610673[[#This Row],[Equity Peak]]-Tabla33610673[[#This Row],[Equity]])/Tabla33610673[[#This Row],[Equity Peak]],"")</f>
        <v>5.7404988691026088E-2</v>
      </c>
      <c r="V495" s="254">
        <f>IF(B495="FX",N495,0)</f>
        <v>-1</v>
      </c>
      <c r="W495" s="254">
        <f>IF(D495="O",IF(V495&lt;0,V495,0),0)</f>
        <v>0</v>
      </c>
      <c r="X495" s="254">
        <f>IF(B495="COM",N495,0)</f>
        <v>0</v>
      </c>
      <c r="Y495" s="254">
        <f>IF(D495="O",IF(X495&lt;0,X495,0),0)</f>
        <v>0</v>
      </c>
      <c r="Z495" s="254">
        <f>IF(B495="IND",N495,0)</f>
        <v>0</v>
      </c>
      <c r="AA495" s="250">
        <f>IF(D495="O",IF(Z495&lt;0,Z495,0),0)</f>
        <v>0</v>
      </c>
      <c r="AB495" s="254">
        <f>IF(B495="CRYPTO",N495,0)</f>
        <v>0</v>
      </c>
      <c r="AC495" s="250">
        <f>IF(D495="O",IF(AB495&lt;0,AB495,0),0)</f>
        <v>0</v>
      </c>
      <c r="AD495" s="255">
        <f>IF(K495&lt;&gt;"",K495-E495,0)</f>
        <v>0.24652777778101154</v>
      </c>
      <c r="AE495" s="255">
        <f>IF(N495&gt;0,AD495,0)</f>
        <v>0</v>
      </c>
      <c r="AF495" s="255">
        <f>IF(N495&lt;0,AD495,0)</f>
        <v>0.24652777778101154</v>
      </c>
      <c r="AG495" s="255">
        <f>IF(N495=0,AD495,0)</f>
        <v>0</v>
      </c>
    </row>
    <row r="496" spans="2:33" ht="15" customHeight="1" x14ac:dyDescent="0.3">
      <c r="B496" s="196" t="s">
        <v>7</v>
      </c>
      <c r="C496" s="197" t="s">
        <v>15</v>
      </c>
      <c r="D496" s="246" t="str">
        <f>IF(E496&lt;&gt;"",IF(K496&lt;&gt;"","C","O"),"")</f>
        <v>C</v>
      </c>
      <c r="E496" s="199">
        <v>44700.729166666664</v>
      </c>
      <c r="F496" s="200" t="s">
        <v>114</v>
      </c>
      <c r="G496" s="235">
        <v>1.0570900000000001</v>
      </c>
      <c r="H496" s="235">
        <v>1.0542400000000001</v>
      </c>
      <c r="I496" s="247">
        <f>ABS(G496-H496)</f>
        <v>2.8500000000000192E-3</v>
      </c>
      <c r="J496" s="235">
        <v>1.0827599999999999</v>
      </c>
      <c r="K496" s="199">
        <v>44701.209722222222</v>
      </c>
      <c r="L496" s="235">
        <v>1.0567299999999999</v>
      </c>
      <c r="M496" s="248">
        <f>ROUND(IF(C496="L",(L496-G496),(G496-L496)),4)</f>
        <v>-4.0000000000000002E-4</v>
      </c>
      <c r="N496" s="249">
        <f>IFERROR(ROUND((M496/I496),2),"")</f>
        <v>-0.14000000000000001</v>
      </c>
      <c r="O496" s="250">
        <f>IF(D496="O",IF(N496&lt;0,N496,0),0)</f>
        <v>0</v>
      </c>
      <c r="P496" s="251">
        <f>IF(N496&gt;= 0,N496,0)</f>
        <v>0</v>
      </c>
      <c r="Q496" s="251">
        <f>IF(N496&lt;0,N496,0)</f>
        <v>-0.14000000000000001</v>
      </c>
      <c r="R4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29689</v>
      </c>
      <c r="T4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6" s="253">
        <f ca="1">IF(Tabla33610673[[#This Row],[Equity]]&lt;Tabla33610673[[#This Row],[Equity Peak]],(Tabla33610673[[#This Row],[Equity Peak]]-Tabla33610673[[#This Row],[Equity]])/Tabla33610673[[#This Row],[Equity Peak]],"")</f>
        <v>5.4219362237584022E-2</v>
      </c>
      <c r="V496" s="254">
        <f>IF(B496="FX",N496,0)</f>
        <v>-0.14000000000000001</v>
      </c>
      <c r="W496" s="254">
        <f>IF(D496="O",IF(V496&lt;0,V496,0),0)</f>
        <v>0</v>
      </c>
      <c r="X496" s="254">
        <f>IF(B496="COM",N496,0)</f>
        <v>0</v>
      </c>
      <c r="Y496" s="254">
        <f>IF(D496="O",IF(X496&lt;0,X496,0),0)</f>
        <v>0</v>
      </c>
      <c r="Z496" s="254">
        <f>IF(B496="IND",N496,0)</f>
        <v>0</v>
      </c>
      <c r="AA496" s="250">
        <f>IF(D496="O",IF(Z496&lt;0,Z496,0),0)</f>
        <v>0</v>
      </c>
      <c r="AB496" s="254">
        <f>IF(B496="CRYPTO",N496,0)</f>
        <v>0</v>
      </c>
      <c r="AC496" s="250">
        <f>IF(D496="O",IF(AB496&lt;0,AB496,0),0)</f>
        <v>0</v>
      </c>
      <c r="AD496" s="255">
        <f>IF(K496&lt;&gt;"",K496-E496,0)</f>
        <v>0.4805555555576575</v>
      </c>
      <c r="AE496" s="255">
        <f>IF(N496&gt;0,AD496,0)</f>
        <v>0</v>
      </c>
      <c r="AF496" s="255">
        <f>IF(N496&lt;0,AD496,0)</f>
        <v>0.4805555555576575</v>
      </c>
      <c r="AG496" s="255">
        <f>IF(N496=0,AD496,0)</f>
        <v>0</v>
      </c>
    </row>
    <row r="497" spans="2:33" ht="15" customHeight="1" x14ac:dyDescent="0.3">
      <c r="B497" s="196" t="s">
        <v>7</v>
      </c>
      <c r="C497" s="197" t="s">
        <v>13</v>
      </c>
      <c r="D497" s="246" t="str">
        <f>IF(E497&lt;&gt;"",IF(K497&lt;&gt;"","C","O"),"")</f>
        <v>C</v>
      </c>
      <c r="E497" s="199">
        <v>44700.65625</v>
      </c>
      <c r="F497" s="200" t="s">
        <v>116</v>
      </c>
      <c r="G497" s="235">
        <v>127.28</v>
      </c>
      <c r="H497" s="235">
        <v>127.575</v>
      </c>
      <c r="I497" s="247">
        <f>ABS(G497-H497)</f>
        <v>0.29500000000000171</v>
      </c>
      <c r="J497" s="235">
        <v>124.211</v>
      </c>
      <c r="K497" s="199">
        <v>44700.693055555559</v>
      </c>
      <c r="L497" s="235">
        <v>127.426</v>
      </c>
      <c r="M497" s="248">
        <f>ROUND(IF(C497="L",(L497-G497),(G497-L497)),4)</f>
        <v>-0.14599999999999999</v>
      </c>
      <c r="N497" s="249">
        <f>IFERROR(ROUND((M497/I497),2),"")</f>
        <v>-0.49</v>
      </c>
      <c r="O497" s="250">
        <f>IF(D497="O",IF(N497&lt;0,N497,0),0)</f>
        <v>0</v>
      </c>
      <c r="P497" s="251">
        <f>IF(N497&gt;= 0,N497,0)</f>
        <v>0</v>
      </c>
      <c r="Q497" s="251">
        <f>IF(N497&lt;0,N497,0)</f>
        <v>-0.49</v>
      </c>
      <c r="R4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29703</v>
      </c>
      <c r="T4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7" s="253">
        <f ca="1">IF(Tabla33610673[[#This Row],[Equity]]&lt;Tabla33610673[[#This Row],[Equity Peak]],(Tabla33610673[[#This Row],[Equity Peak]]-Tabla33610673[[#This Row],[Equity]])/Tabla33610673[[#This Row],[Equity Peak]],"")</f>
        <v>5.3773374534102129E-2</v>
      </c>
      <c r="V497" s="254">
        <f>IF(B497="FX",N497,0)</f>
        <v>-0.49</v>
      </c>
      <c r="W497" s="254">
        <f>IF(D497="O",IF(V497&lt;0,V497,0),0)</f>
        <v>0</v>
      </c>
      <c r="X497" s="254">
        <f>IF(B497="COM",N497,0)</f>
        <v>0</v>
      </c>
      <c r="Y497" s="254">
        <f>IF(D497="O",IF(X497&lt;0,X497,0),0)</f>
        <v>0</v>
      </c>
      <c r="Z497" s="254">
        <f>IF(B497="IND",N497,0)</f>
        <v>0</v>
      </c>
      <c r="AA497" s="250">
        <f>IF(D497="O",IF(Z497&lt;0,Z497,0),0)</f>
        <v>0</v>
      </c>
      <c r="AB497" s="254">
        <f>IF(B497="CRYPTO",N497,0)</f>
        <v>0</v>
      </c>
      <c r="AC497" s="250">
        <f>IF(D497="O",IF(AB497&lt;0,AB497,0),0)</f>
        <v>0</v>
      </c>
      <c r="AD497" s="255">
        <f>IF(K497&lt;&gt;"",K497-E497,0)</f>
        <v>3.680555555911269E-2</v>
      </c>
      <c r="AE497" s="255">
        <f>IF(N497&gt;0,AD497,0)</f>
        <v>0</v>
      </c>
      <c r="AF497" s="255">
        <f>IF(N497&lt;0,AD497,0)</f>
        <v>3.680555555911269E-2</v>
      </c>
      <c r="AG497" s="255">
        <f>IF(N497=0,AD497,0)</f>
        <v>0</v>
      </c>
    </row>
    <row r="498" spans="2:33" ht="15" customHeight="1" x14ac:dyDescent="0.3">
      <c r="B498" s="196" t="s">
        <v>5</v>
      </c>
      <c r="C498" s="197" t="s">
        <v>13</v>
      </c>
      <c r="D498" s="246" t="str">
        <f>IF(E498&lt;&gt;"",IF(K498&lt;&gt;"","C","O"),"")</f>
        <v>C</v>
      </c>
      <c r="E498" s="199">
        <v>44699.770833333336</v>
      </c>
      <c r="F498" s="200" t="s">
        <v>92</v>
      </c>
      <c r="G498" s="235">
        <v>12139.4</v>
      </c>
      <c r="H498" s="235">
        <v>12180.8</v>
      </c>
      <c r="I498" s="247">
        <f>ABS(G498-H498)</f>
        <v>41.399999999999636</v>
      </c>
      <c r="J498" s="235">
        <v>11366.66</v>
      </c>
      <c r="K498" s="199">
        <v>44700.688194444447</v>
      </c>
      <c r="L498" s="235">
        <v>11905.33</v>
      </c>
      <c r="M498" s="248">
        <f>ROUND(IF(C498="L",(L498-G498),(G498-L498)),4)</f>
        <v>234.07</v>
      </c>
      <c r="N498" s="249">
        <f>IFERROR(ROUND((M498/I498),2),"")</f>
        <v>5.65</v>
      </c>
      <c r="O498" s="250">
        <f>IF(D498="O",IF(N498&lt;0,N498,0),0)</f>
        <v>0</v>
      </c>
      <c r="P498" s="251">
        <f>IF(N498&gt;= 0,N498,0)</f>
        <v>5.65</v>
      </c>
      <c r="Q498" s="251">
        <f>IF(N498&lt;0,N498,0)</f>
        <v>0</v>
      </c>
      <c r="R4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29752</v>
      </c>
      <c r="T4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8" s="253">
        <f ca="1">IF(Tabla33610673[[#This Row],[Equity]]&lt;Tabla33610673[[#This Row],[Equity Peak]],(Tabla33610673[[#This Row],[Equity Peak]]-Tabla33610673[[#This Row],[Equity]])/Tabla33610673[[#This Row],[Equity Peak]],"")</f>
        <v>5.2212417571915519E-2</v>
      </c>
      <c r="V498" s="254">
        <f>IF(B498="FX",N498,0)</f>
        <v>0</v>
      </c>
      <c r="W498" s="254">
        <f>IF(D498="O",IF(V498&lt;0,V498,0),0)</f>
        <v>0</v>
      </c>
      <c r="X498" s="254">
        <f>IF(B498="COM",N498,0)</f>
        <v>0</v>
      </c>
      <c r="Y498" s="254">
        <f>IF(D498="O",IF(X498&lt;0,X498,0),0)</f>
        <v>0</v>
      </c>
      <c r="Z498" s="254">
        <f>IF(B498="IND",N498,0)</f>
        <v>5.65</v>
      </c>
      <c r="AA498" s="250">
        <f>IF(D498="O",IF(Z498&lt;0,Z498,0),0)</f>
        <v>0</v>
      </c>
      <c r="AB498" s="254">
        <f>IF(B498="CRYPTO",N498,0)</f>
        <v>0</v>
      </c>
      <c r="AC498" s="250">
        <f>IF(D498="O",IF(AB498&lt;0,AB498,0),0)</f>
        <v>0</v>
      </c>
      <c r="AD498" s="255">
        <f>IF(K498&lt;&gt;"",K498-E498,0)</f>
        <v>0.91736111111094942</v>
      </c>
      <c r="AE498" s="255">
        <f>IF(N498&gt;0,AD498,0)</f>
        <v>0.91736111111094942</v>
      </c>
      <c r="AF498" s="255">
        <f>IF(N498&lt;0,AD498,0)</f>
        <v>0</v>
      </c>
      <c r="AG498" s="255">
        <f>IF(N498=0,AD498,0)</f>
        <v>0</v>
      </c>
    </row>
    <row r="499" spans="2:33" ht="15" customHeight="1" x14ac:dyDescent="0.3">
      <c r="B499" s="196" t="s">
        <v>5</v>
      </c>
      <c r="C499" s="197" t="s">
        <v>13</v>
      </c>
      <c r="D499" s="246" t="str">
        <f>IF(E499&lt;&gt;"",IF(K499&lt;&gt;"","C","O"),"")</f>
        <v>C</v>
      </c>
      <c r="E499" s="199">
        <v>44699.770833333336</v>
      </c>
      <c r="F499" s="200" t="s">
        <v>93</v>
      </c>
      <c r="G499" s="235">
        <v>12139.4</v>
      </c>
      <c r="H499" s="235">
        <v>12184.71</v>
      </c>
      <c r="I499" s="247">
        <f>ABS(G499-H499)</f>
        <v>45.309999999999491</v>
      </c>
      <c r="J499" s="235">
        <v>11656.12</v>
      </c>
      <c r="K499" s="199">
        <v>44700.267361111109</v>
      </c>
      <c r="L499" s="235">
        <v>11937</v>
      </c>
      <c r="M499" s="248">
        <f>ROUND(IF(C499="L",(L499-G499),(G499-L499)),4)</f>
        <v>202.4</v>
      </c>
      <c r="N499" s="249">
        <f>IFERROR(ROUND((M499/I499),2),"")</f>
        <v>4.47</v>
      </c>
      <c r="O499" s="250">
        <f>IF(D499="O",IF(N499&lt;0,N499,0),0)</f>
        <v>0</v>
      </c>
      <c r="P499" s="251">
        <f>IF(N499&gt;= 0,N499,0)</f>
        <v>4.47</v>
      </c>
      <c r="Q499" s="251">
        <f>IF(N499&lt;0,N499,0)</f>
        <v>0</v>
      </c>
      <c r="R4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29187</v>
      </c>
      <c r="T4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499" s="253">
        <f ca="1">IF(Tabla33610673[[#This Row],[Equity]]&lt;Tabla33610673[[#This Row],[Equity Peak]],(Tabla33610673[[#This Row],[Equity Peak]]-Tabla33610673[[#This Row],[Equity]])/Tabla33610673[[#This Row],[Equity Peak]],"")</f>
        <v>7.0211207033863215E-2</v>
      </c>
      <c r="V499" s="254">
        <f>IF(B499="FX",N499,0)</f>
        <v>0</v>
      </c>
      <c r="W499" s="254">
        <f>IF(D499="O",IF(V499&lt;0,V499,0),0)</f>
        <v>0</v>
      </c>
      <c r="X499" s="254">
        <f>IF(B499="COM",N499,0)</f>
        <v>0</v>
      </c>
      <c r="Y499" s="254">
        <f>IF(D499="O",IF(X499&lt;0,X499,0),0)</f>
        <v>0</v>
      </c>
      <c r="Z499" s="254">
        <f>IF(B499="IND",N499,0)</f>
        <v>4.47</v>
      </c>
      <c r="AA499" s="250">
        <f>IF(D499="O",IF(Z499&lt;0,Z499,0),0)</f>
        <v>0</v>
      </c>
      <c r="AB499" s="254">
        <f>IF(B499="CRYPTO",N499,0)</f>
        <v>0</v>
      </c>
      <c r="AC499" s="250">
        <f>IF(D499="O",IF(AB499&lt;0,AB499,0),0)</f>
        <v>0</v>
      </c>
      <c r="AD499" s="255">
        <f>IF(K499&lt;&gt;"",K499-E499,0)</f>
        <v>0.49652777777373558</v>
      </c>
      <c r="AE499" s="255">
        <f>IF(N499&gt;0,AD499,0)</f>
        <v>0.49652777777373558</v>
      </c>
      <c r="AF499" s="255">
        <f>IF(N499&lt;0,AD499,0)</f>
        <v>0</v>
      </c>
      <c r="AG499" s="255">
        <f>IF(N499=0,AD499,0)</f>
        <v>0</v>
      </c>
    </row>
    <row r="500" spans="2:33" ht="15" customHeight="1" x14ac:dyDescent="0.3">
      <c r="B500" s="196" t="s">
        <v>7</v>
      </c>
      <c r="C500" s="197" t="s">
        <v>13</v>
      </c>
      <c r="D500" s="246" t="str">
        <f>IF(E500&lt;&gt;"",IF(K500&lt;&gt;"","C","O"),"")</f>
        <v>C</v>
      </c>
      <c r="E500" s="199">
        <v>44699.708333333336</v>
      </c>
      <c r="F500" s="200" t="s">
        <v>115</v>
      </c>
      <c r="G500" s="235">
        <v>159.36500000000001</v>
      </c>
      <c r="H500" s="235">
        <v>160.06899999999999</v>
      </c>
      <c r="I500" s="247">
        <f>ABS(G500-H500)</f>
        <v>0.70399999999997931</v>
      </c>
      <c r="J500" s="235">
        <v>157.352</v>
      </c>
      <c r="K500" s="199">
        <v>44700.238194444442</v>
      </c>
      <c r="L500" s="235">
        <v>159.059</v>
      </c>
      <c r="M500" s="248">
        <f>ROUND(IF(C500="L",(L500-G500),(G500-L500)),4)</f>
        <v>0.30599999999999999</v>
      </c>
      <c r="N500" s="249">
        <f>IFERROR(ROUND((M500/I500),2),"")</f>
        <v>0.43</v>
      </c>
      <c r="O500" s="250">
        <f>IF(D500="O",IF(N500&lt;0,N500,0),0)</f>
        <v>0</v>
      </c>
      <c r="P500" s="251">
        <f>IF(N500&gt;= 0,N500,0)</f>
        <v>0.43</v>
      </c>
      <c r="Q500" s="251">
        <f>IF(N500&lt;0,N500,0)</f>
        <v>0</v>
      </c>
      <c r="R5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28740</v>
      </c>
      <c r="T5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0" s="253">
        <f ca="1">IF(Tabla33610673[[#This Row],[Equity]]&lt;Tabla33610673[[#This Row],[Equity Peak]],(Tabla33610673[[#This Row],[Equity Peak]]-Tabla33610673[[#This Row],[Equity]])/Tabla33610673[[#This Row],[Equity Peak]],"")</f>
        <v>8.4450957280749264E-2</v>
      </c>
      <c r="V500" s="254">
        <f>IF(B500="FX",N500,0)</f>
        <v>0.43</v>
      </c>
      <c r="W500" s="254">
        <f>IF(D500="O",IF(V500&lt;0,V500,0),0)</f>
        <v>0</v>
      </c>
      <c r="X500" s="254">
        <f>IF(B500="COM",N500,0)</f>
        <v>0</v>
      </c>
      <c r="Y500" s="254">
        <f>IF(D500="O",IF(X500&lt;0,X500,0),0)</f>
        <v>0</v>
      </c>
      <c r="Z500" s="254">
        <f>IF(B500="IND",N500,0)</f>
        <v>0</v>
      </c>
      <c r="AA500" s="250">
        <f>IF(D500="O",IF(Z500&lt;0,Z500,0),0)</f>
        <v>0</v>
      </c>
      <c r="AB500" s="254">
        <f>IF(B500="CRYPTO",N500,0)</f>
        <v>0</v>
      </c>
      <c r="AC500" s="250">
        <f>IF(D500="O",IF(AB500&lt;0,AB500,0),0)</f>
        <v>0</v>
      </c>
      <c r="AD500" s="255">
        <f>IF(K500&lt;&gt;"",K500-E500,0)</f>
        <v>0.52986111110658385</v>
      </c>
      <c r="AE500" s="255">
        <f>IF(N500&gt;0,AD500,0)</f>
        <v>0.52986111110658385</v>
      </c>
      <c r="AF500" s="255">
        <f>IF(N500&lt;0,AD500,0)</f>
        <v>0</v>
      </c>
      <c r="AG500" s="255">
        <f>IF(N500=0,AD500,0)</f>
        <v>0</v>
      </c>
    </row>
    <row r="501" spans="2:33" ht="15" customHeight="1" x14ac:dyDescent="0.3">
      <c r="B501" s="196" t="s">
        <v>5</v>
      </c>
      <c r="C501" s="197" t="s">
        <v>15</v>
      </c>
      <c r="D501" s="246" t="str">
        <f>IF(E501&lt;&gt;"",IF(K501&lt;&gt;"","C","O"),"")</f>
        <v>C</v>
      </c>
      <c r="E501" s="199">
        <v>44698.927083333336</v>
      </c>
      <c r="F501" s="200" t="s">
        <v>91</v>
      </c>
      <c r="G501" s="235">
        <v>14215.41</v>
      </c>
      <c r="H501" s="235">
        <v>14168.83</v>
      </c>
      <c r="I501" s="247">
        <f>ABS(G501-H501)</f>
        <v>46.579999999999927</v>
      </c>
      <c r="J501" s="235">
        <v>15084.85</v>
      </c>
      <c r="K501" s="199">
        <v>44699.275694444441</v>
      </c>
      <c r="L501" s="235">
        <v>14168.83</v>
      </c>
      <c r="M501" s="248">
        <f>ROUND(IF(C501="L",(L501-G501),(G501-L501)),4)</f>
        <v>-46.58</v>
      </c>
      <c r="N501" s="249">
        <f>IFERROR(ROUND((M501/I501),2),"")</f>
        <v>-1</v>
      </c>
      <c r="O501" s="250">
        <f>IF(D501="O",IF(N501&lt;0,N501,0),0)</f>
        <v>0</v>
      </c>
      <c r="P501" s="251">
        <f>IF(N501&gt;= 0,N501,0)</f>
        <v>0</v>
      </c>
      <c r="Q501" s="251">
        <f>IF(N501&lt;0,N501,0)</f>
        <v>-1</v>
      </c>
      <c r="R5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28697</v>
      </c>
      <c r="T5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1" s="253">
        <f ca="1">IF(Tabla33610673[[#This Row],[Equity]]&lt;Tabla33610673[[#This Row],[Equity Peak]],(Tabla33610673[[#This Row],[Equity Peak]]-Tabla33610673[[#This Row],[Equity]])/Tabla33610673[[#This Row],[Equity Peak]],"")</f>
        <v>8.5820776655729347E-2</v>
      </c>
      <c r="V501" s="254">
        <f>IF(B501="FX",N501,0)</f>
        <v>0</v>
      </c>
      <c r="W501" s="254">
        <f>IF(D501="O",IF(V501&lt;0,V501,0),0)</f>
        <v>0</v>
      </c>
      <c r="X501" s="254">
        <f>IF(B501="COM",N501,0)</f>
        <v>0</v>
      </c>
      <c r="Y501" s="254">
        <f>IF(D501="O",IF(X501&lt;0,X501,0),0)</f>
        <v>0</v>
      </c>
      <c r="Z501" s="254">
        <f>IF(B501="IND",N501,0)</f>
        <v>-1</v>
      </c>
      <c r="AA501" s="250">
        <f>IF(D501="O",IF(Z501&lt;0,Z501,0),0)</f>
        <v>0</v>
      </c>
      <c r="AB501" s="254">
        <f>IF(B501="CRYPTO",N501,0)</f>
        <v>0</v>
      </c>
      <c r="AC501" s="250">
        <f>IF(D501="O",IF(AB501&lt;0,AB501,0),0)</f>
        <v>0</v>
      </c>
      <c r="AD501" s="255">
        <f>IF(K501&lt;&gt;"",K501-E501,0)</f>
        <v>0.34861111110512866</v>
      </c>
      <c r="AE501" s="255">
        <f>IF(N501&gt;0,AD501,0)</f>
        <v>0</v>
      </c>
      <c r="AF501" s="255">
        <f>IF(N501&lt;0,AD501,0)</f>
        <v>0.34861111110512866</v>
      </c>
      <c r="AG501" s="255">
        <f>IF(N501=0,AD501,0)</f>
        <v>0</v>
      </c>
    </row>
    <row r="502" spans="2:33" ht="15" customHeight="1" x14ac:dyDescent="0.3">
      <c r="B502" s="196" t="s">
        <v>5</v>
      </c>
      <c r="C502" s="197" t="s">
        <v>15</v>
      </c>
      <c r="D502" s="246" t="str">
        <f>IF(E502&lt;&gt;"",IF(K502&lt;&gt;"","C","O"),"")</f>
        <v>C</v>
      </c>
      <c r="E502" s="199">
        <v>44699.052083333336</v>
      </c>
      <c r="F502" s="200" t="s">
        <v>93</v>
      </c>
      <c r="G502" s="235">
        <v>12576.1</v>
      </c>
      <c r="H502" s="235">
        <v>12528.16</v>
      </c>
      <c r="I502" s="247">
        <f>ABS(G502-H502)</f>
        <v>47.940000000000509</v>
      </c>
      <c r="J502" s="235">
        <v>13087.47</v>
      </c>
      <c r="K502" s="199">
        <v>44699.172222222223</v>
      </c>
      <c r="L502" s="235">
        <v>12528.16</v>
      </c>
      <c r="M502" s="248">
        <f>ROUND(IF(C502="L",(L502-G502),(G502-L502)),4)</f>
        <v>-47.94</v>
      </c>
      <c r="N502" s="249">
        <f>IFERROR(ROUND((M502/I502),2),"")</f>
        <v>-1</v>
      </c>
      <c r="O502" s="250">
        <f>IF(D502="O",IF(N502&lt;0,N502,0),0)</f>
        <v>0</v>
      </c>
      <c r="P502" s="251">
        <f>IF(N502&gt;= 0,N502,0)</f>
        <v>0</v>
      </c>
      <c r="Q502" s="251">
        <f>IF(N502&lt;0,N502,0)</f>
        <v>-1</v>
      </c>
      <c r="R5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28797</v>
      </c>
      <c r="T5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2" s="253">
        <f ca="1">IF(Tabla33610673[[#This Row],[Equity]]&lt;Tabla33610673[[#This Row],[Equity Peak]],(Tabla33610673[[#This Row],[Equity Peak]]-Tabla33610673[[#This Row],[Equity]])/Tabla33610673[[#This Row],[Equity Peak]],"")</f>
        <v>8.2635150202287275E-2</v>
      </c>
      <c r="V502" s="254">
        <f>IF(B502="FX",N502,0)</f>
        <v>0</v>
      </c>
      <c r="W502" s="254">
        <f>IF(D502="O",IF(V502&lt;0,V502,0),0)</f>
        <v>0</v>
      </c>
      <c r="X502" s="254">
        <f>IF(B502="COM",N502,0)</f>
        <v>0</v>
      </c>
      <c r="Y502" s="254">
        <f>IF(D502="O",IF(X502&lt;0,X502,0),0)</f>
        <v>0</v>
      </c>
      <c r="Z502" s="254">
        <f>IF(B502="IND",N502,0)</f>
        <v>-1</v>
      </c>
      <c r="AA502" s="250">
        <f>IF(D502="O",IF(Z502&lt;0,Z502,0),0)</f>
        <v>0</v>
      </c>
      <c r="AB502" s="254">
        <f>IF(B502="CRYPTO",N502,0)</f>
        <v>0</v>
      </c>
      <c r="AC502" s="250">
        <f>IF(D502="O",IF(AB502&lt;0,AB502,0),0)</f>
        <v>0</v>
      </c>
      <c r="AD502" s="255">
        <f>IF(K502&lt;&gt;"",K502-E502,0)</f>
        <v>0.12013888888759539</v>
      </c>
      <c r="AE502" s="255">
        <f>IF(N502&gt;0,AD502,0)</f>
        <v>0</v>
      </c>
      <c r="AF502" s="255">
        <f>IF(N502&lt;0,AD502,0)</f>
        <v>0.12013888888759539</v>
      </c>
      <c r="AG502" s="255">
        <f>IF(N502=0,AD502,0)</f>
        <v>0</v>
      </c>
    </row>
    <row r="503" spans="2:33" ht="15" customHeight="1" x14ac:dyDescent="0.3">
      <c r="B503" s="196" t="s">
        <v>5</v>
      </c>
      <c r="C503" s="197" t="s">
        <v>15</v>
      </c>
      <c r="D503" s="246" t="str">
        <f>IF(E503&lt;&gt;"",IF(K503&lt;&gt;"","C","O"),"")</f>
        <v>C</v>
      </c>
      <c r="E503" s="199">
        <v>44698.447916666664</v>
      </c>
      <c r="F503" s="200" t="s">
        <v>91</v>
      </c>
      <c r="G503" s="235">
        <v>14126.56</v>
      </c>
      <c r="H503" s="235">
        <v>14077.48</v>
      </c>
      <c r="I503" s="247">
        <f>ABS(G503-H503)</f>
        <v>49.079999999999927</v>
      </c>
      <c r="J503" s="235">
        <v>15042.81</v>
      </c>
      <c r="K503" s="199">
        <v>44698.738194444442</v>
      </c>
      <c r="L503" s="235">
        <v>14104.33</v>
      </c>
      <c r="M503" s="248">
        <f>ROUND(IF(C503="L",(L503-G503),(G503-L503)),4)</f>
        <v>-22.23</v>
      </c>
      <c r="N503" s="249">
        <f>IFERROR(ROUND((M503/I503),2),"")</f>
        <v>-0.45</v>
      </c>
      <c r="O503" s="250">
        <f>IF(D503="O",IF(N503&lt;0,N503,0),0)</f>
        <v>0</v>
      </c>
      <c r="P503" s="251">
        <f>IF(N503&gt;= 0,N503,0)</f>
        <v>0</v>
      </c>
      <c r="Q503" s="251">
        <f>IF(N503&lt;0,N503,0)</f>
        <v>-0.45</v>
      </c>
      <c r="R5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28897</v>
      </c>
      <c r="T5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3" s="253">
        <f ca="1">IF(Tabla33610673[[#This Row],[Equity]]&lt;Tabla33610673[[#This Row],[Equity Peak]],(Tabla33610673[[#This Row],[Equity Peak]]-Tabla33610673[[#This Row],[Equity]])/Tabla33610673[[#This Row],[Equity Peak]],"")</f>
        <v>7.9449523748845216E-2</v>
      </c>
      <c r="V503" s="254">
        <f>IF(B503="FX",N503,0)</f>
        <v>0</v>
      </c>
      <c r="W503" s="254">
        <f>IF(D503="O",IF(V503&lt;0,V503,0),0)</f>
        <v>0</v>
      </c>
      <c r="X503" s="254">
        <f>IF(B503="COM",N503,0)</f>
        <v>0</v>
      </c>
      <c r="Y503" s="254">
        <f>IF(D503="O",IF(X503&lt;0,X503,0),0)</f>
        <v>0</v>
      </c>
      <c r="Z503" s="254">
        <f>IF(B503="IND",N503,0)</f>
        <v>-0.45</v>
      </c>
      <c r="AA503" s="250">
        <f>IF(D503="O",IF(Z503&lt;0,Z503,0),0)</f>
        <v>0</v>
      </c>
      <c r="AB503" s="254">
        <f>IF(B503="CRYPTO",N503,0)</f>
        <v>0</v>
      </c>
      <c r="AC503" s="250">
        <f>IF(D503="O",IF(AB503&lt;0,AB503,0),0)</f>
        <v>0</v>
      </c>
      <c r="AD503" s="255">
        <f>IF(K503&lt;&gt;"",K503-E503,0)</f>
        <v>0.29027777777810115</v>
      </c>
      <c r="AE503" s="255">
        <f>IF(N503&gt;0,AD503,0)</f>
        <v>0</v>
      </c>
      <c r="AF503" s="255">
        <f>IF(N503&lt;0,AD503,0)</f>
        <v>0.29027777777810115</v>
      </c>
      <c r="AG503" s="255">
        <f>IF(N503=0,AD503,0)</f>
        <v>0</v>
      </c>
    </row>
    <row r="504" spans="2:33" ht="15" customHeight="1" x14ac:dyDescent="0.3">
      <c r="B504" s="196" t="s">
        <v>7</v>
      </c>
      <c r="C504" s="197" t="s">
        <v>15</v>
      </c>
      <c r="D504" s="246" t="str">
        <f>IF(E504&lt;&gt;"",IF(K504&lt;&gt;"","C","O"),"")</f>
        <v>C</v>
      </c>
      <c r="E504" s="199">
        <v>44698.15625</v>
      </c>
      <c r="F504" s="200" t="s">
        <v>115</v>
      </c>
      <c r="G504" s="235">
        <v>159.32</v>
      </c>
      <c r="H504" s="235">
        <v>158.64099999999999</v>
      </c>
      <c r="I504" s="247">
        <f>ABS(G504-H504)</f>
        <v>0.67900000000000205</v>
      </c>
      <c r="J504" s="235">
        <v>161.26</v>
      </c>
      <c r="K504" s="199">
        <v>44698.467361111114</v>
      </c>
      <c r="L504" s="235">
        <v>161.26</v>
      </c>
      <c r="M504" s="248">
        <f>ROUND(IF(C504="L",(L504-G504),(G504-L504)),4)</f>
        <v>1.94</v>
      </c>
      <c r="N504" s="249">
        <f>IFERROR(ROUND((M504/I504),2),"")</f>
        <v>2.86</v>
      </c>
      <c r="O504" s="250">
        <f>IF(D504="O",IF(N504&lt;0,N504,0),0)</f>
        <v>0</v>
      </c>
      <c r="P504" s="251">
        <f>IF(N504&gt;= 0,N504,0)</f>
        <v>2.86</v>
      </c>
      <c r="Q504" s="251">
        <f>IF(N504&lt;0,N504,0)</f>
        <v>0</v>
      </c>
      <c r="R5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28942</v>
      </c>
      <c r="T5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4" s="253">
        <f ca="1">IF(Tabla33610673[[#This Row],[Equity]]&lt;Tabla33610673[[#This Row],[Equity Peak]],(Tabla33610673[[#This Row],[Equity Peak]]-Tabla33610673[[#This Row],[Equity]])/Tabla33610673[[#This Row],[Equity Peak]],"")</f>
        <v>7.8015991844796281E-2</v>
      </c>
      <c r="V504" s="254">
        <f>IF(B504="FX",N504,0)</f>
        <v>2.86</v>
      </c>
      <c r="W504" s="254">
        <f>IF(D504="O",IF(V504&lt;0,V504,0),0)</f>
        <v>0</v>
      </c>
      <c r="X504" s="254">
        <f>IF(B504="COM",N504,0)</f>
        <v>0</v>
      </c>
      <c r="Y504" s="254">
        <f>IF(D504="O",IF(X504&lt;0,X504,0),0)</f>
        <v>0</v>
      </c>
      <c r="Z504" s="254">
        <f>IF(B504="IND",N504,0)</f>
        <v>0</v>
      </c>
      <c r="AA504" s="250">
        <f>IF(D504="O",IF(Z504&lt;0,Z504,0),0)</f>
        <v>0</v>
      </c>
      <c r="AB504" s="254">
        <f>IF(B504="CRYPTO",N504,0)</f>
        <v>0</v>
      </c>
      <c r="AC504" s="250">
        <f>IF(D504="O",IF(AB504&lt;0,AB504,0),0)</f>
        <v>0</v>
      </c>
      <c r="AD504" s="255">
        <f>IF(K504&lt;&gt;"",K504-E504,0)</f>
        <v>0.31111111111385981</v>
      </c>
      <c r="AE504" s="255">
        <f>IF(N504&gt;0,AD504,0)</f>
        <v>0.31111111111385981</v>
      </c>
      <c r="AF504" s="255">
        <f>IF(N504&lt;0,AD504,0)</f>
        <v>0</v>
      </c>
      <c r="AG504" s="255">
        <f>IF(N504=0,AD504,0)</f>
        <v>0</v>
      </c>
    </row>
    <row r="505" spans="2:33" ht="15" customHeight="1" x14ac:dyDescent="0.3">
      <c r="B505" s="196" t="s">
        <v>19</v>
      </c>
      <c r="C505" s="197" t="s">
        <v>13</v>
      </c>
      <c r="D505" s="246" t="str">
        <f>IF(E505&lt;&gt;"",IF(K505&lt;&gt;"","C","O"),"")</f>
        <v>C</v>
      </c>
      <c r="E505" s="199">
        <v>44693.833333333336</v>
      </c>
      <c r="F505" s="200" t="s">
        <v>88</v>
      </c>
      <c r="G505" s="235">
        <v>1825.55</v>
      </c>
      <c r="H505" s="235">
        <v>1830.43</v>
      </c>
      <c r="I505" s="247">
        <f>ABS(G505-H505)</f>
        <v>4.8800000000001091</v>
      </c>
      <c r="J505" s="235">
        <v>1767.04</v>
      </c>
      <c r="K505" s="199">
        <v>44697.71597222222</v>
      </c>
      <c r="L505" s="235">
        <v>1811.12</v>
      </c>
      <c r="M505" s="248">
        <f>ROUND(IF(C505="L",(L505-G505),(G505-L505)),4)</f>
        <v>14.43</v>
      </c>
      <c r="N505" s="249">
        <f>IFERROR(ROUND((M505/I505),2),"")</f>
        <v>2.96</v>
      </c>
      <c r="O505" s="250">
        <f>IF(D505="O",IF(N505&lt;0,N505,0),0)</f>
        <v>0</v>
      </c>
      <c r="P505" s="251">
        <f>IF(N505&gt;= 0,N505,0)</f>
        <v>2.96</v>
      </c>
      <c r="Q505" s="251">
        <f>IF(N505&lt;0,N505,0)</f>
        <v>0</v>
      </c>
      <c r="R5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28656</v>
      </c>
      <c r="T5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5" s="253">
        <f ca="1">IF(Tabla33610673[[#This Row],[Equity]]&lt;Tabla33610673[[#This Row],[Equity Peak]],(Tabla33610673[[#This Row],[Equity Peak]]-Tabla33610673[[#This Row],[Equity]])/Tabla33610673[[#This Row],[Equity Peak]],"")</f>
        <v>8.7126883501640592E-2</v>
      </c>
      <c r="V505" s="254">
        <f>IF(B505="FX",N505,0)</f>
        <v>0</v>
      </c>
      <c r="W505" s="254">
        <f>IF(D505="O",IF(V505&lt;0,V505,0),0)</f>
        <v>0</v>
      </c>
      <c r="X505" s="254">
        <f>IF(B505="COM",N505,0)</f>
        <v>2.96</v>
      </c>
      <c r="Y505" s="254">
        <f>IF(D505="O",IF(X505&lt;0,X505,0),0)</f>
        <v>0</v>
      </c>
      <c r="Z505" s="254">
        <f>IF(B505="IND",N505,0)</f>
        <v>0</v>
      </c>
      <c r="AA505" s="250">
        <f>IF(D505="O",IF(Z505&lt;0,Z505,0),0)</f>
        <v>0</v>
      </c>
      <c r="AB505" s="254">
        <f>IF(B505="CRYPTO",N505,0)</f>
        <v>0</v>
      </c>
      <c r="AC505" s="250">
        <f>IF(D505="O",IF(AB505&lt;0,AB505,0),0)</f>
        <v>0</v>
      </c>
      <c r="AD505" s="255">
        <f>IF(K505&lt;&gt;"",K505-E505,0)</f>
        <v>3.882638888884685</v>
      </c>
      <c r="AE505" s="255">
        <f>IF(N505&gt;0,AD505,0)</f>
        <v>3.882638888884685</v>
      </c>
      <c r="AF505" s="255">
        <f>IF(N505&lt;0,AD505,0)</f>
        <v>0</v>
      </c>
      <c r="AG505" s="255">
        <f>IF(N505=0,AD505,0)</f>
        <v>0</v>
      </c>
    </row>
    <row r="506" spans="2:33" ht="15" customHeight="1" x14ac:dyDescent="0.3">
      <c r="B506" s="196" t="s">
        <v>5</v>
      </c>
      <c r="C506" s="197" t="s">
        <v>15</v>
      </c>
      <c r="D506" s="246" t="str">
        <f>IF(E506&lt;&gt;"",IF(K506&lt;&gt;"","C","O"),"")</f>
        <v>C</v>
      </c>
      <c r="E506" s="199">
        <v>44694.479166666664</v>
      </c>
      <c r="F506" s="200" t="s">
        <v>91</v>
      </c>
      <c r="G506" s="235">
        <v>13917.17</v>
      </c>
      <c r="H506" s="235">
        <v>13857.5</v>
      </c>
      <c r="I506" s="247">
        <f>ABS(G506-H506)</f>
        <v>59.670000000000073</v>
      </c>
      <c r="J506" s="235">
        <v>15031.1</v>
      </c>
      <c r="K506" s="199">
        <v>44697.425694444442</v>
      </c>
      <c r="L506" s="235">
        <v>13915.7</v>
      </c>
      <c r="M506" s="248">
        <f>ROUND(IF(C506="L",(L506-G506),(G506-L506)),4)</f>
        <v>-1.47</v>
      </c>
      <c r="N506" s="249">
        <f>IFERROR(ROUND((M506/I506),2),"")</f>
        <v>-0.02</v>
      </c>
      <c r="O506" s="250">
        <f>IF(D506="O",IF(N506&lt;0,N506,0),0)</f>
        <v>0</v>
      </c>
      <c r="P506" s="251">
        <f>IF(N506&gt;= 0,N506,0)</f>
        <v>0</v>
      </c>
      <c r="Q506" s="251">
        <f>IF(N506&lt;0,N506,0)</f>
        <v>-0.02</v>
      </c>
      <c r="R5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28360</v>
      </c>
      <c r="T5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6" s="253">
        <f ca="1">IF(Tabla33610673[[#This Row],[Equity]]&lt;Tabla33610673[[#This Row],[Equity Peak]],(Tabla33610673[[#This Row],[Equity Peak]]-Tabla33610673[[#This Row],[Equity]])/Tabla33610673[[#This Row],[Equity Peak]],"")</f>
        <v>9.655633780382912E-2</v>
      </c>
      <c r="V506" s="254">
        <f>IF(B506="FX",N506,0)</f>
        <v>0</v>
      </c>
      <c r="W506" s="254">
        <f>IF(D506="O",IF(V506&lt;0,V506,0),0)</f>
        <v>0</v>
      </c>
      <c r="X506" s="254">
        <f>IF(B506="COM",N506,0)</f>
        <v>0</v>
      </c>
      <c r="Y506" s="254">
        <f>IF(D506="O",IF(X506&lt;0,X506,0),0)</f>
        <v>0</v>
      </c>
      <c r="Z506" s="254">
        <f>IF(B506="IND",N506,0)</f>
        <v>-0.02</v>
      </c>
      <c r="AA506" s="250">
        <f>IF(D506="O",IF(Z506&lt;0,Z506,0),0)</f>
        <v>0</v>
      </c>
      <c r="AB506" s="254">
        <f>IF(B506="CRYPTO",N506,0)</f>
        <v>0</v>
      </c>
      <c r="AC506" s="250">
        <f>IF(D506="O",IF(AB506&lt;0,AB506,0),0)</f>
        <v>0</v>
      </c>
      <c r="AD506" s="255">
        <f>IF(K506&lt;&gt;"",K506-E506,0)</f>
        <v>2.9465277777781012</v>
      </c>
      <c r="AE506" s="255">
        <f>IF(N506&gt;0,AD506,0)</f>
        <v>0</v>
      </c>
      <c r="AF506" s="255">
        <f>IF(N506&lt;0,AD506,0)</f>
        <v>2.9465277777781012</v>
      </c>
      <c r="AG506" s="255">
        <f>IF(N506=0,AD506,0)</f>
        <v>0</v>
      </c>
    </row>
    <row r="507" spans="2:33" ht="15" customHeight="1" x14ac:dyDescent="0.3">
      <c r="B507" s="196" t="s">
        <v>7</v>
      </c>
      <c r="C507" s="197" t="s">
        <v>15</v>
      </c>
      <c r="D507" s="246" t="str">
        <f>IF(E507&lt;&gt;"",IF(K507&lt;&gt;"","C","O"),"")</f>
        <v>C</v>
      </c>
      <c r="E507" s="199">
        <v>44694.802083333336</v>
      </c>
      <c r="F507" s="200" t="s">
        <v>115</v>
      </c>
      <c r="G507" s="235">
        <v>158.44499999999999</v>
      </c>
      <c r="H507" s="235">
        <v>157.56700000000001</v>
      </c>
      <c r="I507" s="247">
        <f>ABS(G507-H507)</f>
        <v>0.8779999999999859</v>
      </c>
      <c r="J507" s="235">
        <v>160.95400000000001</v>
      </c>
      <c r="K507" s="199">
        <v>44697.209722222222</v>
      </c>
      <c r="L507" s="235">
        <v>158.066</v>
      </c>
      <c r="M507" s="248">
        <f>ROUND(IF(C507="L",(L507-G507),(G507-L507)),4)</f>
        <v>-0.379</v>
      </c>
      <c r="N507" s="249">
        <f>IFERROR(ROUND((M507/I507),2),"")</f>
        <v>-0.43</v>
      </c>
      <c r="O507" s="250">
        <f>IF(D507="O",IF(N507&lt;0,N507,0),0)</f>
        <v>0</v>
      </c>
      <c r="P507" s="251">
        <f>IF(N507&gt;= 0,N507,0)</f>
        <v>0</v>
      </c>
      <c r="Q507" s="251">
        <f>IF(N507&lt;0,N507,0)</f>
        <v>-0.43</v>
      </c>
      <c r="R5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28362</v>
      </c>
      <c r="T5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7" s="253">
        <f ca="1">IF(Tabla33610673[[#This Row],[Equity]]&lt;Tabla33610673[[#This Row],[Equity Peak]],(Tabla33610673[[#This Row],[Equity Peak]]-Tabla33610673[[#This Row],[Equity]])/Tabla33610673[[#This Row],[Equity Peak]],"")</f>
        <v>9.6492625274760283E-2</v>
      </c>
      <c r="V507" s="254">
        <f>IF(B507="FX",N507,0)</f>
        <v>-0.43</v>
      </c>
      <c r="W507" s="254">
        <f>IF(D507="O",IF(V507&lt;0,V507,0),0)</f>
        <v>0</v>
      </c>
      <c r="X507" s="254">
        <f>IF(B507="COM",N507,0)</f>
        <v>0</v>
      </c>
      <c r="Y507" s="254">
        <f>IF(D507="O",IF(X507&lt;0,X507,0),0)</f>
        <v>0</v>
      </c>
      <c r="Z507" s="254">
        <f>IF(B507="IND",N507,0)</f>
        <v>0</v>
      </c>
      <c r="AA507" s="250">
        <f>IF(D507="O",IF(Z507&lt;0,Z507,0),0)</f>
        <v>0</v>
      </c>
      <c r="AB507" s="254">
        <f>IF(B507="CRYPTO",N507,0)</f>
        <v>0</v>
      </c>
      <c r="AC507" s="250">
        <f>IF(D507="O",IF(AB507&lt;0,AB507,0),0)</f>
        <v>0</v>
      </c>
      <c r="AD507" s="255">
        <f>IF(K507&lt;&gt;"",K507-E507,0)</f>
        <v>2.4076388888861402</v>
      </c>
      <c r="AE507" s="255">
        <f>IF(N507&gt;0,AD507,0)</f>
        <v>0</v>
      </c>
      <c r="AF507" s="255">
        <f>IF(N507&lt;0,AD507,0)</f>
        <v>2.4076388888861402</v>
      </c>
      <c r="AG507" s="255">
        <f>IF(N507=0,AD507,0)</f>
        <v>0</v>
      </c>
    </row>
    <row r="508" spans="2:33" ht="15" customHeight="1" x14ac:dyDescent="0.3">
      <c r="B508" s="196" t="s">
        <v>5</v>
      </c>
      <c r="C508" s="197" t="s">
        <v>15</v>
      </c>
      <c r="D508" s="246" t="str">
        <f>IF(E508&lt;&gt;"",IF(K508&lt;&gt;"","C","O"),"")</f>
        <v>C</v>
      </c>
      <c r="E508" s="199">
        <v>44694.270833333336</v>
      </c>
      <c r="F508" s="200" t="s">
        <v>91</v>
      </c>
      <c r="G508" s="235">
        <v>13901.92</v>
      </c>
      <c r="H508" s="235">
        <v>13840.61</v>
      </c>
      <c r="I508" s="247">
        <f>ABS(G508-H508)</f>
        <v>61.309999999999491</v>
      </c>
      <c r="J508" s="235">
        <v>15046.4</v>
      </c>
      <c r="K508" s="199">
        <v>44694.384027777778</v>
      </c>
      <c r="L508" s="235">
        <v>13840.61</v>
      </c>
      <c r="M508" s="248">
        <f>ROUND(IF(C508="L",(L508-G508),(G508-L508)),4)</f>
        <v>-61.31</v>
      </c>
      <c r="N508" s="249">
        <f>IFERROR(ROUND((M508/I508),2),"")</f>
        <v>-1</v>
      </c>
      <c r="O508" s="250">
        <f>IF(D508="O",IF(N508&lt;0,N508,0),0)</f>
        <v>0</v>
      </c>
      <c r="P508" s="251">
        <f>IF(N508&gt;= 0,N508,0)</f>
        <v>0</v>
      </c>
      <c r="Q508" s="251">
        <f>IF(N508&lt;0,N508,0)</f>
        <v>-1</v>
      </c>
      <c r="R5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28405</v>
      </c>
      <c r="T5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8" s="253">
        <f ca="1">IF(Tabla33610673[[#This Row],[Equity]]&lt;Tabla33610673[[#This Row],[Equity Peak]],(Tabla33610673[[#This Row],[Equity Peak]]-Tabla33610673[[#This Row],[Equity]])/Tabla33610673[[#This Row],[Equity Peak]],"")</f>
        <v>9.5122805899780186E-2</v>
      </c>
      <c r="V508" s="254">
        <f>IF(B508="FX",N508,0)</f>
        <v>0</v>
      </c>
      <c r="W508" s="254">
        <f>IF(D508="O",IF(V508&lt;0,V508,0),0)</f>
        <v>0</v>
      </c>
      <c r="X508" s="254">
        <f>IF(B508="COM",N508,0)</f>
        <v>0</v>
      </c>
      <c r="Y508" s="254">
        <f>IF(D508="O",IF(X508&lt;0,X508,0),0)</f>
        <v>0</v>
      </c>
      <c r="Z508" s="254">
        <f>IF(B508="IND",N508,0)</f>
        <v>-1</v>
      </c>
      <c r="AA508" s="250">
        <f>IF(D508="O",IF(Z508&lt;0,Z508,0),0)</f>
        <v>0</v>
      </c>
      <c r="AB508" s="254">
        <f>IF(B508="CRYPTO",N508,0)</f>
        <v>0</v>
      </c>
      <c r="AC508" s="250">
        <f>IF(D508="O",IF(AB508&lt;0,AB508,0),0)</f>
        <v>0</v>
      </c>
      <c r="AD508" s="255">
        <f>IF(K508&lt;&gt;"",K508-E508,0)</f>
        <v>0.1131944444423425</v>
      </c>
      <c r="AE508" s="255">
        <f>IF(N508&gt;0,AD508,0)</f>
        <v>0</v>
      </c>
      <c r="AF508" s="255">
        <f>IF(N508&lt;0,AD508,0)</f>
        <v>0.1131944444423425</v>
      </c>
      <c r="AG508" s="255">
        <f>IF(N508=0,AD508,0)</f>
        <v>0</v>
      </c>
    </row>
    <row r="509" spans="2:33" ht="15" customHeight="1" x14ac:dyDescent="0.3">
      <c r="B509" s="196" t="s">
        <v>7</v>
      </c>
      <c r="C509" s="197" t="s">
        <v>13</v>
      </c>
      <c r="D509" s="246" t="str">
        <f>IF(E509&lt;&gt;"",IF(K509&lt;&gt;"","C","O"),"")</f>
        <v>C</v>
      </c>
      <c r="E509" s="199">
        <v>44693.427083333336</v>
      </c>
      <c r="F509" s="200" t="s">
        <v>114</v>
      </c>
      <c r="G509" s="235">
        <v>1.0462800000000001</v>
      </c>
      <c r="H509" s="235">
        <v>1.0483499999999999</v>
      </c>
      <c r="I509" s="247">
        <f>ABS(G509-H509)</f>
        <v>2.0699999999997942E-3</v>
      </c>
      <c r="J509" s="235">
        <v>1.0276099999999999</v>
      </c>
      <c r="K509" s="199">
        <v>44694.369444444441</v>
      </c>
      <c r="L509" s="235">
        <v>1.0400199999999999</v>
      </c>
      <c r="M509" s="248">
        <f>ROUND(IF(C509="L",(L509-G509),(G509-L509)),4)</f>
        <v>6.3E-3</v>
      </c>
      <c r="N509" s="249">
        <f>IFERROR(ROUND((M509/I509),2),"")</f>
        <v>3.04</v>
      </c>
      <c r="O509" s="250">
        <f>IF(D509="O",IF(N509&lt;0,N509,0),0)</f>
        <v>0</v>
      </c>
      <c r="P509" s="251">
        <f>IF(N509&gt;= 0,N509,0)</f>
        <v>3.04</v>
      </c>
      <c r="Q509" s="251">
        <f>IF(N509&lt;0,N509,0)</f>
        <v>0</v>
      </c>
      <c r="R5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28505</v>
      </c>
      <c r="T5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09" s="253">
        <f ca="1">IF(Tabla33610673[[#This Row],[Equity]]&lt;Tabla33610673[[#This Row],[Equity Peak]],(Tabla33610673[[#This Row],[Equity Peak]]-Tabla33610673[[#This Row],[Equity]])/Tabla33610673[[#This Row],[Equity Peak]],"")</f>
        <v>9.1937179446338127E-2</v>
      </c>
      <c r="V509" s="254">
        <f>IF(B509="FX",N509,0)</f>
        <v>3.04</v>
      </c>
      <c r="W509" s="254">
        <f>IF(D509="O",IF(V509&lt;0,V509,0),0)</f>
        <v>0</v>
      </c>
      <c r="X509" s="254">
        <f>IF(B509="COM",N509,0)</f>
        <v>0</v>
      </c>
      <c r="Y509" s="254">
        <f>IF(D509="O",IF(X509&lt;0,X509,0),0)</f>
        <v>0</v>
      </c>
      <c r="Z509" s="254">
        <f>IF(B509="IND",N509,0)</f>
        <v>0</v>
      </c>
      <c r="AA509" s="250">
        <f>IF(D509="O",IF(Z509&lt;0,Z509,0),0)</f>
        <v>0</v>
      </c>
      <c r="AB509" s="254">
        <f>IF(B509="CRYPTO",N509,0)</f>
        <v>0</v>
      </c>
      <c r="AC509" s="250">
        <f>IF(D509="O",IF(AB509&lt;0,AB509,0),0)</f>
        <v>0</v>
      </c>
      <c r="AD509" s="255">
        <f>IF(K509&lt;&gt;"",K509-E509,0)</f>
        <v>0.94236111110512866</v>
      </c>
      <c r="AE509" s="255">
        <f>IF(N509&gt;0,AD509,0)</f>
        <v>0.94236111110512866</v>
      </c>
      <c r="AF509" s="255">
        <f>IF(N509&lt;0,AD509,0)</f>
        <v>0</v>
      </c>
      <c r="AG509" s="255">
        <f>IF(N509=0,AD509,0)</f>
        <v>0</v>
      </c>
    </row>
    <row r="510" spans="2:33" ht="15" customHeight="1" x14ac:dyDescent="0.3">
      <c r="B510" s="196" t="s">
        <v>7</v>
      </c>
      <c r="C510" s="197" t="s">
        <v>13</v>
      </c>
      <c r="D510" s="246" t="str">
        <f>IF(E510&lt;&gt;"",IF(K510&lt;&gt;"","C","O"),"")</f>
        <v>C</v>
      </c>
      <c r="E510" s="199">
        <v>44693.65625</v>
      </c>
      <c r="F510" s="200" t="s">
        <v>116</v>
      </c>
      <c r="G510" s="235">
        <v>128.19300000000001</v>
      </c>
      <c r="H510" s="235">
        <v>128.494</v>
      </c>
      <c r="I510" s="247">
        <f>ABS(G510-H510)</f>
        <v>0.30099999999998772</v>
      </c>
      <c r="J510" s="235">
        <v>125.05800000000001</v>
      </c>
      <c r="K510" s="199">
        <v>44693.717361111114</v>
      </c>
      <c r="L510" s="235">
        <v>128.23500000000001</v>
      </c>
      <c r="M510" s="248">
        <f>ROUND(IF(C510="L",(L510-G510),(G510-L510)),4)</f>
        <v>-4.2000000000000003E-2</v>
      </c>
      <c r="N510" s="249">
        <f>IFERROR(ROUND((M510/I510),2),"")</f>
        <v>-0.14000000000000001</v>
      </c>
      <c r="O510" s="250">
        <f>IF(D510="O",IF(N510&lt;0,N510,0),0)</f>
        <v>0</v>
      </c>
      <c r="P510" s="251">
        <f>IF(N510&gt;= 0,N510,0)</f>
        <v>0</v>
      </c>
      <c r="Q510" s="251">
        <f>IF(N510&lt;0,N510,0)</f>
        <v>-0.14000000000000001</v>
      </c>
      <c r="R5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28201</v>
      </c>
      <c r="T5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0" s="253">
        <f ca="1">IF(Tabla33610673[[#This Row],[Equity]]&lt;Tabla33610673[[#This Row],[Equity Peak]],(Tabla33610673[[#This Row],[Equity Peak]]-Tabla33610673[[#This Row],[Equity]])/Tabla33610673[[#This Row],[Equity Peak]],"")</f>
        <v>0.10162148386480202</v>
      </c>
      <c r="V510" s="254">
        <f>IF(B510="FX",N510,0)</f>
        <v>-0.14000000000000001</v>
      </c>
      <c r="W510" s="254">
        <f>IF(D510="O",IF(V510&lt;0,V510,0),0)</f>
        <v>0</v>
      </c>
      <c r="X510" s="254">
        <f>IF(B510="COM",N510,0)</f>
        <v>0</v>
      </c>
      <c r="Y510" s="254">
        <f>IF(D510="O",IF(X510&lt;0,X510,0),0)</f>
        <v>0</v>
      </c>
      <c r="Z510" s="254">
        <f>IF(B510="IND",N510,0)</f>
        <v>0</v>
      </c>
      <c r="AA510" s="250">
        <f>IF(D510="O",IF(Z510&lt;0,Z510,0),0)</f>
        <v>0</v>
      </c>
      <c r="AB510" s="254">
        <f>IF(B510="CRYPTO",N510,0)</f>
        <v>0</v>
      </c>
      <c r="AC510" s="250">
        <f>IF(D510="O",IF(AB510&lt;0,AB510,0),0)</f>
        <v>0</v>
      </c>
      <c r="AD510" s="255">
        <f>IF(K510&lt;&gt;"",K510-E510,0)</f>
        <v>6.1111111113859806E-2</v>
      </c>
      <c r="AE510" s="255">
        <f>IF(N510&gt;0,AD510,0)</f>
        <v>0</v>
      </c>
      <c r="AF510" s="255">
        <f>IF(N510&lt;0,AD510,0)</f>
        <v>6.1111111113859806E-2</v>
      </c>
      <c r="AG510" s="255">
        <f>IF(N510=0,AD510,0)</f>
        <v>0</v>
      </c>
    </row>
    <row r="511" spans="2:33" ht="15" customHeight="1" x14ac:dyDescent="0.3">
      <c r="B511" s="196" t="s">
        <v>5</v>
      </c>
      <c r="C511" s="197" t="s">
        <v>13</v>
      </c>
      <c r="D511" s="246" t="str">
        <f>IF(E511&lt;&gt;"",IF(K511&lt;&gt;"","C","O"),"")</f>
        <v>C</v>
      </c>
      <c r="E511" s="199">
        <v>44693.375</v>
      </c>
      <c r="F511" s="200" t="s">
        <v>92</v>
      </c>
      <c r="G511" s="235">
        <v>11903.63</v>
      </c>
      <c r="H511" s="235">
        <v>11988.09</v>
      </c>
      <c r="I511" s="247">
        <f>ABS(G511-H511)</f>
        <v>84.460000000000946</v>
      </c>
      <c r="J511" s="235">
        <v>10326.959999999999</v>
      </c>
      <c r="K511" s="199">
        <v>44693.717361111114</v>
      </c>
      <c r="L511" s="235">
        <v>11975.86</v>
      </c>
      <c r="M511" s="248">
        <f>ROUND(IF(C511="L",(L511-G511),(G511-L511)),4)</f>
        <v>-72.23</v>
      </c>
      <c r="N511" s="249">
        <f>IFERROR(ROUND((M511/I511),2),"")</f>
        <v>-0.86</v>
      </c>
      <c r="O511" s="250">
        <f>IF(D511="O",IF(N511&lt;0,N511,0),0)</f>
        <v>0</v>
      </c>
      <c r="P511" s="251">
        <f>IF(N511&gt;= 0,N511,0)</f>
        <v>0</v>
      </c>
      <c r="Q511" s="251">
        <f>IF(N511&lt;0,N511,0)</f>
        <v>-0.86</v>
      </c>
      <c r="R5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28215</v>
      </c>
      <c r="T5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1" s="253">
        <f ca="1">IF(Tabla33610673[[#This Row],[Equity]]&lt;Tabla33610673[[#This Row],[Equity Peak]],(Tabla33610673[[#This Row],[Equity Peak]]-Tabla33610673[[#This Row],[Equity]])/Tabla33610673[[#This Row],[Equity Peak]],"")</f>
        <v>0.10117549616132013</v>
      </c>
      <c r="V511" s="254">
        <f>IF(B511="FX",N511,0)</f>
        <v>0</v>
      </c>
      <c r="W511" s="254">
        <f>IF(D511="O",IF(V511&lt;0,V511,0),0)</f>
        <v>0</v>
      </c>
      <c r="X511" s="254">
        <f>IF(B511="COM",N511,0)</f>
        <v>0</v>
      </c>
      <c r="Y511" s="254">
        <f>IF(D511="O",IF(X511&lt;0,X511,0),0)</f>
        <v>0</v>
      </c>
      <c r="Z511" s="254">
        <f>IF(B511="IND",N511,0)</f>
        <v>-0.86</v>
      </c>
      <c r="AA511" s="250">
        <f>IF(D511="O",IF(Z511&lt;0,Z511,0),0)</f>
        <v>0</v>
      </c>
      <c r="AB511" s="254">
        <f>IF(B511="CRYPTO",N511,0)</f>
        <v>0</v>
      </c>
      <c r="AC511" s="250">
        <f>IF(D511="O",IF(AB511&lt;0,AB511,0),0)</f>
        <v>0</v>
      </c>
      <c r="AD511" s="255">
        <f>IF(K511&lt;&gt;"",K511-E511,0)</f>
        <v>0.34236111111385981</v>
      </c>
      <c r="AE511" s="255">
        <f>IF(N511&gt;0,AD511,0)</f>
        <v>0</v>
      </c>
      <c r="AF511" s="255">
        <f>IF(N511&lt;0,AD511,0)</f>
        <v>0.34236111111385981</v>
      </c>
      <c r="AG511" s="255">
        <f>IF(N511=0,AD511,0)</f>
        <v>0</v>
      </c>
    </row>
    <row r="512" spans="2:33" ht="15" customHeight="1" x14ac:dyDescent="0.3">
      <c r="B512" s="196" t="s">
        <v>5</v>
      </c>
      <c r="C512" s="197" t="s">
        <v>13</v>
      </c>
      <c r="D512" s="246" t="str">
        <f>IF(E512&lt;&gt;"",IF(K512&lt;&gt;"","C","O"),"")</f>
        <v>C</v>
      </c>
      <c r="E512" s="199">
        <v>44693.375</v>
      </c>
      <c r="F512" s="200" t="s">
        <v>93</v>
      </c>
      <c r="G512" s="235">
        <v>11903.63</v>
      </c>
      <c r="H512" s="235">
        <v>11983.58</v>
      </c>
      <c r="I512" s="247">
        <f>ABS(G512-H512)</f>
        <v>79.950000000000728</v>
      </c>
      <c r="J512" s="235">
        <v>11050.85</v>
      </c>
      <c r="K512" s="199">
        <v>44693.717361111114</v>
      </c>
      <c r="L512" s="235">
        <v>11965.77</v>
      </c>
      <c r="M512" s="248">
        <f>ROUND(IF(C512="L",(L512-G512),(G512-L512)),4)</f>
        <v>-62.14</v>
      </c>
      <c r="N512" s="249">
        <f>IFERROR(ROUND((M512/I512),2),"")</f>
        <v>-0.78</v>
      </c>
      <c r="O512" s="250">
        <f>IF(D512="O",IF(N512&lt;0,N512,0),0)</f>
        <v>0</v>
      </c>
      <c r="P512" s="251">
        <f>IF(N512&gt;= 0,N512,0)</f>
        <v>0</v>
      </c>
      <c r="Q512" s="251">
        <f>IF(N512&lt;0,N512,0)</f>
        <v>-0.78</v>
      </c>
      <c r="R5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28301</v>
      </c>
      <c r="T5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2" s="253">
        <f ca="1">IF(Tabla33610673[[#This Row],[Equity]]&lt;Tabla33610673[[#This Row],[Equity Peak]],(Tabla33610673[[#This Row],[Equity Peak]]-Tabla33610673[[#This Row],[Equity]])/Tabla33610673[[#This Row],[Equity Peak]],"")</f>
        <v>9.8435857411359948E-2</v>
      </c>
      <c r="V512" s="254">
        <f>IF(B512="FX",N512,0)</f>
        <v>0</v>
      </c>
      <c r="W512" s="254">
        <f>IF(D512="O",IF(V512&lt;0,V512,0),0)</f>
        <v>0</v>
      </c>
      <c r="X512" s="254">
        <f>IF(B512="COM",N512,0)</f>
        <v>0</v>
      </c>
      <c r="Y512" s="254">
        <f>IF(D512="O",IF(X512&lt;0,X512,0),0)</f>
        <v>0</v>
      </c>
      <c r="Z512" s="254">
        <f>IF(B512="IND",N512,0)</f>
        <v>-0.78</v>
      </c>
      <c r="AA512" s="250">
        <f>IF(D512="O",IF(Z512&lt;0,Z512,0),0)</f>
        <v>0</v>
      </c>
      <c r="AB512" s="254">
        <f>IF(B512="CRYPTO",N512,0)</f>
        <v>0</v>
      </c>
      <c r="AC512" s="250">
        <f>IF(D512="O",IF(AB512&lt;0,AB512,0),0)</f>
        <v>0</v>
      </c>
      <c r="AD512" s="255">
        <f>IF(K512&lt;&gt;"",K512-E512,0)</f>
        <v>0.34236111111385981</v>
      </c>
      <c r="AE512" s="255">
        <f>IF(N512&gt;0,AD512,0)</f>
        <v>0</v>
      </c>
      <c r="AF512" s="255">
        <f>IF(N512&lt;0,AD512,0)</f>
        <v>0.34236111111385981</v>
      </c>
      <c r="AG512" s="255">
        <f>IF(N512=0,AD512,0)</f>
        <v>0</v>
      </c>
    </row>
    <row r="513" spans="2:33" ht="15" customHeight="1" x14ac:dyDescent="0.3">
      <c r="B513" s="196" t="s">
        <v>7</v>
      </c>
      <c r="C513" s="197" t="s">
        <v>13</v>
      </c>
      <c r="D513" s="246" t="str">
        <f>IF(E513&lt;&gt;"",IF(K513&lt;&gt;"","C","O"),"")</f>
        <v>C</v>
      </c>
      <c r="E513" s="199">
        <v>44693.46875</v>
      </c>
      <c r="F513" s="200" t="s">
        <v>116</v>
      </c>
      <c r="G513" s="235">
        <v>128.46899999999999</v>
      </c>
      <c r="H513" s="235">
        <v>128.76</v>
      </c>
      <c r="I513" s="247">
        <f>ABS(G513-H513)</f>
        <v>0.29099999999999682</v>
      </c>
      <c r="J513" s="235">
        <v>125.44</v>
      </c>
      <c r="K513" s="199">
        <v>44693.529861111114</v>
      </c>
      <c r="L513" s="235">
        <v>128.75800000000001</v>
      </c>
      <c r="M513" s="248">
        <f>ROUND(IF(C513="L",(L513-G513),(G513-L513)),4)</f>
        <v>-0.28899999999999998</v>
      </c>
      <c r="N513" s="249">
        <f>IFERROR(ROUND((M513/I513),2),"")</f>
        <v>-0.99</v>
      </c>
      <c r="O513" s="250">
        <f>IF(D513="O",IF(N513&lt;0,N513,0),0)</f>
        <v>0</v>
      </c>
      <c r="P513" s="251">
        <f>IF(N513&gt;= 0,N513,0)</f>
        <v>0</v>
      </c>
      <c r="Q513" s="251">
        <f>IF(N513&lt;0,N513,0)</f>
        <v>-0.99</v>
      </c>
      <c r="R5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28379</v>
      </c>
      <c r="T5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3" s="253">
        <f ca="1">IF(Tabla33610673[[#This Row],[Equity]]&lt;Tabla33610673[[#This Row],[Equity Peak]],(Tabla33610673[[#This Row],[Equity Peak]]-Tabla33610673[[#This Row],[Equity]])/Tabla33610673[[#This Row],[Equity Peak]],"")</f>
        <v>9.5951068777675133E-2</v>
      </c>
      <c r="V513" s="254">
        <f>IF(B513="FX",N513,0)</f>
        <v>-0.99</v>
      </c>
      <c r="W513" s="254">
        <f>IF(D513="O",IF(V513&lt;0,V513,0),0)</f>
        <v>0</v>
      </c>
      <c r="X513" s="254">
        <f>IF(B513="COM",N513,0)</f>
        <v>0</v>
      </c>
      <c r="Y513" s="254">
        <f>IF(D513="O",IF(X513&lt;0,X513,0),0)</f>
        <v>0</v>
      </c>
      <c r="Z513" s="254">
        <f>IF(B513="IND",N513,0)</f>
        <v>0</v>
      </c>
      <c r="AA513" s="250">
        <f>IF(D513="O",IF(Z513&lt;0,Z513,0),0)</f>
        <v>0</v>
      </c>
      <c r="AB513" s="254">
        <f>IF(B513="CRYPTO",N513,0)</f>
        <v>0</v>
      </c>
      <c r="AC513" s="250">
        <f>IF(D513="O",IF(AB513&lt;0,AB513,0),0)</f>
        <v>0</v>
      </c>
      <c r="AD513" s="255">
        <f>IF(K513&lt;&gt;"",K513-E513,0)</f>
        <v>6.1111111113859806E-2</v>
      </c>
      <c r="AE513" s="255">
        <f>IF(N513&gt;0,AD513,0)</f>
        <v>0</v>
      </c>
      <c r="AF513" s="255">
        <f>IF(N513&lt;0,AD513,0)</f>
        <v>6.1111111113859806E-2</v>
      </c>
      <c r="AG513" s="255">
        <f>IF(N513=0,AD513,0)</f>
        <v>0</v>
      </c>
    </row>
    <row r="514" spans="2:33" ht="15" customHeight="1" x14ac:dyDescent="0.3">
      <c r="B514" s="196" t="s">
        <v>7</v>
      </c>
      <c r="C514" s="197" t="s">
        <v>13</v>
      </c>
      <c r="D514" s="246" t="str">
        <f>IF(E514&lt;&gt;"",IF(K514&lt;&gt;"","C","O"),"")</f>
        <v>C</v>
      </c>
      <c r="E514" s="199">
        <v>44692.822916666664</v>
      </c>
      <c r="F514" s="200" t="s">
        <v>115</v>
      </c>
      <c r="G514" s="235">
        <v>159.72499999999999</v>
      </c>
      <c r="H514" s="235">
        <v>160.38399999999999</v>
      </c>
      <c r="I514" s="247">
        <f>ABS(G514-H514)</f>
        <v>0.65899999999999181</v>
      </c>
      <c r="J514" s="235">
        <v>157.84200000000001</v>
      </c>
      <c r="K514" s="199">
        <v>44693.38958333333</v>
      </c>
      <c r="L514" s="235">
        <v>157.84200000000001</v>
      </c>
      <c r="M514" s="248">
        <f>ROUND(IF(C514="L",(L514-G514),(G514-L514)),4)</f>
        <v>1.883</v>
      </c>
      <c r="N514" s="249">
        <f>IFERROR(ROUND((M514/I514),2),"")</f>
        <v>2.86</v>
      </c>
      <c r="O514" s="250">
        <f>IF(D514="O",IF(N514&lt;0,N514,0),0)</f>
        <v>0</v>
      </c>
      <c r="P514" s="251">
        <f>IF(N514&gt;= 0,N514,0)</f>
        <v>2.86</v>
      </c>
      <c r="Q514" s="251">
        <f>IF(N514&lt;0,N514,0)</f>
        <v>0</v>
      </c>
      <c r="R5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28478</v>
      </c>
      <c r="T5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4" s="253">
        <f ca="1">IF(Tabla33610673[[#This Row],[Equity]]&lt;Tabla33610673[[#This Row],[Equity Peak]],(Tabla33610673[[#This Row],[Equity Peak]]-Tabla33610673[[#This Row],[Equity]])/Tabla33610673[[#This Row],[Equity Peak]],"")</f>
        <v>9.2797298588767479E-2</v>
      </c>
      <c r="V514" s="254">
        <f>IF(B514="FX",N514,0)</f>
        <v>2.86</v>
      </c>
      <c r="W514" s="254">
        <f>IF(D514="O",IF(V514&lt;0,V514,0),0)</f>
        <v>0</v>
      </c>
      <c r="X514" s="254">
        <f>IF(B514="COM",N514,0)</f>
        <v>0</v>
      </c>
      <c r="Y514" s="254">
        <f>IF(D514="O",IF(X514&lt;0,X514,0),0)</f>
        <v>0</v>
      </c>
      <c r="Z514" s="254">
        <f>IF(B514="IND",N514,0)</f>
        <v>0</v>
      </c>
      <c r="AA514" s="250">
        <f>IF(D514="O",IF(Z514&lt;0,Z514,0),0)</f>
        <v>0</v>
      </c>
      <c r="AB514" s="254">
        <f>IF(B514="CRYPTO",N514,0)</f>
        <v>0</v>
      </c>
      <c r="AC514" s="250">
        <f>IF(D514="O",IF(AB514&lt;0,AB514,0),0)</f>
        <v>0</v>
      </c>
      <c r="AD514" s="255">
        <f>IF(K514&lt;&gt;"",K514-E514,0)</f>
        <v>0.56666666666569654</v>
      </c>
      <c r="AE514" s="255">
        <f>IF(N514&gt;0,AD514,0)</f>
        <v>0.56666666666569654</v>
      </c>
      <c r="AF514" s="255">
        <f>IF(N514&lt;0,AD514,0)</f>
        <v>0</v>
      </c>
      <c r="AG514" s="255">
        <f>IF(N514=0,AD514,0)</f>
        <v>0</v>
      </c>
    </row>
    <row r="515" spans="2:33" ht="15" customHeight="1" x14ac:dyDescent="0.3">
      <c r="B515" s="196" t="s">
        <v>5</v>
      </c>
      <c r="C515" s="197" t="s">
        <v>13</v>
      </c>
      <c r="D515" s="246" t="str">
        <f>IF(E515&lt;&gt;"",IF(K515&lt;&gt;"","C","O"),"")</f>
        <v>C</v>
      </c>
      <c r="E515" s="199">
        <v>44692.958333333336</v>
      </c>
      <c r="F515" s="200" t="s">
        <v>92</v>
      </c>
      <c r="G515" s="235">
        <v>11968.37</v>
      </c>
      <c r="H515" s="235">
        <v>12048.08</v>
      </c>
      <c r="I515" s="247">
        <f>ABS(G515-H515)</f>
        <v>79.709999999999127</v>
      </c>
      <c r="J515" s="235">
        <v>10480.49</v>
      </c>
      <c r="K515" s="199">
        <v>44693.179166666669</v>
      </c>
      <c r="L515" s="235">
        <v>12048.08</v>
      </c>
      <c r="M515" s="248">
        <f>ROUND(IF(C515="L",(L515-G515),(G515-L515)),4)</f>
        <v>-79.709999999999994</v>
      </c>
      <c r="N515" s="249">
        <f>IFERROR(ROUND((M515/I515),2),"")</f>
        <v>-1</v>
      </c>
      <c r="O515" s="250">
        <f>IF(D515="O",IF(N515&lt;0,N515,0),0)</f>
        <v>0</v>
      </c>
      <c r="P515" s="251">
        <f>IF(N515&gt;= 0,N515,0)</f>
        <v>0</v>
      </c>
      <c r="Q515" s="251">
        <f>IF(N515&lt;0,N515,0)</f>
        <v>-1</v>
      </c>
      <c r="R5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28192</v>
      </c>
      <c r="T5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5" s="253">
        <f ca="1">IF(Tabla33610673[[#This Row],[Equity]]&lt;Tabla33610673[[#This Row],[Equity Peak]],(Tabla33610673[[#This Row],[Equity Peak]]-Tabla33610673[[#This Row],[Equity]])/Tabla33610673[[#This Row],[Equity Peak]],"")</f>
        <v>0.1019081902456118</v>
      </c>
      <c r="V515" s="254">
        <f>IF(B515="FX",N515,0)</f>
        <v>0</v>
      </c>
      <c r="W515" s="254">
        <f>IF(D515="O",IF(V515&lt;0,V515,0),0)</f>
        <v>0</v>
      </c>
      <c r="X515" s="254">
        <f>IF(B515="COM",N515,0)</f>
        <v>0</v>
      </c>
      <c r="Y515" s="254">
        <f>IF(D515="O",IF(X515&lt;0,X515,0),0)</f>
        <v>0</v>
      </c>
      <c r="Z515" s="254">
        <f>IF(B515="IND",N515,0)</f>
        <v>-1</v>
      </c>
      <c r="AA515" s="250">
        <f>IF(D515="O",IF(Z515&lt;0,Z515,0),0)</f>
        <v>0</v>
      </c>
      <c r="AB515" s="254">
        <f>IF(B515="CRYPTO",N515,0)</f>
        <v>0</v>
      </c>
      <c r="AC515" s="250">
        <f>IF(D515="O",IF(AB515&lt;0,AB515,0),0)</f>
        <v>0</v>
      </c>
      <c r="AD515" s="255">
        <f>IF(K515&lt;&gt;"",K515-E515,0)</f>
        <v>0.22083333333284827</v>
      </c>
      <c r="AE515" s="255">
        <f>IF(N515&gt;0,AD515,0)</f>
        <v>0</v>
      </c>
      <c r="AF515" s="255">
        <f>IF(N515&lt;0,AD515,0)</f>
        <v>0.22083333333284827</v>
      </c>
      <c r="AG515" s="255">
        <f>IF(N515=0,AD515,0)</f>
        <v>0</v>
      </c>
    </row>
    <row r="516" spans="2:33" ht="15" customHeight="1" x14ac:dyDescent="0.3">
      <c r="B516" s="196" t="s">
        <v>5</v>
      </c>
      <c r="C516" s="197" t="s">
        <v>13</v>
      </c>
      <c r="D516" s="246" t="str">
        <f>IF(E516&lt;&gt;"",IF(K516&lt;&gt;"","C","O"),"")</f>
        <v>C</v>
      </c>
      <c r="E516" s="199">
        <v>44692.958333333336</v>
      </c>
      <c r="F516" s="200" t="s">
        <v>93</v>
      </c>
      <c r="G516" s="235">
        <v>11968.37</v>
      </c>
      <c r="H516" s="235">
        <v>12041.9</v>
      </c>
      <c r="I516" s="247">
        <f>ABS(G516-H516)</f>
        <v>73.529999999998836</v>
      </c>
      <c r="J516" s="235">
        <v>11184.02</v>
      </c>
      <c r="K516" s="199">
        <v>44693.161805555559</v>
      </c>
      <c r="L516" s="235">
        <v>12041.9</v>
      </c>
      <c r="M516" s="248">
        <f>ROUND(IF(C516="L",(L516-G516),(G516-L516)),4)</f>
        <v>-73.53</v>
      </c>
      <c r="N516" s="249">
        <f>IFERROR(ROUND((M516/I516),2),"")</f>
        <v>-1</v>
      </c>
      <c r="O516" s="250">
        <f>IF(D516="O",IF(N516&lt;0,N516,0),0)</f>
        <v>0</v>
      </c>
      <c r="P516" s="251">
        <f>IF(N516&gt;= 0,N516,0)</f>
        <v>0</v>
      </c>
      <c r="Q516" s="251">
        <f>IF(N516&lt;0,N516,0)</f>
        <v>-1</v>
      </c>
      <c r="R5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28292</v>
      </c>
      <c r="T5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6" s="253">
        <f ca="1">IF(Tabla33610673[[#This Row],[Equity]]&lt;Tabla33610673[[#This Row],[Equity Peak]],(Tabla33610673[[#This Row],[Equity Peak]]-Tabla33610673[[#This Row],[Equity]])/Tabla33610673[[#This Row],[Equity Peak]],"")</f>
        <v>9.8722563792169732E-2</v>
      </c>
      <c r="V516" s="254">
        <f>IF(B516="FX",N516,0)</f>
        <v>0</v>
      </c>
      <c r="W516" s="254">
        <f>IF(D516="O",IF(V516&lt;0,V516,0),0)</f>
        <v>0</v>
      </c>
      <c r="X516" s="254">
        <f>IF(B516="COM",N516,0)</f>
        <v>0</v>
      </c>
      <c r="Y516" s="254">
        <f>IF(D516="O",IF(X516&lt;0,X516,0),0)</f>
        <v>0</v>
      </c>
      <c r="Z516" s="254">
        <f>IF(B516="IND",N516,0)</f>
        <v>-1</v>
      </c>
      <c r="AA516" s="250">
        <f>IF(D516="O",IF(Z516&lt;0,Z516,0),0)</f>
        <v>0</v>
      </c>
      <c r="AB516" s="254">
        <f>IF(B516="CRYPTO",N516,0)</f>
        <v>0</v>
      </c>
      <c r="AC516" s="250">
        <f>IF(D516="O",IF(AB516&lt;0,AB516,0),0)</f>
        <v>0</v>
      </c>
      <c r="AD516" s="255">
        <f>IF(K516&lt;&gt;"",K516-E516,0)</f>
        <v>0.20347222222335404</v>
      </c>
      <c r="AE516" s="255">
        <f>IF(N516&gt;0,AD516,0)</f>
        <v>0</v>
      </c>
      <c r="AF516" s="255">
        <f>IF(N516&lt;0,AD516,0)</f>
        <v>0.20347222222335404</v>
      </c>
      <c r="AG516" s="255">
        <f>IF(N516=0,AD516,0)</f>
        <v>0</v>
      </c>
    </row>
    <row r="517" spans="2:33" ht="15" customHeight="1" x14ac:dyDescent="0.3">
      <c r="B517" s="196" t="s">
        <v>5</v>
      </c>
      <c r="C517" s="197" t="s">
        <v>13</v>
      </c>
      <c r="D517" s="246" t="str">
        <f>IF(E517&lt;&gt;"",IF(K517&lt;&gt;"","C","O"),"")</f>
        <v>C</v>
      </c>
      <c r="E517" s="199">
        <v>44692.864583333336</v>
      </c>
      <c r="F517" s="200" t="s">
        <v>93</v>
      </c>
      <c r="G517" s="235">
        <v>12041.02</v>
      </c>
      <c r="H517" s="235">
        <v>12114.28</v>
      </c>
      <c r="I517" s="247">
        <f>ABS(G517-H517)</f>
        <v>73.260000000000218</v>
      </c>
      <c r="J517" s="235">
        <v>11259.55</v>
      </c>
      <c r="K517" s="199">
        <v>44692.893055555556</v>
      </c>
      <c r="L517" s="235">
        <v>12114.28</v>
      </c>
      <c r="M517" s="248">
        <f>ROUND(IF(C517="L",(L517-G517),(G517-L517)),4)</f>
        <v>-73.260000000000005</v>
      </c>
      <c r="N517" s="249">
        <f>IFERROR(ROUND((M517/I517),2),"")</f>
        <v>-1</v>
      </c>
      <c r="O517" s="250">
        <f>IF(D517="O",IF(N517&lt;0,N517,0),0)</f>
        <v>0</v>
      </c>
      <c r="P517" s="251">
        <f>IF(N517&gt;= 0,N517,0)</f>
        <v>0</v>
      </c>
      <c r="Q517" s="251">
        <f>IF(N517&lt;0,N517,0)</f>
        <v>-1</v>
      </c>
      <c r="R5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28392</v>
      </c>
      <c r="T5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7" s="253">
        <f ca="1">IF(Tabla33610673[[#This Row],[Equity]]&lt;Tabla33610673[[#This Row],[Equity Peak]],(Tabla33610673[[#This Row],[Equity Peak]]-Tabla33610673[[#This Row],[Equity]])/Tabla33610673[[#This Row],[Equity Peak]],"")</f>
        <v>9.5536937338727659E-2</v>
      </c>
      <c r="V517" s="254">
        <f>IF(B517="FX",N517,0)</f>
        <v>0</v>
      </c>
      <c r="W517" s="254">
        <f>IF(D517="O",IF(V517&lt;0,V517,0),0)</f>
        <v>0</v>
      </c>
      <c r="X517" s="254">
        <f>IF(B517="COM",N517,0)</f>
        <v>0</v>
      </c>
      <c r="Y517" s="254">
        <f>IF(D517="O",IF(X517&lt;0,X517,0),0)</f>
        <v>0</v>
      </c>
      <c r="Z517" s="254">
        <f>IF(B517="IND",N517,0)</f>
        <v>-1</v>
      </c>
      <c r="AA517" s="250">
        <f>IF(D517="O",IF(Z517&lt;0,Z517,0),0)</f>
        <v>0</v>
      </c>
      <c r="AB517" s="254">
        <f>IF(B517="CRYPTO",N517,0)</f>
        <v>0</v>
      </c>
      <c r="AC517" s="250">
        <f>IF(D517="O",IF(AB517&lt;0,AB517,0),0)</f>
        <v>0</v>
      </c>
      <c r="AD517" s="255">
        <f>IF(K517&lt;&gt;"",K517-E517,0)</f>
        <v>2.8472222220443655E-2</v>
      </c>
      <c r="AE517" s="255">
        <f>IF(N517&gt;0,AD517,0)</f>
        <v>0</v>
      </c>
      <c r="AF517" s="255">
        <f>IF(N517&lt;0,AD517,0)</f>
        <v>2.8472222220443655E-2</v>
      </c>
      <c r="AG517" s="255">
        <f>IF(N517=0,AD517,0)</f>
        <v>0</v>
      </c>
    </row>
    <row r="518" spans="2:33" ht="15" customHeight="1" x14ac:dyDescent="0.3">
      <c r="B518" s="196" t="s">
        <v>5</v>
      </c>
      <c r="C518" s="197" t="s">
        <v>13</v>
      </c>
      <c r="D518" s="246" t="str">
        <f>IF(E518&lt;&gt;"",IF(K518&lt;&gt;"","C","O"),"")</f>
        <v>C</v>
      </c>
      <c r="E518" s="199">
        <v>44692.864583333336</v>
      </c>
      <c r="F518" s="200" t="s">
        <v>92</v>
      </c>
      <c r="G518" s="235">
        <v>12041.02</v>
      </c>
      <c r="H518" s="235">
        <v>12110.95</v>
      </c>
      <c r="I518" s="247">
        <f>ABS(G518-H518)</f>
        <v>69.930000000000291</v>
      </c>
      <c r="J518" s="235">
        <v>10735.59</v>
      </c>
      <c r="K518" s="199">
        <v>44692.892361111109</v>
      </c>
      <c r="L518" s="235">
        <v>12110.95</v>
      </c>
      <c r="M518" s="248">
        <f>ROUND(IF(C518="L",(L518-G518),(G518-L518)),4)</f>
        <v>-69.930000000000007</v>
      </c>
      <c r="N518" s="249">
        <f>IFERROR(ROUND((M518/I518),2),"")</f>
        <v>-1</v>
      </c>
      <c r="O518" s="250">
        <f>IF(D518="O",IF(N518&lt;0,N518,0),0)</f>
        <v>0</v>
      </c>
      <c r="P518" s="251">
        <f>IF(N518&gt;= 0,N518,0)</f>
        <v>0</v>
      </c>
      <c r="Q518" s="251">
        <f>IF(N518&lt;0,N518,0)</f>
        <v>-1</v>
      </c>
      <c r="R5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28492</v>
      </c>
      <c r="T5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8" s="253">
        <f ca="1">IF(Tabla33610673[[#This Row],[Equity]]&lt;Tabla33610673[[#This Row],[Equity Peak]],(Tabla33610673[[#This Row],[Equity Peak]]-Tabla33610673[[#This Row],[Equity]])/Tabla33610673[[#This Row],[Equity Peak]],"")</f>
        <v>9.2351310885285587E-2</v>
      </c>
      <c r="V518" s="254">
        <f>IF(B518="FX",N518,0)</f>
        <v>0</v>
      </c>
      <c r="W518" s="254">
        <f>IF(D518="O",IF(V518&lt;0,V518,0),0)</f>
        <v>0</v>
      </c>
      <c r="X518" s="254">
        <f>IF(B518="COM",N518,0)</f>
        <v>0</v>
      </c>
      <c r="Y518" s="254">
        <f>IF(D518="O",IF(X518&lt;0,X518,0),0)</f>
        <v>0</v>
      </c>
      <c r="Z518" s="254">
        <f>IF(B518="IND",N518,0)</f>
        <v>-1</v>
      </c>
      <c r="AA518" s="250">
        <f>IF(D518="O",IF(Z518&lt;0,Z518,0),0)</f>
        <v>0</v>
      </c>
      <c r="AB518" s="254">
        <f>IF(B518="CRYPTO",N518,0)</f>
        <v>0</v>
      </c>
      <c r="AC518" s="250">
        <f>IF(D518="O",IF(AB518&lt;0,AB518,0),0)</f>
        <v>0</v>
      </c>
      <c r="AD518" s="255">
        <f>IF(K518&lt;&gt;"",K518-E518,0)</f>
        <v>2.7777777773735579E-2</v>
      </c>
      <c r="AE518" s="255">
        <f>IF(N518&gt;0,AD518,0)</f>
        <v>0</v>
      </c>
      <c r="AF518" s="255">
        <f>IF(N518&lt;0,AD518,0)</f>
        <v>2.7777777773735579E-2</v>
      </c>
      <c r="AG518" s="255">
        <f>IF(N518=0,AD518,0)</f>
        <v>0</v>
      </c>
    </row>
    <row r="519" spans="2:33" ht="15" customHeight="1" x14ac:dyDescent="0.3">
      <c r="B519" s="196" t="s">
        <v>19</v>
      </c>
      <c r="C519" s="197" t="s">
        <v>13</v>
      </c>
      <c r="D519" s="246" t="str">
        <f>IF(E519&lt;&gt;"",IF(K519&lt;&gt;"","C","O"),"")</f>
        <v>C</v>
      </c>
      <c r="E519" s="199">
        <v>44691.75</v>
      </c>
      <c r="F519" s="200" t="s">
        <v>88</v>
      </c>
      <c r="G519" s="235">
        <v>1849.93</v>
      </c>
      <c r="H519" s="235">
        <v>1853.63</v>
      </c>
      <c r="I519" s="247">
        <f>ABS(G519-H519)</f>
        <v>3.7000000000000455</v>
      </c>
      <c r="J519" s="235">
        <v>1805.52</v>
      </c>
      <c r="K519" s="199">
        <v>44692.427083333336</v>
      </c>
      <c r="L519" s="235">
        <v>1850.1</v>
      </c>
      <c r="M519" s="248">
        <f>ROUND(IF(C519="L",(L519-G519),(G519-L519)),4)</f>
        <v>-0.17</v>
      </c>
      <c r="N519" s="249">
        <f>IFERROR(ROUND((M519/I519),2),"")</f>
        <v>-0.05</v>
      </c>
      <c r="O519" s="250">
        <f>IF(D519="O",IF(N519&lt;0,N519,0),0)</f>
        <v>0</v>
      </c>
      <c r="P519" s="251">
        <f>IF(N519&gt;= 0,N519,0)</f>
        <v>0</v>
      </c>
      <c r="Q519" s="251">
        <f>IF(N519&lt;0,N519,0)</f>
        <v>-0.05</v>
      </c>
      <c r="R5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28592</v>
      </c>
      <c r="T5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19" s="253">
        <f ca="1">IF(Tabla33610673[[#This Row],[Equity]]&lt;Tabla33610673[[#This Row],[Equity Peak]],(Tabla33610673[[#This Row],[Equity Peak]]-Tabla33610673[[#This Row],[Equity]])/Tabla33610673[[#This Row],[Equity Peak]],"")</f>
        <v>8.9165684431843528E-2</v>
      </c>
      <c r="V519" s="254">
        <f>IF(B519="FX",N519,0)</f>
        <v>0</v>
      </c>
      <c r="W519" s="254">
        <f>IF(D519="O",IF(V519&lt;0,V519,0),0)</f>
        <v>0</v>
      </c>
      <c r="X519" s="254">
        <f>IF(B519="COM",N519,0)</f>
        <v>-0.05</v>
      </c>
      <c r="Y519" s="254">
        <f>IF(D519="O",IF(X519&lt;0,X519,0),0)</f>
        <v>0</v>
      </c>
      <c r="Z519" s="254">
        <f>IF(B519="IND",N519,0)</f>
        <v>0</v>
      </c>
      <c r="AA519" s="250">
        <f>IF(D519="O",IF(Z519&lt;0,Z519,0),0)</f>
        <v>0</v>
      </c>
      <c r="AB519" s="254">
        <f>IF(B519="CRYPTO",N519,0)</f>
        <v>0</v>
      </c>
      <c r="AC519" s="250">
        <f>IF(D519="O",IF(AB519&lt;0,AB519,0),0)</f>
        <v>0</v>
      </c>
      <c r="AD519" s="255">
        <f>IF(K519&lt;&gt;"",K519-E519,0)</f>
        <v>0.67708333333575865</v>
      </c>
      <c r="AE519" s="255">
        <f>IF(N519&gt;0,AD519,0)</f>
        <v>0</v>
      </c>
      <c r="AF519" s="255">
        <f>IF(N519&lt;0,AD519,0)</f>
        <v>0.67708333333575865</v>
      </c>
      <c r="AG519" s="255">
        <f>IF(N519=0,AD519,0)</f>
        <v>0</v>
      </c>
    </row>
    <row r="520" spans="2:33" ht="15" customHeight="1" x14ac:dyDescent="0.3">
      <c r="B520" s="196" t="s">
        <v>5</v>
      </c>
      <c r="C520" s="197" t="s">
        <v>13</v>
      </c>
      <c r="D520" s="246" t="str">
        <f>IF(E520&lt;&gt;"",IF(K520&lt;&gt;"","C","O"),"")</f>
        <v>C</v>
      </c>
      <c r="E520" s="199">
        <v>44690.479166666664</v>
      </c>
      <c r="F520" s="200" t="s">
        <v>92</v>
      </c>
      <c r="G520" s="235">
        <v>12496.24</v>
      </c>
      <c r="H520" s="235">
        <v>12580.91</v>
      </c>
      <c r="I520" s="247">
        <f>ABS(G520-H520)</f>
        <v>84.670000000000073</v>
      </c>
      <c r="J520" s="235">
        <v>10915.76</v>
      </c>
      <c r="K520" s="199">
        <v>44691.368750000001</v>
      </c>
      <c r="L520" s="235">
        <v>12357.52</v>
      </c>
      <c r="M520" s="248">
        <f>ROUND(IF(C520="L",(L520-G520),(G520-L520)),4)</f>
        <v>138.72</v>
      </c>
      <c r="N520" s="249">
        <f>IFERROR(ROUND((M520/I520),2),"")</f>
        <v>1.64</v>
      </c>
      <c r="O520" s="250">
        <f>IF(D520="O",IF(N520&lt;0,N520,0),0)</f>
        <v>0</v>
      </c>
      <c r="P520" s="251">
        <f>IF(N520&gt;= 0,N520,0)</f>
        <v>1.64</v>
      </c>
      <c r="Q520" s="251">
        <f>IF(N520&lt;0,N520,0)</f>
        <v>0</v>
      </c>
      <c r="R5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28597</v>
      </c>
      <c r="T5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0" s="253">
        <f ca="1">IF(Tabla33610673[[#This Row],[Equity]]&lt;Tabla33610673[[#This Row],[Equity Peak]],(Tabla33610673[[#This Row],[Equity Peak]]-Tabla33610673[[#This Row],[Equity]])/Tabla33610673[[#This Row],[Equity Peak]],"")</f>
        <v>8.900640310917142E-2</v>
      </c>
      <c r="V520" s="254">
        <f>IF(B520="FX",N520,0)</f>
        <v>0</v>
      </c>
      <c r="W520" s="254">
        <f>IF(D520="O",IF(V520&lt;0,V520,0),0)</f>
        <v>0</v>
      </c>
      <c r="X520" s="254">
        <f>IF(B520="COM",N520,0)</f>
        <v>0</v>
      </c>
      <c r="Y520" s="254">
        <f>IF(D520="O",IF(X520&lt;0,X520,0),0)</f>
        <v>0</v>
      </c>
      <c r="Z520" s="254">
        <f>IF(B520="IND",N520,0)</f>
        <v>1.64</v>
      </c>
      <c r="AA520" s="250">
        <f>IF(D520="O",IF(Z520&lt;0,Z520,0),0)</f>
        <v>0</v>
      </c>
      <c r="AB520" s="254">
        <f>IF(B520="CRYPTO",N520,0)</f>
        <v>0</v>
      </c>
      <c r="AC520" s="250">
        <f>IF(D520="O",IF(AB520&lt;0,AB520,0),0)</f>
        <v>0</v>
      </c>
      <c r="AD520" s="255">
        <f>IF(K520&lt;&gt;"",K520-E520,0)</f>
        <v>0.88958333333721384</v>
      </c>
      <c r="AE520" s="255">
        <f>IF(N520&gt;0,AD520,0)</f>
        <v>0.88958333333721384</v>
      </c>
      <c r="AF520" s="255">
        <f>IF(N520&lt;0,AD520,0)</f>
        <v>0</v>
      </c>
      <c r="AG520" s="255">
        <f>IF(N520=0,AD520,0)</f>
        <v>0</v>
      </c>
    </row>
    <row r="521" spans="2:33" ht="15" customHeight="1" x14ac:dyDescent="0.3">
      <c r="B521" s="196" t="s">
        <v>5</v>
      </c>
      <c r="C521" s="197" t="s">
        <v>13</v>
      </c>
      <c r="D521" s="246" t="str">
        <f>IF(E521&lt;&gt;"",IF(K521&lt;&gt;"","C","O"),"")</f>
        <v>C</v>
      </c>
      <c r="E521" s="199">
        <v>44690.947916666664</v>
      </c>
      <c r="F521" s="200" t="s">
        <v>93</v>
      </c>
      <c r="G521" s="235">
        <v>12193.09</v>
      </c>
      <c r="H521" s="235">
        <v>12259.24</v>
      </c>
      <c r="I521" s="247">
        <f>ABS(G521-H521)</f>
        <v>66.149999999999636</v>
      </c>
      <c r="J521" s="235">
        <v>11487.5</v>
      </c>
      <c r="K521" s="199">
        <v>44691.216666666667</v>
      </c>
      <c r="L521" s="235">
        <v>12259.24</v>
      </c>
      <c r="M521" s="248">
        <f>ROUND(IF(C521="L",(L521-G521),(G521-L521)),4)</f>
        <v>-66.150000000000006</v>
      </c>
      <c r="N521" s="249">
        <f>IFERROR(ROUND((M521/I521),2),"")</f>
        <v>-1</v>
      </c>
      <c r="O521" s="250">
        <f>IF(D521="O",IF(N521&lt;0,N521,0),0)</f>
        <v>0</v>
      </c>
      <c r="P521" s="251">
        <f>IF(N521&gt;= 0,N521,0)</f>
        <v>0</v>
      </c>
      <c r="Q521" s="251">
        <f>IF(N521&lt;0,N521,0)</f>
        <v>-1</v>
      </c>
      <c r="R5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28433</v>
      </c>
      <c r="T5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1" s="253">
        <f ca="1">IF(Tabla33610673[[#This Row],[Equity]]&lt;Tabla33610673[[#This Row],[Equity Peak]],(Tabla33610673[[#This Row],[Equity Peak]]-Tabla33610673[[#This Row],[Equity]])/Tabla33610673[[#This Row],[Equity Peak]],"")</f>
        <v>9.4230830492816414E-2</v>
      </c>
      <c r="V521" s="254">
        <f>IF(B521="FX",N521,0)</f>
        <v>0</v>
      </c>
      <c r="W521" s="254">
        <f>IF(D521="O",IF(V521&lt;0,V521,0),0)</f>
        <v>0</v>
      </c>
      <c r="X521" s="254">
        <f>IF(B521="COM",N521,0)</f>
        <v>0</v>
      </c>
      <c r="Y521" s="254">
        <f>IF(D521="O",IF(X521&lt;0,X521,0),0)</f>
        <v>0</v>
      </c>
      <c r="Z521" s="254">
        <f>IF(B521="IND",N521,0)</f>
        <v>-1</v>
      </c>
      <c r="AA521" s="250">
        <f>IF(D521="O",IF(Z521&lt;0,Z521,0),0)</f>
        <v>0</v>
      </c>
      <c r="AB521" s="254">
        <f>IF(B521="CRYPTO",N521,0)</f>
        <v>0</v>
      </c>
      <c r="AC521" s="250">
        <f>IF(D521="O",IF(AB521&lt;0,AB521,0),0)</f>
        <v>0</v>
      </c>
      <c r="AD521" s="255">
        <f>IF(K521&lt;&gt;"",K521-E521,0)</f>
        <v>0.26875000000291038</v>
      </c>
      <c r="AE521" s="255">
        <f>IF(N521&gt;0,AD521,0)</f>
        <v>0</v>
      </c>
      <c r="AF521" s="255">
        <f>IF(N521&lt;0,AD521,0)</f>
        <v>0.26875000000291038</v>
      </c>
      <c r="AG521" s="255">
        <f>IF(N521=0,AD521,0)</f>
        <v>0</v>
      </c>
    </row>
    <row r="522" spans="2:33" ht="15" customHeight="1" x14ac:dyDescent="0.3">
      <c r="B522" s="196" t="s">
        <v>5</v>
      </c>
      <c r="C522" s="197" t="s">
        <v>13</v>
      </c>
      <c r="D522" s="246" t="str">
        <f>IF(E522&lt;&gt;"",IF(K522&lt;&gt;"","C","O"),"")</f>
        <v>C</v>
      </c>
      <c r="E522" s="199">
        <v>44691.145833333336</v>
      </c>
      <c r="F522" s="200" t="s">
        <v>91</v>
      </c>
      <c r="G522" s="235">
        <v>13286.6</v>
      </c>
      <c r="H522" s="235">
        <v>13344.57</v>
      </c>
      <c r="I522" s="247">
        <f>ABS(G522-H522)</f>
        <v>57.969999999999345</v>
      </c>
      <c r="J522" s="235">
        <v>12204.44</v>
      </c>
      <c r="K522" s="199">
        <v>44691.20416666667</v>
      </c>
      <c r="L522" s="235">
        <v>13344.57</v>
      </c>
      <c r="M522" s="248">
        <f>ROUND(IF(C522="L",(L522-G522),(G522-L522)),4)</f>
        <v>-57.97</v>
      </c>
      <c r="N522" s="249">
        <f>IFERROR(ROUND((M522/I522),2),"")</f>
        <v>-1</v>
      </c>
      <c r="O522" s="250">
        <f>IF(D522="O",IF(N522&lt;0,N522,0),0)</f>
        <v>0</v>
      </c>
      <c r="P522" s="251">
        <f>IF(N522&gt;= 0,N522,0)</f>
        <v>0</v>
      </c>
      <c r="Q522" s="251">
        <f>IF(N522&lt;0,N522,0)</f>
        <v>-1</v>
      </c>
      <c r="R5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28533</v>
      </c>
      <c r="T5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2" s="253">
        <f ca="1">IF(Tabla33610673[[#This Row],[Equity]]&lt;Tabla33610673[[#This Row],[Equity Peak]],(Tabla33610673[[#This Row],[Equity Peak]]-Tabla33610673[[#This Row],[Equity]])/Tabla33610673[[#This Row],[Equity Peak]],"")</f>
        <v>9.1045204039374342E-2</v>
      </c>
      <c r="V522" s="254">
        <f>IF(B522="FX",N522,0)</f>
        <v>0</v>
      </c>
      <c r="W522" s="254">
        <f>IF(D522="O",IF(V522&lt;0,V522,0),0)</f>
        <v>0</v>
      </c>
      <c r="X522" s="254">
        <f>IF(B522="COM",N522,0)</f>
        <v>0</v>
      </c>
      <c r="Y522" s="254">
        <f>IF(D522="O",IF(X522&lt;0,X522,0),0)</f>
        <v>0</v>
      </c>
      <c r="Z522" s="254">
        <f>IF(B522="IND",N522,0)</f>
        <v>-1</v>
      </c>
      <c r="AA522" s="250">
        <f>IF(D522="O",IF(Z522&lt;0,Z522,0),0)</f>
        <v>0</v>
      </c>
      <c r="AB522" s="254">
        <f>IF(B522="CRYPTO",N522,0)</f>
        <v>0</v>
      </c>
      <c r="AC522" s="250">
        <f>IF(D522="O",IF(AB522&lt;0,AB522,0),0)</f>
        <v>0</v>
      </c>
      <c r="AD522" s="255">
        <f>IF(K522&lt;&gt;"",K522-E522,0)</f>
        <v>5.8333333334303461E-2</v>
      </c>
      <c r="AE522" s="255">
        <f>IF(N522&gt;0,AD522,0)</f>
        <v>0</v>
      </c>
      <c r="AF522" s="255">
        <f>IF(N522&lt;0,AD522,0)</f>
        <v>5.8333333334303461E-2</v>
      </c>
      <c r="AG522" s="255">
        <f>IF(N522=0,AD522,0)</f>
        <v>0</v>
      </c>
    </row>
    <row r="523" spans="2:33" ht="15" customHeight="1" x14ac:dyDescent="0.3">
      <c r="B523" s="196" t="s">
        <v>5</v>
      </c>
      <c r="C523" s="197" t="s">
        <v>13</v>
      </c>
      <c r="D523" s="246" t="str">
        <f>IF(E523&lt;&gt;"",IF(K523&lt;&gt;"","C","O"),"")</f>
        <v>C</v>
      </c>
      <c r="E523" s="199">
        <v>44690.739583333336</v>
      </c>
      <c r="F523" s="200" t="s">
        <v>93</v>
      </c>
      <c r="G523" s="235">
        <v>12337.97</v>
      </c>
      <c r="H523" s="235">
        <v>12410.69</v>
      </c>
      <c r="I523" s="247">
        <f>ABS(G523-H523)</f>
        <v>72.720000000001164</v>
      </c>
      <c r="J523" s="235">
        <v>11562.25</v>
      </c>
      <c r="K523" s="199">
        <v>44690.804166666669</v>
      </c>
      <c r="L523" s="235">
        <v>12410.69</v>
      </c>
      <c r="M523" s="248">
        <f>ROUND(IF(C523="L",(L523-G523),(G523-L523)),4)</f>
        <v>-72.72</v>
      </c>
      <c r="N523" s="249">
        <f>IFERROR(ROUND((M523/I523),2),"")</f>
        <v>-1</v>
      </c>
      <c r="O523" s="250">
        <f>IF(D523="O",IF(N523&lt;0,N523,0),0)</f>
        <v>0</v>
      </c>
      <c r="P523" s="251">
        <f>IF(N523&gt;= 0,N523,0)</f>
        <v>0</v>
      </c>
      <c r="Q523" s="251">
        <f>IF(N523&lt;0,N523,0)</f>
        <v>-1</v>
      </c>
      <c r="R5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28633</v>
      </c>
      <c r="T5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3" s="253">
        <f ca="1">IF(Tabla33610673[[#This Row],[Equity]]&lt;Tabla33610673[[#This Row],[Equity Peak]],(Tabla33610673[[#This Row],[Equity Peak]]-Tabla33610673[[#This Row],[Equity]])/Tabla33610673[[#This Row],[Equity Peak]],"")</f>
        <v>8.7859577585932269E-2</v>
      </c>
      <c r="V523" s="254">
        <f>IF(B523="FX",N523,0)</f>
        <v>0</v>
      </c>
      <c r="W523" s="254">
        <f>IF(D523="O",IF(V523&lt;0,V523,0),0)</f>
        <v>0</v>
      </c>
      <c r="X523" s="254">
        <f>IF(B523="COM",N523,0)</f>
        <v>0</v>
      </c>
      <c r="Y523" s="254">
        <f>IF(D523="O",IF(X523&lt;0,X523,0),0)</f>
        <v>0</v>
      </c>
      <c r="Z523" s="254">
        <f>IF(B523="IND",N523,0)</f>
        <v>-1</v>
      </c>
      <c r="AA523" s="250">
        <f>IF(D523="O",IF(Z523&lt;0,Z523,0),0)</f>
        <v>0</v>
      </c>
      <c r="AB523" s="254">
        <f>IF(B523="CRYPTO",N523,0)</f>
        <v>0</v>
      </c>
      <c r="AC523" s="250">
        <f>IF(D523="O",IF(AB523&lt;0,AB523,0),0)</f>
        <v>0</v>
      </c>
      <c r="AD523" s="255">
        <f>IF(K523&lt;&gt;"",K523-E523,0)</f>
        <v>6.4583333332848269E-2</v>
      </c>
      <c r="AE523" s="255">
        <f>IF(N523&gt;0,AD523,0)</f>
        <v>0</v>
      </c>
      <c r="AF523" s="255">
        <f>IF(N523&lt;0,AD523,0)</f>
        <v>6.4583333332848269E-2</v>
      </c>
      <c r="AG523" s="255">
        <f>IF(N523=0,AD523,0)</f>
        <v>0</v>
      </c>
    </row>
    <row r="524" spans="2:33" ht="15" customHeight="1" x14ac:dyDescent="0.3">
      <c r="B524" s="196" t="s">
        <v>7</v>
      </c>
      <c r="C524" s="197" t="s">
        <v>13</v>
      </c>
      <c r="D524" s="246" t="str">
        <f>IF(E524&lt;&gt;"",IF(K524&lt;&gt;"","C","O"),"")</f>
        <v>C</v>
      </c>
      <c r="E524" s="199">
        <v>44690.770833333336</v>
      </c>
      <c r="F524" s="200" t="s">
        <v>115</v>
      </c>
      <c r="G524" s="235">
        <v>160.28399999999999</v>
      </c>
      <c r="H524" s="235">
        <v>160.941</v>
      </c>
      <c r="I524" s="247">
        <f>ABS(G524-H524)</f>
        <v>0.65700000000001069</v>
      </c>
      <c r="J524" s="235">
        <v>158.40700000000001</v>
      </c>
      <c r="K524" s="199">
        <v>44690.799305555556</v>
      </c>
      <c r="L524" s="235">
        <v>160.941</v>
      </c>
      <c r="M524" s="248">
        <f>ROUND(IF(C524="L",(L524-G524),(G524-L524)),4)</f>
        <v>-0.65700000000000003</v>
      </c>
      <c r="N524" s="249">
        <f>IFERROR(ROUND((M524/I524),2),"")</f>
        <v>-1</v>
      </c>
      <c r="O524" s="250">
        <f>IF(D524="O",IF(N524&lt;0,N524,0),0)</f>
        <v>0</v>
      </c>
      <c r="P524" s="251">
        <f>IF(N524&gt;= 0,N524,0)</f>
        <v>0</v>
      </c>
      <c r="Q524" s="251">
        <f>IF(N524&lt;0,N524,0)</f>
        <v>-1</v>
      </c>
      <c r="R5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28733</v>
      </c>
      <c r="T5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4" s="253">
        <f ca="1">IF(Tabla33610673[[#This Row],[Equity]]&lt;Tabla33610673[[#This Row],[Equity Peak]],(Tabla33610673[[#This Row],[Equity Peak]]-Tabla33610673[[#This Row],[Equity]])/Tabla33610673[[#This Row],[Equity Peak]],"")</f>
        <v>8.4673951132490211E-2</v>
      </c>
      <c r="V524" s="254">
        <f>IF(B524="FX",N524,0)</f>
        <v>-1</v>
      </c>
      <c r="W524" s="254">
        <f>IF(D524="O",IF(V524&lt;0,V524,0),0)</f>
        <v>0</v>
      </c>
      <c r="X524" s="254">
        <f>IF(B524="COM",N524,0)</f>
        <v>0</v>
      </c>
      <c r="Y524" s="254">
        <f>IF(D524="O",IF(X524&lt;0,X524,0),0)</f>
        <v>0</v>
      </c>
      <c r="Z524" s="254">
        <f>IF(B524="IND",N524,0)</f>
        <v>0</v>
      </c>
      <c r="AA524" s="250">
        <f>IF(D524="O",IF(Z524&lt;0,Z524,0),0)</f>
        <v>0</v>
      </c>
      <c r="AB524" s="254">
        <f>IF(B524="CRYPTO",N524,0)</f>
        <v>0</v>
      </c>
      <c r="AC524" s="250">
        <f>IF(D524="O",IF(AB524&lt;0,AB524,0),0)</f>
        <v>0</v>
      </c>
      <c r="AD524" s="255">
        <f>IF(K524&lt;&gt;"",K524-E524,0)</f>
        <v>2.8472222220443655E-2</v>
      </c>
      <c r="AE524" s="255">
        <f>IF(N524&gt;0,AD524,0)</f>
        <v>0</v>
      </c>
      <c r="AF524" s="255">
        <f>IF(N524&lt;0,AD524,0)</f>
        <v>2.8472222220443655E-2</v>
      </c>
      <c r="AG524" s="255">
        <f>IF(N524=0,AD524,0)</f>
        <v>0</v>
      </c>
    </row>
    <row r="525" spans="2:33" ht="15" customHeight="1" x14ac:dyDescent="0.3">
      <c r="B525" s="196" t="s">
        <v>5</v>
      </c>
      <c r="C525" s="197" t="s">
        <v>13</v>
      </c>
      <c r="D525" s="246" t="str">
        <f>IF(E525&lt;&gt;"",IF(K525&lt;&gt;"","C","O"),"")</f>
        <v>C</v>
      </c>
      <c r="E525" s="199">
        <v>44690.770833333336</v>
      </c>
      <c r="F525" s="200" t="s">
        <v>91</v>
      </c>
      <c r="G525" s="235">
        <v>13381.33</v>
      </c>
      <c r="H525" s="235">
        <v>13436.98</v>
      </c>
      <c r="I525" s="247">
        <f>ABS(G525-H525)</f>
        <v>55.649999999999636</v>
      </c>
      <c r="J525" s="235">
        <v>12342.51</v>
      </c>
      <c r="K525" s="199">
        <v>44690.786805555559</v>
      </c>
      <c r="L525" s="235">
        <v>13436.98</v>
      </c>
      <c r="M525" s="248">
        <f>ROUND(IF(C525="L",(L525-G525),(G525-L525)),4)</f>
        <v>-55.65</v>
      </c>
      <c r="N525" s="249">
        <f>IFERROR(ROUND((M525/I525),2),"")</f>
        <v>-1</v>
      </c>
      <c r="O525" s="250">
        <f>IF(D525="O",IF(N525&lt;0,N525,0),0)</f>
        <v>0</v>
      </c>
      <c r="P525" s="251">
        <f>IF(N525&gt;= 0,N525,0)</f>
        <v>0</v>
      </c>
      <c r="Q525" s="251">
        <f>IF(N525&lt;0,N525,0)</f>
        <v>-1</v>
      </c>
      <c r="R5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28833</v>
      </c>
      <c r="T5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5" s="253">
        <f ca="1">IF(Tabla33610673[[#This Row],[Equity]]&lt;Tabla33610673[[#This Row],[Equity Peak]],(Tabla33610673[[#This Row],[Equity Peak]]-Tabla33610673[[#This Row],[Equity]])/Tabla33610673[[#This Row],[Equity Peak]],"")</f>
        <v>8.1488324679048138E-2</v>
      </c>
      <c r="V525" s="254">
        <f>IF(B525="FX",N525,0)</f>
        <v>0</v>
      </c>
      <c r="W525" s="254">
        <f>IF(D525="O",IF(V525&lt;0,V525,0),0)</f>
        <v>0</v>
      </c>
      <c r="X525" s="254">
        <f>IF(B525="COM",N525,0)</f>
        <v>0</v>
      </c>
      <c r="Y525" s="254">
        <f>IF(D525="O",IF(X525&lt;0,X525,0),0)</f>
        <v>0</v>
      </c>
      <c r="Z525" s="254">
        <f>IF(B525="IND",N525,0)</f>
        <v>-1</v>
      </c>
      <c r="AA525" s="250">
        <f>IF(D525="O",IF(Z525&lt;0,Z525,0),0)</f>
        <v>0</v>
      </c>
      <c r="AB525" s="254">
        <f>IF(B525="CRYPTO",N525,0)</f>
        <v>0</v>
      </c>
      <c r="AC525" s="250">
        <f>IF(D525="O",IF(AB525&lt;0,AB525,0),0)</f>
        <v>0</v>
      </c>
      <c r="AD525" s="255">
        <f>IF(K525&lt;&gt;"",K525-E525,0)</f>
        <v>1.5972222223354038E-2</v>
      </c>
      <c r="AE525" s="255">
        <f>IF(N525&gt;0,AD525,0)</f>
        <v>0</v>
      </c>
      <c r="AF525" s="255">
        <f>IF(N525&lt;0,AD525,0)</f>
        <v>1.5972222223354038E-2</v>
      </c>
      <c r="AG525" s="255">
        <f>IF(N525=0,AD525,0)</f>
        <v>0</v>
      </c>
    </row>
    <row r="526" spans="2:33" ht="15" customHeight="1" x14ac:dyDescent="0.3">
      <c r="B526" s="196" t="s">
        <v>5</v>
      </c>
      <c r="C526" s="197" t="s">
        <v>13</v>
      </c>
      <c r="D526" s="246" t="str">
        <f>IF(E526&lt;&gt;"",IF(K526&lt;&gt;"","C","O"),"")</f>
        <v>C</v>
      </c>
      <c r="E526" s="199">
        <v>44690.479166666664</v>
      </c>
      <c r="F526" s="200" t="s">
        <v>93</v>
      </c>
      <c r="G526" s="235">
        <v>12496.24</v>
      </c>
      <c r="H526" s="235">
        <v>12576.85</v>
      </c>
      <c r="I526" s="247">
        <f>ABS(G526-H526)</f>
        <v>80.610000000000582</v>
      </c>
      <c r="J526" s="235">
        <v>11636.39</v>
      </c>
      <c r="K526" s="199">
        <v>44690.693055555559</v>
      </c>
      <c r="L526" s="235">
        <v>12539.33</v>
      </c>
      <c r="M526" s="248">
        <f>ROUND(IF(C526="L",(L526-G526),(G526-L526)),4)</f>
        <v>-43.09</v>
      </c>
      <c r="N526" s="249">
        <f>IFERROR(ROUND((M526/I526),2),"")</f>
        <v>-0.53</v>
      </c>
      <c r="O526" s="250">
        <f>IF(D526="O",IF(N526&lt;0,N526,0),0)</f>
        <v>0</v>
      </c>
      <c r="P526" s="251">
        <f>IF(N526&gt;= 0,N526,0)</f>
        <v>0</v>
      </c>
      <c r="Q526" s="251">
        <f>IF(N526&lt;0,N526,0)</f>
        <v>-0.53</v>
      </c>
      <c r="R5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28933</v>
      </c>
      <c r="T5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6" s="253">
        <f ca="1">IF(Tabla33610673[[#This Row],[Equity]]&lt;Tabla33610673[[#This Row],[Equity Peak]],(Tabla33610673[[#This Row],[Equity Peak]]-Tabla33610673[[#This Row],[Equity]])/Tabla33610673[[#This Row],[Equity Peak]],"")</f>
        <v>7.8302698225606066E-2</v>
      </c>
      <c r="V526" s="254">
        <f>IF(B526="FX",N526,0)</f>
        <v>0</v>
      </c>
      <c r="W526" s="254">
        <f>IF(D526="O",IF(V526&lt;0,V526,0),0)</f>
        <v>0</v>
      </c>
      <c r="X526" s="254">
        <f>IF(B526="COM",N526,0)</f>
        <v>0</v>
      </c>
      <c r="Y526" s="254">
        <f>IF(D526="O",IF(X526&lt;0,X526,0),0)</f>
        <v>0</v>
      </c>
      <c r="Z526" s="254">
        <f>IF(B526="IND",N526,0)</f>
        <v>-0.53</v>
      </c>
      <c r="AA526" s="250">
        <f>IF(D526="O",IF(Z526&lt;0,Z526,0),0)</f>
        <v>0</v>
      </c>
      <c r="AB526" s="254">
        <f>IF(B526="CRYPTO",N526,0)</f>
        <v>0</v>
      </c>
      <c r="AC526" s="250">
        <f>IF(D526="O",IF(AB526&lt;0,AB526,0),0)</f>
        <v>0</v>
      </c>
      <c r="AD526" s="255">
        <f>IF(K526&lt;&gt;"",K526-E526,0)</f>
        <v>0.21388888889487134</v>
      </c>
      <c r="AE526" s="255">
        <f>IF(N526&gt;0,AD526,0)</f>
        <v>0</v>
      </c>
      <c r="AF526" s="255">
        <f>IF(N526&lt;0,AD526,0)</f>
        <v>0.21388888889487134</v>
      </c>
      <c r="AG526" s="255">
        <f>IF(N526=0,AD526,0)</f>
        <v>0</v>
      </c>
    </row>
    <row r="527" spans="2:33" ht="15" customHeight="1" x14ac:dyDescent="0.3">
      <c r="B527" s="196" t="s">
        <v>7</v>
      </c>
      <c r="C527" s="197" t="s">
        <v>15</v>
      </c>
      <c r="D527" s="246" t="str">
        <f>IF(E527&lt;&gt;"",IF(K527&lt;&gt;"","C","O"),"")</f>
        <v>C</v>
      </c>
      <c r="E527" s="199">
        <v>44690.5625</v>
      </c>
      <c r="F527" s="200" t="s">
        <v>115</v>
      </c>
      <c r="G527" s="235">
        <v>161.63399999999999</v>
      </c>
      <c r="H527" s="235">
        <v>161.036</v>
      </c>
      <c r="I527" s="247">
        <f>ABS(G527-H527)</f>
        <v>0.59799999999998477</v>
      </c>
      <c r="J527" s="235">
        <v>163.34299999999999</v>
      </c>
      <c r="K527" s="199">
        <v>44690.689583333333</v>
      </c>
      <c r="L527" s="235">
        <v>161.328</v>
      </c>
      <c r="M527" s="248">
        <f>ROUND(IF(C527="L",(L527-G527),(G527-L527)),4)</f>
        <v>-0.30599999999999999</v>
      </c>
      <c r="N527" s="249">
        <f>IFERROR(ROUND((M527/I527),2),"")</f>
        <v>-0.51</v>
      </c>
      <c r="O527" s="250">
        <f>IF(D527="O",IF(N527&lt;0,N527,0),0)</f>
        <v>0</v>
      </c>
      <c r="P527" s="251">
        <f>IF(N527&gt;= 0,N527,0)</f>
        <v>0</v>
      </c>
      <c r="Q527" s="251">
        <f>IF(N527&lt;0,N527,0)</f>
        <v>-0.51</v>
      </c>
      <c r="R5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28986</v>
      </c>
      <c r="T5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7" s="253">
        <f ca="1">IF(Tabla33610673[[#This Row],[Equity]]&lt;Tabla33610673[[#This Row],[Equity Peak]],(Tabla33610673[[#This Row],[Equity Peak]]-Tabla33610673[[#This Row],[Equity]])/Tabla33610673[[#This Row],[Equity Peak]],"")</f>
        <v>7.6614316205281766E-2</v>
      </c>
      <c r="V527" s="254">
        <f>IF(B527="FX",N527,0)</f>
        <v>-0.51</v>
      </c>
      <c r="W527" s="254">
        <f>IF(D527="O",IF(V527&lt;0,V527,0),0)</f>
        <v>0</v>
      </c>
      <c r="X527" s="254">
        <f>IF(B527="COM",N527,0)</f>
        <v>0</v>
      </c>
      <c r="Y527" s="254">
        <f>IF(D527="O",IF(X527&lt;0,X527,0),0)</f>
        <v>0</v>
      </c>
      <c r="Z527" s="254">
        <f>IF(B527="IND",N527,0)</f>
        <v>0</v>
      </c>
      <c r="AA527" s="250">
        <f>IF(D527="O",IF(Z527&lt;0,Z527,0),0)</f>
        <v>0</v>
      </c>
      <c r="AB527" s="254">
        <f>IF(B527="CRYPTO",N527,0)</f>
        <v>0</v>
      </c>
      <c r="AC527" s="250">
        <f>IF(D527="O",IF(AB527&lt;0,AB527,0),0)</f>
        <v>0</v>
      </c>
      <c r="AD527" s="255">
        <f>IF(K527&lt;&gt;"",K527-E527,0)</f>
        <v>0.12708333333284827</v>
      </c>
      <c r="AE527" s="255">
        <f>IF(N527&gt;0,AD527,0)</f>
        <v>0</v>
      </c>
      <c r="AF527" s="255">
        <f>IF(N527&lt;0,AD527,0)</f>
        <v>0.12708333333284827</v>
      </c>
      <c r="AG527" s="255">
        <f>IF(N527=0,AD527,0)</f>
        <v>0</v>
      </c>
    </row>
    <row r="528" spans="2:33" ht="15" customHeight="1" x14ac:dyDescent="0.3">
      <c r="B528" s="196" t="s">
        <v>5</v>
      </c>
      <c r="C528" s="197" t="s">
        <v>13</v>
      </c>
      <c r="D528" s="246" t="str">
        <f>IF(E528&lt;&gt;"",IF(K528&lt;&gt;"","C","O"),"")</f>
        <v>C</v>
      </c>
      <c r="E528" s="199">
        <v>44690.572916666664</v>
      </c>
      <c r="F528" s="200" t="s">
        <v>91</v>
      </c>
      <c r="G528" s="235">
        <v>13423.33</v>
      </c>
      <c r="H528" s="235">
        <v>13475.72</v>
      </c>
      <c r="I528" s="247">
        <f>ABS(G528-H528)</f>
        <v>52.389999999999418</v>
      </c>
      <c r="J528" s="235">
        <v>12445.38</v>
      </c>
      <c r="K528" s="199">
        <v>44690.623611111114</v>
      </c>
      <c r="L528" s="235">
        <v>13475.72</v>
      </c>
      <c r="M528" s="248">
        <f>ROUND(IF(C528="L",(L528-G528),(G528-L528)),4)</f>
        <v>-52.39</v>
      </c>
      <c r="N528" s="249">
        <f>IFERROR(ROUND((M528/I528),2),"")</f>
        <v>-1</v>
      </c>
      <c r="O528" s="250">
        <f>IF(D528="O",IF(N528&lt;0,N528,0),0)</f>
        <v>0</v>
      </c>
      <c r="P528" s="251">
        <f>IF(N528&gt;= 0,N528,0)</f>
        <v>0</v>
      </c>
      <c r="Q528" s="251">
        <f>IF(N528&lt;0,N528,0)</f>
        <v>-1</v>
      </c>
      <c r="R5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29037</v>
      </c>
      <c r="T5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8" s="253">
        <f ca="1">IF(Tabla33610673[[#This Row],[Equity]]&lt;Tabla33610673[[#This Row],[Equity Peak]],(Tabla33610673[[#This Row],[Equity Peak]]-Tabla33610673[[#This Row],[Equity]])/Tabla33610673[[#This Row],[Equity Peak]],"")</f>
        <v>7.4989646714026317E-2</v>
      </c>
      <c r="V528" s="254">
        <f>IF(B528="FX",N528,0)</f>
        <v>0</v>
      </c>
      <c r="W528" s="254">
        <f>IF(D528="O",IF(V528&lt;0,V528,0),0)</f>
        <v>0</v>
      </c>
      <c r="X528" s="254">
        <f>IF(B528="COM",N528,0)</f>
        <v>0</v>
      </c>
      <c r="Y528" s="254">
        <f>IF(D528="O",IF(X528&lt;0,X528,0),0)</f>
        <v>0</v>
      </c>
      <c r="Z528" s="254">
        <f>IF(B528="IND",N528,0)</f>
        <v>-1</v>
      </c>
      <c r="AA528" s="250">
        <f>IF(D528="O",IF(Z528&lt;0,Z528,0),0)</f>
        <v>0</v>
      </c>
      <c r="AB528" s="254">
        <f>IF(B528="CRYPTO",N528,0)</f>
        <v>0</v>
      </c>
      <c r="AC528" s="250">
        <f>IF(D528="O",IF(AB528&lt;0,AB528,0),0)</f>
        <v>0</v>
      </c>
      <c r="AD528" s="255">
        <f>IF(K528&lt;&gt;"",K528-E528,0)</f>
        <v>5.0694444449618459E-2</v>
      </c>
      <c r="AE528" s="255">
        <f>IF(N528&gt;0,AD528,0)</f>
        <v>0</v>
      </c>
      <c r="AF528" s="255">
        <f>IF(N528&lt;0,AD528,0)</f>
        <v>5.0694444449618459E-2</v>
      </c>
      <c r="AG528" s="255">
        <f>IF(N528=0,AD528,0)</f>
        <v>0</v>
      </c>
    </row>
    <row r="529" spans="2:33" ht="15" customHeight="1" x14ac:dyDescent="0.3">
      <c r="B529" s="196" t="s">
        <v>7</v>
      </c>
      <c r="C529" s="197" t="s">
        <v>15</v>
      </c>
      <c r="D529" s="246" t="str">
        <f>IF(E529&lt;&gt;"",IF(K529&lt;&gt;"","C","O"),"")</f>
        <v>C</v>
      </c>
      <c r="E529" s="199">
        <v>44690.416666666664</v>
      </c>
      <c r="F529" s="200" t="s">
        <v>116</v>
      </c>
      <c r="G529" s="235">
        <v>131.27699999999999</v>
      </c>
      <c r="H529" s="235">
        <v>131.024</v>
      </c>
      <c r="I529" s="247">
        <f>ABS(G529-H529)</f>
        <v>0.2529999999999859</v>
      </c>
      <c r="J529" s="235">
        <v>133.904</v>
      </c>
      <c r="K529" s="199">
        <v>44690.609722222223</v>
      </c>
      <c r="L529" s="235">
        <v>131.024</v>
      </c>
      <c r="M529" s="248">
        <f>ROUND(IF(C529="L",(L529-G529),(G529-L529)),4)</f>
        <v>-0.253</v>
      </c>
      <c r="N529" s="249">
        <f>IFERROR(ROUND((M529/I529),2),"")</f>
        <v>-1</v>
      </c>
      <c r="O529" s="250">
        <f>IF(D529="O",IF(N529&lt;0,N529,0),0)</f>
        <v>0</v>
      </c>
      <c r="P529" s="251">
        <f>IF(N529&gt;= 0,N529,0)</f>
        <v>0</v>
      </c>
      <c r="Q529" s="251">
        <f>IF(N529&lt;0,N529,0)</f>
        <v>-1</v>
      </c>
      <c r="R5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29137</v>
      </c>
      <c r="T5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29" s="253">
        <f ca="1">IF(Tabla33610673[[#This Row],[Equity]]&lt;Tabla33610673[[#This Row],[Equity Peak]],(Tabla33610673[[#This Row],[Equity Peak]]-Tabla33610673[[#This Row],[Equity]])/Tabla33610673[[#This Row],[Equity Peak]],"")</f>
        <v>7.1804020260584245E-2</v>
      </c>
      <c r="V529" s="254">
        <f>IF(B529="FX",N529,0)</f>
        <v>-1</v>
      </c>
      <c r="W529" s="254">
        <f>IF(D529="O",IF(V529&lt;0,V529,0),0)</f>
        <v>0</v>
      </c>
      <c r="X529" s="254">
        <f>IF(B529="COM",N529,0)</f>
        <v>0</v>
      </c>
      <c r="Y529" s="254">
        <f>IF(D529="O",IF(X529&lt;0,X529,0),0)</f>
        <v>0</v>
      </c>
      <c r="Z529" s="254">
        <f>IF(B529="IND",N529,0)</f>
        <v>0</v>
      </c>
      <c r="AA529" s="250">
        <f>IF(D529="O",IF(Z529&lt;0,Z529,0),0)</f>
        <v>0</v>
      </c>
      <c r="AB529" s="254">
        <f>IF(B529="CRYPTO",N529,0)</f>
        <v>0</v>
      </c>
      <c r="AC529" s="250">
        <f>IF(D529="O",IF(AB529&lt;0,AB529,0),0)</f>
        <v>0</v>
      </c>
      <c r="AD529" s="255">
        <f>IF(K529&lt;&gt;"",K529-E529,0)</f>
        <v>0.19305555555911269</v>
      </c>
      <c r="AE529" s="255">
        <f>IF(N529&gt;0,AD529,0)</f>
        <v>0</v>
      </c>
      <c r="AF529" s="255">
        <f>IF(N529&lt;0,AD529,0)</f>
        <v>0.19305555555911269</v>
      </c>
      <c r="AG529" s="255">
        <f>IF(N529=0,AD529,0)</f>
        <v>0</v>
      </c>
    </row>
    <row r="530" spans="2:33" ht="15" customHeight="1" x14ac:dyDescent="0.3">
      <c r="B530" s="196" t="s">
        <v>5</v>
      </c>
      <c r="C530" s="197" t="s">
        <v>13</v>
      </c>
      <c r="D530" s="246" t="str">
        <f>IF(E530&lt;&gt;"",IF(K530&lt;&gt;"","C","O"),"")</f>
        <v>C</v>
      </c>
      <c r="E530" s="199">
        <v>44690.145833333336</v>
      </c>
      <c r="F530" s="200" t="s">
        <v>91</v>
      </c>
      <c r="G530" s="235">
        <v>13520.58</v>
      </c>
      <c r="H530" s="235">
        <v>13572.75</v>
      </c>
      <c r="I530" s="247">
        <f>ABS(G530-H530)</f>
        <v>52.170000000000073</v>
      </c>
      <c r="J530" s="235">
        <v>12546.72</v>
      </c>
      <c r="K530" s="199">
        <v>44690.397222222222</v>
      </c>
      <c r="L530" s="235">
        <v>13568.25</v>
      </c>
      <c r="M530" s="248">
        <f>ROUND(IF(C530="L",(L530-G530),(G530-L530)),4)</f>
        <v>-47.67</v>
      </c>
      <c r="N530" s="249">
        <f>IFERROR(ROUND((M530/I530),2),"")</f>
        <v>-0.91</v>
      </c>
      <c r="O530" s="250">
        <f>IF(D530="O",IF(N530&lt;0,N530,0),0)</f>
        <v>0</v>
      </c>
      <c r="P530" s="251">
        <f>IF(N530&gt;= 0,N530,0)</f>
        <v>0</v>
      </c>
      <c r="Q530" s="251">
        <f>IF(N530&lt;0,N530,0)</f>
        <v>-0.91</v>
      </c>
      <c r="R5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29237</v>
      </c>
      <c r="T5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0" s="253">
        <f ca="1">IF(Tabla33610673[[#This Row],[Equity]]&lt;Tabla33610673[[#This Row],[Equity Peak]],(Tabla33610673[[#This Row],[Equity Peak]]-Tabla33610673[[#This Row],[Equity]])/Tabla33610673[[#This Row],[Equity Peak]],"")</f>
        <v>6.8618393807142172E-2</v>
      </c>
      <c r="V530" s="254">
        <f>IF(B530="FX",N530,0)</f>
        <v>0</v>
      </c>
      <c r="W530" s="254">
        <f>IF(D530="O",IF(V530&lt;0,V530,0),0)</f>
        <v>0</v>
      </c>
      <c r="X530" s="254">
        <f>IF(B530="COM",N530,0)</f>
        <v>0</v>
      </c>
      <c r="Y530" s="254">
        <f>IF(D530="O",IF(X530&lt;0,X530,0),0)</f>
        <v>0</v>
      </c>
      <c r="Z530" s="254">
        <f>IF(B530="IND",N530,0)</f>
        <v>-0.91</v>
      </c>
      <c r="AA530" s="250">
        <f>IF(D530="O",IF(Z530&lt;0,Z530,0),0)</f>
        <v>0</v>
      </c>
      <c r="AB530" s="254">
        <f>IF(B530="CRYPTO",N530,0)</f>
        <v>0</v>
      </c>
      <c r="AC530" s="250">
        <f>IF(D530="O",IF(AB530&lt;0,AB530,0),0)</f>
        <v>0</v>
      </c>
      <c r="AD530" s="255">
        <f>IF(K530&lt;&gt;"",K530-E530,0)</f>
        <v>0.25138888888614019</v>
      </c>
      <c r="AE530" s="255">
        <f>IF(N530&gt;0,AD530,0)</f>
        <v>0</v>
      </c>
      <c r="AF530" s="255">
        <f>IF(N530&lt;0,AD530,0)</f>
        <v>0.25138888888614019</v>
      </c>
      <c r="AG530" s="255">
        <f>IF(N530=0,AD530,0)</f>
        <v>0</v>
      </c>
    </row>
    <row r="531" spans="2:33" ht="15" customHeight="1" x14ac:dyDescent="0.3">
      <c r="B531" s="196" t="s">
        <v>5</v>
      </c>
      <c r="C531" s="197" t="s">
        <v>13</v>
      </c>
      <c r="D531" s="246" t="str">
        <f>IF(E531&lt;&gt;"",IF(K531&lt;&gt;"","C","O"),"")</f>
        <v>C</v>
      </c>
      <c r="E531" s="199">
        <v>44687.697916666664</v>
      </c>
      <c r="F531" s="200" t="s">
        <v>91</v>
      </c>
      <c r="G531" s="235">
        <v>13611.9</v>
      </c>
      <c r="H531" s="235">
        <v>13660.2</v>
      </c>
      <c r="I531" s="247">
        <f>ABS(G531-H531)</f>
        <v>48.300000000001091</v>
      </c>
      <c r="J531" s="235">
        <v>12710.37</v>
      </c>
      <c r="K531" s="199">
        <v>44687.720138888886</v>
      </c>
      <c r="L531" s="235">
        <v>13660.2</v>
      </c>
      <c r="M531" s="248">
        <f>ROUND(IF(C531="L",(L531-G531),(G531-L531)),4)</f>
        <v>-48.3</v>
      </c>
      <c r="N531" s="249">
        <f>IFERROR(ROUND((M531/I531),2),"")</f>
        <v>-1</v>
      </c>
      <c r="O531" s="250">
        <f>IF(D531="O",IF(N531&lt;0,N531,0),0)</f>
        <v>0</v>
      </c>
      <c r="P531" s="251">
        <f>IF(N531&gt;= 0,N531,0)</f>
        <v>0</v>
      </c>
      <c r="Q531" s="251">
        <f>IF(N531&lt;0,N531,0)</f>
        <v>-1</v>
      </c>
      <c r="R5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29328</v>
      </c>
      <c r="T5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1" s="253">
        <f ca="1">IF(Tabla33610673[[#This Row],[Equity]]&lt;Tabla33610673[[#This Row],[Equity Peak]],(Tabla33610673[[#This Row],[Equity Peak]]-Tabla33610673[[#This Row],[Equity]])/Tabla33610673[[#This Row],[Equity Peak]],"")</f>
        <v>6.5719473734509898E-2</v>
      </c>
      <c r="V531" s="254">
        <f>IF(B531="FX",N531,0)</f>
        <v>0</v>
      </c>
      <c r="W531" s="254">
        <f>IF(D531="O",IF(V531&lt;0,V531,0),0)</f>
        <v>0</v>
      </c>
      <c r="X531" s="254">
        <f>IF(B531="COM",N531,0)</f>
        <v>0</v>
      </c>
      <c r="Y531" s="254">
        <f>IF(D531="O",IF(X531&lt;0,X531,0),0)</f>
        <v>0</v>
      </c>
      <c r="Z531" s="254">
        <f>IF(B531="IND",N531,0)</f>
        <v>-1</v>
      </c>
      <c r="AA531" s="250">
        <f>IF(D531="O",IF(Z531&lt;0,Z531,0),0)</f>
        <v>0</v>
      </c>
      <c r="AB531" s="254">
        <f>IF(B531="CRYPTO",N531,0)</f>
        <v>0</v>
      </c>
      <c r="AC531" s="250">
        <f>IF(D531="O",IF(AB531&lt;0,AB531,0),0)</f>
        <v>0</v>
      </c>
      <c r="AD531" s="255">
        <f>IF(K531&lt;&gt;"",K531-E531,0)</f>
        <v>2.2222222221898846E-2</v>
      </c>
      <c r="AE531" s="255">
        <f>IF(N531&gt;0,AD531,0)</f>
        <v>0</v>
      </c>
      <c r="AF531" s="255">
        <f>IF(N531&lt;0,AD531,0)</f>
        <v>2.2222222221898846E-2</v>
      </c>
      <c r="AG531" s="255">
        <f>IF(N531=0,AD531,0)</f>
        <v>0</v>
      </c>
    </row>
    <row r="532" spans="2:33" ht="15" customHeight="1" x14ac:dyDescent="0.3">
      <c r="B532" s="196" t="s">
        <v>5</v>
      </c>
      <c r="C532" s="197" t="s">
        <v>13</v>
      </c>
      <c r="D532" s="246" t="str">
        <f>IF(E532&lt;&gt;"",IF(K532&lt;&gt;"","C","O"),"")</f>
        <v>C</v>
      </c>
      <c r="E532" s="199">
        <v>44687.697916666664</v>
      </c>
      <c r="F532" s="200" t="s">
        <v>92</v>
      </c>
      <c r="G532" s="235">
        <v>12594.13</v>
      </c>
      <c r="H532" s="235">
        <v>12657.39</v>
      </c>
      <c r="I532" s="247">
        <f>ABS(G532-H532)</f>
        <v>63.260000000000218</v>
      </c>
      <c r="J532" s="235">
        <v>11413.31</v>
      </c>
      <c r="K532" s="199">
        <v>44687.713888888888</v>
      </c>
      <c r="L532" s="235">
        <v>12657.39</v>
      </c>
      <c r="M532" s="248">
        <f>ROUND(IF(C532="L",(L532-G532),(G532-L532)),4)</f>
        <v>-63.26</v>
      </c>
      <c r="N532" s="249">
        <f>IFERROR(ROUND((M532/I532),2),"")</f>
        <v>-1</v>
      </c>
      <c r="O532" s="250">
        <f>IF(D532="O",IF(N532&lt;0,N532,0),0)</f>
        <v>0</v>
      </c>
      <c r="P532" s="251">
        <f>IF(N532&gt;= 0,N532,0)</f>
        <v>0</v>
      </c>
      <c r="Q532" s="251">
        <f>IF(N532&lt;0,N532,0)</f>
        <v>-1</v>
      </c>
      <c r="R5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29428</v>
      </c>
      <c r="T5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2" s="253">
        <f ca="1">IF(Tabla33610673[[#This Row],[Equity]]&lt;Tabla33610673[[#This Row],[Equity Peak]],(Tabla33610673[[#This Row],[Equity Peak]]-Tabla33610673[[#This Row],[Equity]])/Tabla33610673[[#This Row],[Equity Peak]],"")</f>
        <v>6.2533847281067825E-2</v>
      </c>
      <c r="V532" s="254">
        <f>IF(B532="FX",N532,0)</f>
        <v>0</v>
      </c>
      <c r="W532" s="254">
        <f>IF(D532="O",IF(V532&lt;0,V532,0),0)</f>
        <v>0</v>
      </c>
      <c r="X532" s="254">
        <f>IF(B532="COM",N532,0)</f>
        <v>0</v>
      </c>
      <c r="Y532" s="254">
        <f>IF(D532="O",IF(X532&lt;0,X532,0),0)</f>
        <v>0</v>
      </c>
      <c r="Z532" s="254">
        <f>IF(B532="IND",N532,0)</f>
        <v>-1</v>
      </c>
      <c r="AA532" s="250">
        <f>IF(D532="O",IF(Z532&lt;0,Z532,0),0)</f>
        <v>0</v>
      </c>
      <c r="AB532" s="254">
        <f>IF(B532="CRYPTO",N532,0)</f>
        <v>0</v>
      </c>
      <c r="AC532" s="250">
        <f>IF(D532="O",IF(AB532&lt;0,AB532,0),0)</f>
        <v>0</v>
      </c>
      <c r="AD532" s="255">
        <f>IF(K532&lt;&gt;"",K532-E532,0)</f>
        <v>1.5972222223354038E-2</v>
      </c>
      <c r="AE532" s="255">
        <f>IF(N532&gt;0,AD532,0)</f>
        <v>0</v>
      </c>
      <c r="AF532" s="255">
        <f>IF(N532&lt;0,AD532,0)</f>
        <v>1.5972222223354038E-2</v>
      </c>
      <c r="AG532" s="255">
        <f>IF(N532=0,AD532,0)</f>
        <v>0</v>
      </c>
    </row>
    <row r="533" spans="2:33" ht="15" customHeight="1" x14ac:dyDescent="0.3">
      <c r="B533" s="196" t="s">
        <v>5</v>
      </c>
      <c r="C533" s="197" t="s">
        <v>13</v>
      </c>
      <c r="D533" s="246" t="str">
        <f>IF(E533&lt;&gt;"",IF(K533&lt;&gt;"","C","O"),"")</f>
        <v>C</v>
      </c>
      <c r="E533" s="199">
        <v>44687.697916666664</v>
      </c>
      <c r="F533" s="200" t="s">
        <v>93</v>
      </c>
      <c r="G533" s="235">
        <v>12594.13</v>
      </c>
      <c r="H533" s="235">
        <v>12665.32</v>
      </c>
      <c r="I533" s="247">
        <f>ABS(G533-H533)</f>
        <v>71.190000000000509</v>
      </c>
      <c r="J533" s="235">
        <v>11834.73</v>
      </c>
      <c r="K533" s="199">
        <v>44687.713888888888</v>
      </c>
      <c r="L533" s="235">
        <v>12665.32</v>
      </c>
      <c r="M533" s="248">
        <f>ROUND(IF(C533="L",(L533-G533),(G533-L533)),4)</f>
        <v>-71.19</v>
      </c>
      <c r="N533" s="249">
        <f>IFERROR(ROUND((M533/I533),2),"")</f>
        <v>-1</v>
      </c>
      <c r="O533" s="250">
        <f>IF(D533="O",IF(N533&lt;0,N533,0),0)</f>
        <v>0</v>
      </c>
      <c r="P533" s="251">
        <f>IF(N533&gt;= 0,N533,0)</f>
        <v>0</v>
      </c>
      <c r="Q533" s="251">
        <f>IF(N533&lt;0,N533,0)</f>
        <v>-1</v>
      </c>
      <c r="R5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29528</v>
      </c>
      <c r="T5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3" s="253">
        <f ca="1">IF(Tabla33610673[[#This Row],[Equity]]&lt;Tabla33610673[[#This Row],[Equity Peak]],(Tabla33610673[[#This Row],[Equity Peak]]-Tabla33610673[[#This Row],[Equity]])/Tabla33610673[[#This Row],[Equity Peak]],"")</f>
        <v>5.9348220827625753E-2</v>
      </c>
      <c r="V533" s="254">
        <f>IF(B533="FX",N533,0)</f>
        <v>0</v>
      </c>
      <c r="W533" s="254">
        <f>IF(D533="O",IF(V533&lt;0,V533,0),0)</f>
        <v>0</v>
      </c>
      <c r="X533" s="254">
        <f>IF(B533="COM",N533,0)</f>
        <v>0</v>
      </c>
      <c r="Y533" s="254">
        <f>IF(D533="O",IF(X533&lt;0,X533,0),0)</f>
        <v>0</v>
      </c>
      <c r="Z533" s="254">
        <f>IF(B533="IND",N533,0)</f>
        <v>-1</v>
      </c>
      <c r="AA533" s="250">
        <f>IF(D533="O",IF(Z533&lt;0,Z533,0),0)</f>
        <v>0</v>
      </c>
      <c r="AB533" s="254">
        <f>IF(B533="CRYPTO",N533,0)</f>
        <v>0</v>
      </c>
      <c r="AC533" s="250">
        <f>IF(D533="O",IF(AB533&lt;0,AB533,0),0)</f>
        <v>0</v>
      </c>
      <c r="AD533" s="255">
        <f>IF(K533&lt;&gt;"",K533-E533,0)</f>
        <v>1.5972222223354038E-2</v>
      </c>
      <c r="AE533" s="255">
        <f>IF(N533&gt;0,AD533,0)</f>
        <v>0</v>
      </c>
      <c r="AF533" s="255">
        <f>IF(N533&lt;0,AD533,0)</f>
        <v>1.5972222223354038E-2</v>
      </c>
      <c r="AG533" s="255">
        <f>IF(N533=0,AD533,0)</f>
        <v>0</v>
      </c>
    </row>
    <row r="534" spans="2:33" ht="15" customHeight="1" x14ac:dyDescent="0.3">
      <c r="B534" s="196" t="s">
        <v>5</v>
      </c>
      <c r="C534" s="197" t="s">
        <v>13</v>
      </c>
      <c r="D534" s="246" t="str">
        <f>IF(E534&lt;&gt;"",IF(K534&lt;&gt;"","C","O"),"")</f>
        <v>C</v>
      </c>
      <c r="E534" s="199">
        <v>44687.520833333336</v>
      </c>
      <c r="F534" s="200" t="s">
        <v>91</v>
      </c>
      <c r="G534" s="235">
        <v>13686.9</v>
      </c>
      <c r="H534" s="235">
        <v>13734.31</v>
      </c>
      <c r="I534" s="247">
        <f>ABS(G534-H534)</f>
        <v>47.409999999999854</v>
      </c>
      <c r="J534" s="235">
        <v>12801.82</v>
      </c>
      <c r="K534" s="199">
        <v>44687.526388888888</v>
      </c>
      <c r="L534" s="235">
        <v>13734.31</v>
      </c>
      <c r="M534" s="248">
        <f>ROUND(IF(C534="L",(L534-G534),(G534-L534)),4)</f>
        <v>-47.41</v>
      </c>
      <c r="N534" s="249">
        <f>IFERROR(ROUND((M534/I534),2),"")</f>
        <v>-1</v>
      </c>
      <c r="O534" s="250">
        <f>IF(D534="O",IF(N534&lt;0,N534,0),0)</f>
        <v>0</v>
      </c>
      <c r="P534" s="251">
        <f>IF(N534&gt;= 0,N534,0)</f>
        <v>0</v>
      </c>
      <c r="Q534" s="251">
        <f>IF(N534&lt;0,N534,0)</f>
        <v>-1</v>
      </c>
      <c r="R5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29628</v>
      </c>
      <c r="T5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4" s="253">
        <f ca="1">IF(Tabla33610673[[#This Row],[Equity]]&lt;Tabla33610673[[#This Row],[Equity Peak]],(Tabla33610673[[#This Row],[Equity Peak]]-Tabla33610673[[#This Row],[Equity]])/Tabla33610673[[#This Row],[Equity Peak]],"")</f>
        <v>5.616259437418368E-2</v>
      </c>
      <c r="V534" s="254">
        <f>IF(B534="FX",N534,0)</f>
        <v>0</v>
      </c>
      <c r="W534" s="254">
        <f>IF(D534="O",IF(V534&lt;0,V534,0),0)</f>
        <v>0</v>
      </c>
      <c r="X534" s="254">
        <f>IF(B534="COM",N534,0)</f>
        <v>0</v>
      </c>
      <c r="Y534" s="254">
        <f>IF(D534="O",IF(X534&lt;0,X534,0),0)</f>
        <v>0</v>
      </c>
      <c r="Z534" s="254">
        <f>IF(B534="IND",N534,0)</f>
        <v>-1</v>
      </c>
      <c r="AA534" s="250">
        <f>IF(D534="O",IF(Z534&lt;0,Z534,0),0)</f>
        <v>0</v>
      </c>
      <c r="AB534" s="254">
        <f>IF(B534="CRYPTO",N534,0)</f>
        <v>0</v>
      </c>
      <c r="AC534" s="250">
        <f>IF(D534="O",IF(AB534&lt;0,AB534,0),0)</f>
        <v>0</v>
      </c>
      <c r="AD534" s="255">
        <f>IF(K534&lt;&gt;"",K534-E534,0)</f>
        <v>5.5555555518367328E-3</v>
      </c>
      <c r="AE534" s="255">
        <f>IF(N534&gt;0,AD534,0)</f>
        <v>0</v>
      </c>
      <c r="AF534" s="255">
        <f>IF(N534&lt;0,AD534,0)</f>
        <v>5.5555555518367328E-3</v>
      </c>
      <c r="AG534" s="255">
        <f>IF(N534=0,AD534,0)</f>
        <v>0</v>
      </c>
    </row>
    <row r="535" spans="2:33" ht="15" customHeight="1" x14ac:dyDescent="0.3">
      <c r="B535" s="196" t="s">
        <v>7</v>
      </c>
      <c r="C535" s="197" t="s">
        <v>13</v>
      </c>
      <c r="D535" s="246" t="str">
        <f>IF(E535&lt;&gt;"",IF(K535&lt;&gt;"","C","O"),"")</f>
        <v>C</v>
      </c>
      <c r="E535" s="199">
        <v>44687.416666666664</v>
      </c>
      <c r="F535" s="200" t="s">
        <v>115</v>
      </c>
      <c r="G535" s="235">
        <v>160.38300000000001</v>
      </c>
      <c r="H535" s="235">
        <v>161.05600000000001</v>
      </c>
      <c r="I535" s="247">
        <f>ABS(G535-H535)</f>
        <v>0.67300000000000182</v>
      </c>
      <c r="J535" s="235">
        <v>158.46100000000001</v>
      </c>
      <c r="K535" s="199">
        <v>44687.470833333333</v>
      </c>
      <c r="L535" s="235">
        <v>161.05600000000001</v>
      </c>
      <c r="M535" s="248">
        <f>ROUND(IF(C535="L",(L535-G535),(G535-L535)),4)</f>
        <v>-0.67300000000000004</v>
      </c>
      <c r="N535" s="249">
        <f>IFERROR(ROUND((M535/I535),2),"")</f>
        <v>-1</v>
      </c>
      <c r="O535" s="250">
        <f>IF(D535="O",IF(N535&lt;0,N535,0),0)</f>
        <v>0</v>
      </c>
      <c r="P535" s="251">
        <f>IF(N535&gt;= 0,N535,0)</f>
        <v>0</v>
      </c>
      <c r="Q535" s="251">
        <f>IF(N535&lt;0,N535,0)</f>
        <v>-1</v>
      </c>
      <c r="R5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29728</v>
      </c>
      <c r="T5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5" s="253">
        <f ca="1">IF(Tabla33610673[[#This Row],[Equity]]&lt;Tabla33610673[[#This Row],[Equity Peak]],(Tabla33610673[[#This Row],[Equity Peak]]-Tabla33610673[[#This Row],[Equity]])/Tabla33610673[[#This Row],[Equity Peak]],"")</f>
        <v>5.2976967920741615E-2</v>
      </c>
      <c r="V535" s="254">
        <f>IF(B535="FX",N535,0)</f>
        <v>-1</v>
      </c>
      <c r="W535" s="254">
        <f>IF(D535="O",IF(V535&lt;0,V535,0),0)</f>
        <v>0</v>
      </c>
      <c r="X535" s="254">
        <f>IF(B535="COM",N535,0)</f>
        <v>0</v>
      </c>
      <c r="Y535" s="254">
        <f>IF(D535="O",IF(X535&lt;0,X535,0),0)</f>
        <v>0</v>
      </c>
      <c r="Z535" s="254">
        <f>IF(B535="IND",N535,0)</f>
        <v>0</v>
      </c>
      <c r="AA535" s="250">
        <f>IF(D535="O",IF(Z535&lt;0,Z535,0),0)</f>
        <v>0</v>
      </c>
      <c r="AB535" s="254">
        <f>IF(B535="CRYPTO",N535,0)</f>
        <v>0</v>
      </c>
      <c r="AC535" s="250">
        <f>IF(D535="O",IF(AB535&lt;0,AB535,0),0)</f>
        <v>0</v>
      </c>
      <c r="AD535" s="255">
        <f>IF(K535&lt;&gt;"",K535-E535,0)</f>
        <v>5.4166666668606922E-2</v>
      </c>
      <c r="AE535" s="255">
        <f>IF(N535&gt;0,AD535,0)</f>
        <v>0</v>
      </c>
      <c r="AF535" s="255">
        <f>IF(N535&lt;0,AD535,0)</f>
        <v>5.4166666668606922E-2</v>
      </c>
      <c r="AG535" s="255">
        <f>IF(N535=0,AD535,0)</f>
        <v>0</v>
      </c>
    </row>
    <row r="536" spans="2:33" ht="15" customHeight="1" x14ac:dyDescent="0.3">
      <c r="B536" s="196" t="s">
        <v>5</v>
      </c>
      <c r="C536" s="197" t="s">
        <v>13</v>
      </c>
      <c r="D536" s="246" t="str">
        <f>IF(E536&lt;&gt;"",IF(K536&lt;&gt;"","C","O"),"")</f>
        <v>C</v>
      </c>
      <c r="E536" s="199">
        <v>44687.447916666664</v>
      </c>
      <c r="F536" s="200" t="s">
        <v>91</v>
      </c>
      <c r="G536" s="235">
        <v>13736.9</v>
      </c>
      <c r="H536" s="235">
        <v>13783.62</v>
      </c>
      <c r="I536" s="247">
        <f>ABS(G536-H536)</f>
        <v>46.720000000001164</v>
      </c>
      <c r="J536" s="235">
        <v>12864.77</v>
      </c>
      <c r="K536" s="199">
        <v>44687.456944444442</v>
      </c>
      <c r="L536" s="235">
        <v>13783.62</v>
      </c>
      <c r="M536" s="248">
        <f>ROUND(IF(C536="L",(L536-G536),(G536-L536)),4)</f>
        <v>-46.72</v>
      </c>
      <c r="N536" s="249">
        <f>IFERROR(ROUND((M536/I536),2),"")</f>
        <v>-1</v>
      </c>
      <c r="O536" s="250">
        <f>IF(D536="O",IF(N536&lt;0,N536,0),0)</f>
        <v>0</v>
      </c>
      <c r="P536" s="251">
        <f>IF(N536&gt;= 0,N536,0)</f>
        <v>0</v>
      </c>
      <c r="Q536" s="251">
        <f>IF(N536&lt;0,N536,0)</f>
        <v>-1</v>
      </c>
      <c r="R5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29828</v>
      </c>
      <c r="T5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6" s="253">
        <f ca="1">IF(Tabla33610673[[#This Row],[Equity]]&lt;Tabla33610673[[#This Row],[Equity Peak]],(Tabla33610673[[#This Row],[Equity Peak]]-Tabla33610673[[#This Row],[Equity]])/Tabla33610673[[#This Row],[Equity Peak]],"")</f>
        <v>4.9791341467299542E-2</v>
      </c>
      <c r="V536" s="254">
        <f>IF(B536="FX",N536,0)</f>
        <v>0</v>
      </c>
      <c r="W536" s="254">
        <f>IF(D536="O",IF(V536&lt;0,V536,0),0)</f>
        <v>0</v>
      </c>
      <c r="X536" s="254">
        <f>IF(B536="COM",N536,0)</f>
        <v>0</v>
      </c>
      <c r="Y536" s="254">
        <f>IF(D536="O",IF(X536&lt;0,X536,0),0)</f>
        <v>0</v>
      </c>
      <c r="Z536" s="254">
        <f>IF(B536="IND",N536,0)</f>
        <v>-1</v>
      </c>
      <c r="AA536" s="250">
        <f>IF(D536="O",IF(Z536&lt;0,Z536,0),0)</f>
        <v>0</v>
      </c>
      <c r="AB536" s="254">
        <f>IF(B536="CRYPTO",N536,0)</f>
        <v>0</v>
      </c>
      <c r="AC536" s="250">
        <f>IF(D536="O",IF(AB536&lt;0,AB536,0),0)</f>
        <v>0</v>
      </c>
      <c r="AD536" s="255">
        <f>IF(K536&lt;&gt;"",K536-E536,0)</f>
        <v>9.0277777781011537E-3</v>
      </c>
      <c r="AE536" s="255">
        <f>IF(N536&gt;0,AD536,0)</f>
        <v>0</v>
      </c>
      <c r="AF536" s="255">
        <f>IF(N536&lt;0,AD536,0)</f>
        <v>9.0277777781011537E-3</v>
      </c>
      <c r="AG536" s="255">
        <f>IF(N536=0,AD536,0)</f>
        <v>0</v>
      </c>
    </row>
    <row r="537" spans="2:33" ht="15" customHeight="1" x14ac:dyDescent="0.3">
      <c r="B537" s="196" t="s">
        <v>7</v>
      </c>
      <c r="C537" s="197" t="s">
        <v>13</v>
      </c>
      <c r="D537" s="246" t="str">
        <f>IF(E537&lt;&gt;"",IF(K537&lt;&gt;"","C","O"),"")</f>
        <v>C</v>
      </c>
      <c r="E537" s="199">
        <v>44686.59375</v>
      </c>
      <c r="F537" s="200" t="s">
        <v>115</v>
      </c>
      <c r="G537" s="235">
        <v>161.61199999999999</v>
      </c>
      <c r="H537" s="235">
        <v>162.16200000000001</v>
      </c>
      <c r="I537" s="247">
        <f>ABS(G537-H537)</f>
        <v>0.55000000000001137</v>
      </c>
      <c r="J537" s="235">
        <v>160.042</v>
      </c>
      <c r="K537" s="199">
        <v>44687.27847222222</v>
      </c>
      <c r="L537" s="235">
        <v>161.501</v>
      </c>
      <c r="M537" s="248">
        <f>ROUND(IF(C537="L",(L537-G537),(G537-L537)),4)</f>
        <v>0.111</v>
      </c>
      <c r="N537" s="249">
        <f>IFERROR(ROUND((M537/I537),2),"")</f>
        <v>0.2</v>
      </c>
      <c r="O537" s="250">
        <f>IF(D537="O",IF(N537&lt;0,N537,0),0)</f>
        <v>0</v>
      </c>
      <c r="P537" s="251">
        <f>IF(N537&gt;= 0,N537,0)</f>
        <v>0.2</v>
      </c>
      <c r="Q537" s="251">
        <f>IF(N537&lt;0,N537,0)</f>
        <v>0</v>
      </c>
      <c r="R5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29928</v>
      </c>
      <c r="T5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7" s="253">
        <f ca="1">IF(Tabla33610673[[#This Row],[Equity]]&lt;Tabla33610673[[#This Row],[Equity Peak]],(Tabla33610673[[#This Row],[Equity Peak]]-Tabla33610673[[#This Row],[Equity]])/Tabla33610673[[#This Row],[Equity Peak]],"")</f>
        <v>4.6605715013857477E-2</v>
      </c>
      <c r="V537" s="254">
        <f>IF(B537="FX",N537,0)</f>
        <v>0.2</v>
      </c>
      <c r="W537" s="254">
        <f>IF(D537="O",IF(V537&lt;0,V537,0),0)</f>
        <v>0</v>
      </c>
      <c r="X537" s="254">
        <f>IF(B537="COM",N537,0)</f>
        <v>0</v>
      </c>
      <c r="Y537" s="254">
        <f>IF(D537="O",IF(X537&lt;0,X537,0),0)</f>
        <v>0</v>
      </c>
      <c r="Z537" s="254">
        <f>IF(B537="IND",N537,0)</f>
        <v>0</v>
      </c>
      <c r="AA537" s="250">
        <f>IF(D537="O",IF(Z537&lt;0,Z537,0),0)</f>
        <v>0</v>
      </c>
      <c r="AB537" s="254">
        <f>IF(B537="CRYPTO",N537,0)</f>
        <v>0</v>
      </c>
      <c r="AC537" s="250">
        <f>IF(D537="O",IF(AB537&lt;0,AB537,0),0)</f>
        <v>0</v>
      </c>
      <c r="AD537" s="255">
        <f>IF(K537&lt;&gt;"",K537-E537,0)</f>
        <v>0.68472222222044365</v>
      </c>
      <c r="AE537" s="255">
        <f>IF(N537&gt;0,AD537,0)</f>
        <v>0.68472222222044365</v>
      </c>
      <c r="AF537" s="255">
        <f>IF(N537&lt;0,AD537,0)</f>
        <v>0</v>
      </c>
      <c r="AG537" s="255">
        <f>IF(N537=0,AD537,0)</f>
        <v>0</v>
      </c>
    </row>
    <row r="538" spans="2:33" ht="15" customHeight="1" x14ac:dyDescent="0.3">
      <c r="B538" s="196" t="s">
        <v>5</v>
      </c>
      <c r="C538" s="197" t="s">
        <v>13</v>
      </c>
      <c r="D538" s="246" t="str">
        <f>IF(E538&lt;&gt;"",IF(K538&lt;&gt;"","C","O"),"")</f>
        <v>C</v>
      </c>
      <c r="E538" s="199">
        <v>44686.927083333336</v>
      </c>
      <c r="F538" s="200" t="s">
        <v>92</v>
      </c>
      <c r="G538" s="235">
        <v>12715.8</v>
      </c>
      <c r="H538" s="235">
        <v>12774.09</v>
      </c>
      <c r="I538" s="247">
        <f>ABS(G538-H538)</f>
        <v>58.290000000000873</v>
      </c>
      <c r="J538" s="235">
        <v>11627.73</v>
      </c>
      <c r="K538" s="199">
        <v>44686.942361111112</v>
      </c>
      <c r="L538" s="235">
        <v>12774.09</v>
      </c>
      <c r="M538" s="248">
        <f>ROUND(IF(C538="L",(L538-G538),(G538-L538)),4)</f>
        <v>-58.29</v>
      </c>
      <c r="N538" s="249">
        <f>IFERROR(ROUND((M538/I538),2),"")</f>
        <v>-1</v>
      </c>
      <c r="O538" s="250">
        <f>IF(D538="O",IF(N538&lt;0,N538,0),0)</f>
        <v>0</v>
      </c>
      <c r="P538" s="251">
        <f>IF(N538&gt;= 0,N538,0)</f>
        <v>0</v>
      </c>
      <c r="Q538" s="251">
        <f>IF(N538&lt;0,N538,0)</f>
        <v>-1</v>
      </c>
      <c r="R5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29908</v>
      </c>
      <c r="T5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8" s="253">
        <f ca="1">IF(Tabla33610673[[#This Row],[Equity]]&lt;Tabla33610673[[#This Row],[Equity Peak]],(Tabla33610673[[#This Row],[Equity Peak]]-Tabla33610673[[#This Row],[Equity]])/Tabla33610673[[#This Row],[Equity Peak]],"")</f>
        <v>4.724284030454589E-2</v>
      </c>
      <c r="V538" s="254">
        <f>IF(B538="FX",N538,0)</f>
        <v>0</v>
      </c>
      <c r="W538" s="254">
        <f>IF(D538="O",IF(V538&lt;0,V538,0),0)</f>
        <v>0</v>
      </c>
      <c r="X538" s="254">
        <f>IF(B538="COM",N538,0)</f>
        <v>0</v>
      </c>
      <c r="Y538" s="254">
        <f>IF(D538="O",IF(X538&lt;0,X538,0),0)</f>
        <v>0</v>
      </c>
      <c r="Z538" s="254">
        <f>IF(B538="IND",N538,0)</f>
        <v>-1</v>
      </c>
      <c r="AA538" s="250">
        <f>IF(D538="O",IF(Z538&lt;0,Z538,0),0)</f>
        <v>0</v>
      </c>
      <c r="AB538" s="254">
        <f>IF(B538="CRYPTO",N538,0)</f>
        <v>0</v>
      </c>
      <c r="AC538" s="250">
        <f>IF(D538="O",IF(AB538&lt;0,AB538,0),0)</f>
        <v>0</v>
      </c>
      <c r="AD538" s="255">
        <f>IF(K538&lt;&gt;"",K538-E538,0)</f>
        <v>1.5277777776645962E-2</v>
      </c>
      <c r="AE538" s="255">
        <f>IF(N538&gt;0,AD538,0)</f>
        <v>0</v>
      </c>
      <c r="AF538" s="255">
        <f>IF(N538&lt;0,AD538,0)</f>
        <v>1.5277777776645962E-2</v>
      </c>
      <c r="AG538" s="255">
        <f>IF(N538=0,AD538,0)</f>
        <v>0</v>
      </c>
    </row>
    <row r="539" spans="2:33" ht="15" customHeight="1" x14ac:dyDescent="0.3">
      <c r="B539" s="196" t="s">
        <v>5</v>
      </c>
      <c r="C539" s="197" t="s">
        <v>13</v>
      </c>
      <c r="D539" s="246" t="str">
        <f>IF(E539&lt;&gt;"",IF(K539&lt;&gt;"","C","O"),"")</f>
        <v>C</v>
      </c>
      <c r="E539" s="199">
        <v>44686.927083333336</v>
      </c>
      <c r="F539" s="200" t="s">
        <v>93</v>
      </c>
      <c r="G539" s="235">
        <v>12715.8</v>
      </c>
      <c r="H539" s="235">
        <v>12771.6</v>
      </c>
      <c r="I539" s="247">
        <f>ABS(G539-H539)</f>
        <v>55.800000000001091</v>
      </c>
      <c r="J539" s="235">
        <v>12120.6</v>
      </c>
      <c r="K539" s="199">
        <v>44686.942361111112</v>
      </c>
      <c r="L539" s="235">
        <v>12771.6</v>
      </c>
      <c r="M539" s="248">
        <f>ROUND(IF(C539="L",(L539-G539),(G539-L539)),4)</f>
        <v>-55.8</v>
      </c>
      <c r="N539" s="249">
        <f>IFERROR(ROUND((M539/I539),2),"")</f>
        <v>-1</v>
      </c>
      <c r="O539" s="250">
        <f>IF(D539="O",IF(N539&lt;0,N539,0),0)</f>
        <v>0</v>
      </c>
      <c r="P539" s="251">
        <f>IF(N539&gt;= 0,N539,0)</f>
        <v>0</v>
      </c>
      <c r="Q539" s="251">
        <f>IF(N539&lt;0,N539,0)</f>
        <v>-1</v>
      </c>
      <c r="R5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30008</v>
      </c>
      <c r="T5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39" s="253">
        <f ca="1">IF(Tabla33610673[[#This Row],[Equity]]&lt;Tabla33610673[[#This Row],[Equity Peak]],(Tabla33610673[[#This Row],[Equity Peak]]-Tabla33610673[[#This Row],[Equity]])/Tabla33610673[[#This Row],[Equity Peak]],"")</f>
        <v>4.4057213851103817E-2</v>
      </c>
      <c r="V539" s="254">
        <f>IF(B539="FX",N539,0)</f>
        <v>0</v>
      </c>
      <c r="W539" s="254">
        <f>IF(D539="O",IF(V539&lt;0,V539,0),0)</f>
        <v>0</v>
      </c>
      <c r="X539" s="254">
        <f>IF(B539="COM",N539,0)</f>
        <v>0</v>
      </c>
      <c r="Y539" s="254">
        <f>IF(D539="O",IF(X539&lt;0,X539,0),0)</f>
        <v>0</v>
      </c>
      <c r="Z539" s="254">
        <f>IF(B539="IND",N539,0)</f>
        <v>-1</v>
      </c>
      <c r="AA539" s="250">
        <f>IF(D539="O",IF(Z539&lt;0,Z539,0),0)</f>
        <v>0</v>
      </c>
      <c r="AB539" s="254">
        <f>IF(B539="CRYPTO",N539,0)</f>
        <v>0</v>
      </c>
      <c r="AC539" s="250">
        <f>IF(D539="O",IF(AB539&lt;0,AB539,0),0)</f>
        <v>0</v>
      </c>
      <c r="AD539" s="255">
        <f>IF(K539&lt;&gt;"",K539-E539,0)</f>
        <v>1.5277777776645962E-2</v>
      </c>
      <c r="AE539" s="255">
        <f>IF(N539&gt;0,AD539,0)</f>
        <v>0</v>
      </c>
      <c r="AF539" s="255">
        <f>IF(N539&lt;0,AD539,0)</f>
        <v>1.5277777776645962E-2</v>
      </c>
      <c r="AG539" s="255">
        <f>IF(N539=0,AD539,0)</f>
        <v>0</v>
      </c>
    </row>
    <row r="540" spans="2:33" ht="15" customHeight="1" x14ac:dyDescent="0.3">
      <c r="B540" s="196" t="s">
        <v>5</v>
      </c>
      <c r="C540" s="197" t="s">
        <v>13</v>
      </c>
      <c r="D540" s="246" t="str">
        <f>IF(E540&lt;&gt;"",IF(K540&lt;&gt;"","C","O"),"")</f>
        <v>C</v>
      </c>
      <c r="E540" s="199">
        <v>44686.895833333336</v>
      </c>
      <c r="F540" s="200" t="s">
        <v>93</v>
      </c>
      <c r="G540" s="235">
        <v>12779.68</v>
      </c>
      <c r="H540" s="235">
        <v>12836.08</v>
      </c>
      <c r="I540" s="247">
        <f>ABS(G540-H540)</f>
        <v>56.399999999999636</v>
      </c>
      <c r="J540" s="235">
        <v>12178.06</v>
      </c>
      <c r="K540" s="199">
        <v>44686.911111111112</v>
      </c>
      <c r="L540" s="235">
        <v>12836.08</v>
      </c>
      <c r="M540" s="248">
        <f>ROUND(IF(C540="L",(L540-G540),(G540-L540)),4)</f>
        <v>-56.4</v>
      </c>
      <c r="N540" s="249">
        <f>IFERROR(ROUND((M540/I540),2),"")</f>
        <v>-1</v>
      </c>
      <c r="O540" s="250">
        <f>IF(D540="O",IF(N540&lt;0,N540,0),0)</f>
        <v>0</v>
      </c>
      <c r="P540" s="251">
        <f>IF(N540&gt;= 0,N540,0)</f>
        <v>0</v>
      </c>
      <c r="Q540" s="251">
        <f>IF(N540&lt;0,N540,0)</f>
        <v>-1</v>
      </c>
      <c r="R5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30108</v>
      </c>
      <c r="T5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0" s="253">
        <f ca="1">IF(Tabla33610673[[#This Row],[Equity]]&lt;Tabla33610673[[#This Row],[Equity Peak]],(Tabla33610673[[#This Row],[Equity Peak]]-Tabla33610673[[#This Row],[Equity]])/Tabla33610673[[#This Row],[Equity Peak]],"")</f>
        <v>4.0871587397661752E-2</v>
      </c>
      <c r="V540" s="254">
        <f>IF(B540="FX",N540,0)</f>
        <v>0</v>
      </c>
      <c r="W540" s="254">
        <f>IF(D540="O",IF(V540&lt;0,V540,0),0)</f>
        <v>0</v>
      </c>
      <c r="X540" s="254">
        <f>IF(B540="COM",N540,0)</f>
        <v>0</v>
      </c>
      <c r="Y540" s="254">
        <f>IF(D540="O",IF(X540&lt;0,X540,0),0)</f>
        <v>0</v>
      </c>
      <c r="Z540" s="254">
        <f>IF(B540="IND",N540,0)</f>
        <v>-1</v>
      </c>
      <c r="AA540" s="250">
        <f>IF(D540="O",IF(Z540&lt;0,Z540,0),0)</f>
        <v>0</v>
      </c>
      <c r="AB540" s="254">
        <f>IF(B540="CRYPTO",N540,0)</f>
        <v>0</v>
      </c>
      <c r="AC540" s="250">
        <f>IF(D540="O",IF(AB540&lt;0,AB540,0),0)</f>
        <v>0</v>
      </c>
      <c r="AD540" s="255">
        <f>IF(K540&lt;&gt;"",K540-E540,0)</f>
        <v>1.5277777776645962E-2</v>
      </c>
      <c r="AE540" s="255">
        <f>IF(N540&gt;0,AD540,0)</f>
        <v>0</v>
      </c>
      <c r="AF540" s="255">
        <f>IF(N540&lt;0,AD540,0)</f>
        <v>1.5277777776645962E-2</v>
      </c>
      <c r="AG540" s="255">
        <f>IF(N540=0,AD540,0)</f>
        <v>0</v>
      </c>
    </row>
    <row r="541" spans="2:33" ht="15" customHeight="1" x14ac:dyDescent="0.3">
      <c r="B541" s="196" t="s">
        <v>5</v>
      </c>
      <c r="C541" s="197" t="s">
        <v>13</v>
      </c>
      <c r="D541" s="246" t="str">
        <f>IF(E541&lt;&gt;"",IF(K541&lt;&gt;"","C","O"),"")</f>
        <v>C</v>
      </c>
      <c r="E541" s="199">
        <v>44686.895833333336</v>
      </c>
      <c r="F541" s="200" t="s">
        <v>92</v>
      </c>
      <c r="G541" s="235">
        <v>12779.68</v>
      </c>
      <c r="H541" s="235">
        <v>12834.83</v>
      </c>
      <c r="I541" s="247">
        <f>ABS(G541-H541)</f>
        <v>55.149999999999636</v>
      </c>
      <c r="J541" s="235">
        <v>11750.19</v>
      </c>
      <c r="K541" s="199">
        <v>44686.910416666666</v>
      </c>
      <c r="L541" s="235">
        <v>12834.83</v>
      </c>
      <c r="M541" s="248">
        <f>ROUND(IF(C541="L",(L541-G541),(G541-L541)),4)</f>
        <v>-55.15</v>
      </c>
      <c r="N541" s="249">
        <f>IFERROR(ROUND((M541/I541),2),"")</f>
        <v>-1</v>
      </c>
      <c r="O541" s="250">
        <f>IF(D541="O",IF(N541&lt;0,N541,0),0)</f>
        <v>0</v>
      </c>
      <c r="P541" s="251">
        <f>IF(N541&gt;= 0,N541,0)</f>
        <v>0</v>
      </c>
      <c r="Q541" s="251">
        <f>IF(N541&lt;0,N541,0)</f>
        <v>-1</v>
      </c>
      <c r="R5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30208</v>
      </c>
      <c r="T5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1" s="253">
        <f ca="1">IF(Tabla33610673[[#This Row],[Equity]]&lt;Tabla33610673[[#This Row],[Equity Peak]],(Tabla33610673[[#This Row],[Equity Peak]]-Tabla33610673[[#This Row],[Equity]])/Tabla33610673[[#This Row],[Equity Peak]],"")</f>
        <v>3.7685960944219679E-2</v>
      </c>
      <c r="V541" s="254">
        <f>IF(B541="FX",N541,0)</f>
        <v>0</v>
      </c>
      <c r="W541" s="254">
        <f>IF(D541="O",IF(V541&lt;0,V541,0),0)</f>
        <v>0</v>
      </c>
      <c r="X541" s="254">
        <f>IF(B541="COM",N541,0)</f>
        <v>0</v>
      </c>
      <c r="Y541" s="254">
        <f>IF(D541="O",IF(X541&lt;0,X541,0),0)</f>
        <v>0</v>
      </c>
      <c r="Z541" s="254">
        <f>IF(B541="IND",N541,0)</f>
        <v>-1</v>
      </c>
      <c r="AA541" s="250">
        <f>IF(D541="O",IF(Z541&lt;0,Z541,0),0)</f>
        <v>0</v>
      </c>
      <c r="AB541" s="254">
        <f>IF(B541="CRYPTO",N541,0)</f>
        <v>0</v>
      </c>
      <c r="AC541" s="250">
        <f>IF(D541="O",IF(AB541&lt;0,AB541,0),0)</f>
        <v>0</v>
      </c>
      <c r="AD541" s="255">
        <f>IF(K541&lt;&gt;"",K541-E541,0)</f>
        <v>1.4583333329937886E-2</v>
      </c>
      <c r="AE541" s="255">
        <f>IF(N541&gt;0,AD541,0)</f>
        <v>0</v>
      </c>
      <c r="AF541" s="255">
        <f>IF(N541&lt;0,AD541,0)</f>
        <v>1.4583333329937886E-2</v>
      </c>
      <c r="AG541" s="255">
        <f>IF(N541=0,AD541,0)</f>
        <v>0</v>
      </c>
    </row>
    <row r="542" spans="2:33" ht="15" customHeight="1" x14ac:dyDescent="0.3">
      <c r="B542" s="196" t="s">
        <v>5</v>
      </c>
      <c r="C542" s="197" t="s">
        <v>13</v>
      </c>
      <c r="D542" s="246" t="str">
        <f>IF(E542&lt;&gt;"",IF(K542&lt;&gt;"","C","O"),"")</f>
        <v>C</v>
      </c>
      <c r="E542" s="199">
        <v>44686.791666666664</v>
      </c>
      <c r="F542" s="200" t="s">
        <v>93</v>
      </c>
      <c r="G542" s="235">
        <v>12833.8</v>
      </c>
      <c r="H542" s="235">
        <v>12895.69</v>
      </c>
      <c r="I542" s="247">
        <f>ABS(G542-H542)</f>
        <v>61.890000000001237</v>
      </c>
      <c r="J542" s="235">
        <v>12173.59</v>
      </c>
      <c r="K542" s="199">
        <v>44686.800694444442</v>
      </c>
      <c r="L542" s="235">
        <v>12895.69</v>
      </c>
      <c r="M542" s="248">
        <f>ROUND(IF(C542="L",(L542-G542),(G542-L542)),4)</f>
        <v>-61.89</v>
      </c>
      <c r="N542" s="249">
        <f>IFERROR(ROUND((M542/I542),2),"")</f>
        <v>-1</v>
      </c>
      <c r="O542" s="250">
        <f>IF(D542="O",IF(N542&lt;0,N542,0),0)</f>
        <v>0</v>
      </c>
      <c r="P542" s="251">
        <f>IF(N542&gt;= 0,N542,0)</f>
        <v>0</v>
      </c>
      <c r="Q542" s="251">
        <f>IF(N542&lt;0,N542,0)</f>
        <v>-1</v>
      </c>
      <c r="R5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30308</v>
      </c>
      <c r="T5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2" s="253">
        <f ca="1">IF(Tabla33610673[[#This Row],[Equity]]&lt;Tabla33610673[[#This Row],[Equity Peak]],(Tabla33610673[[#This Row],[Equity Peak]]-Tabla33610673[[#This Row],[Equity]])/Tabla33610673[[#This Row],[Equity Peak]],"")</f>
        <v>3.4500334490777614E-2</v>
      </c>
      <c r="V542" s="254">
        <f>IF(B542="FX",N542,0)</f>
        <v>0</v>
      </c>
      <c r="W542" s="254">
        <f>IF(D542="O",IF(V542&lt;0,V542,0),0)</f>
        <v>0</v>
      </c>
      <c r="X542" s="254">
        <f>IF(B542="COM",N542,0)</f>
        <v>0</v>
      </c>
      <c r="Y542" s="254">
        <f>IF(D542="O",IF(X542&lt;0,X542,0),0)</f>
        <v>0</v>
      </c>
      <c r="Z542" s="254">
        <f>IF(B542="IND",N542,0)</f>
        <v>-1</v>
      </c>
      <c r="AA542" s="250">
        <f>IF(D542="O",IF(Z542&lt;0,Z542,0),0)</f>
        <v>0</v>
      </c>
      <c r="AB542" s="254">
        <f>IF(B542="CRYPTO",N542,0)</f>
        <v>0</v>
      </c>
      <c r="AC542" s="250">
        <f>IF(D542="O",IF(AB542&lt;0,AB542,0),0)</f>
        <v>0</v>
      </c>
      <c r="AD542" s="255">
        <f>IF(K542&lt;&gt;"",K542-E542,0)</f>
        <v>9.0277777781011537E-3</v>
      </c>
      <c r="AE542" s="255">
        <f>IF(N542&gt;0,AD542,0)</f>
        <v>0</v>
      </c>
      <c r="AF542" s="255">
        <f>IF(N542&lt;0,AD542,0)</f>
        <v>9.0277777781011537E-3</v>
      </c>
      <c r="AG542" s="255">
        <f>IF(N542=0,AD542,0)</f>
        <v>0</v>
      </c>
    </row>
    <row r="543" spans="2:33" ht="15" customHeight="1" x14ac:dyDescent="0.3">
      <c r="B543" s="196" t="s">
        <v>5</v>
      </c>
      <c r="C543" s="197" t="s">
        <v>13</v>
      </c>
      <c r="D543" s="246" t="str">
        <f>IF(E543&lt;&gt;"",IF(K543&lt;&gt;"","C","O"),"")</f>
        <v>C</v>
      </c>
      <c r="E543" s="199">
        <v>44686.791666666664</v>
      </c>
      <c r="F543" s="200" t="s">
        <v>92</v>
      </c>
      <c r="G543" s="235">
        <v>12833.8</v>
      </c>
      <c r="H543" s="235">
        <v>12883.01</v>
      </c>
      <c r="I543" s="247">
        <f>ABS(G543-H543)</f>
        <v>49.210000000000946</v>
      </c>
      <c r="J543" s="235">
        <v>11915.18</v>
      </c>
      <c r="K543" s="199">
        <v>44686.8</v>
      </c>
      <c r="L543" s="235">
        <v>12883.01</v>
      </c>
      <c r="M543" s="248">
        <f>ROUND(IF(C543="L",(L543-G543),(G543-L543)),4)</f>
        <v>-49.21</v>
      </c>
      <c r="N543" s="249">
        <f>IFERROR(ROUND((M543/I543),2),"")</f>
        <v>-1</v>
      </c>
      <c r="O543" s="250">
        <f>IF(D543="O",IF(N543&lt;0,N543,0),0)</f>
        <v>0</v>
      </c>
      <c r="P543" s="251">
        <f>IF(N543&gt;= 0,N543,0)</f>
        <v>0</v>
      </c>
      <c r="Q543" s="251">
        <f>IF(N543&lt;0,N543,0)</f>
        <v>-1</v>
      </c>
      <c r="R5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30408</v>
      </c>
      <c r="T5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3" s="253">
        <f ca="1">IF(Tabla33610673[[#This Row],[Equity]]&lt;Tabla33610673[[#This Row],[Equity Peak]],(Tabla33610673[[#This Row],[Equity Peak]]-Tabla33610673[[#This Row],[Equity]])/Tabla33610673[[#This Row],[Equity Peak]],"")</f>
        <v>3.1314708037335541E-2</v>
      </c>
      <c r="V543" s="254">
        <f>IF(B543="FX",N543,0)</f>
        <v>0</v>
      </c>
      <c r="W543" s="254">
        <f>IF(D543="O",IF(V543&lt;0,V543,0),0)</f>
        <v>0</v>
      </c>
      <c r="X543" s="254">
        <f>IF(B543="COM",N543,0)</f>
        <v>0</v>
      </c>
      <c r="Y543" s="254">
        <f>IF(D543="O",IF(X543&lt;0,X543,0),0)</f>
        <v>0</v>
      </c>
      <c r="Z543" s="254">
        <f>IF(B543="IND",N543,0)</f>
        <v>-1</v>
      </c>
      <c r="AA543" s="250">
        <f>IF(D543="O",IF(Z543&lt;0,Z543,0),0)</f>
        <v>0</v>
      </c>
      <c r="AB543" s="254">
        <f>IF(B543="CRYPTO",N543,0)</f>
        <v>0</v>
      </c>
      <c r="AC543" s="250">
        <f>IF(D543="O",IF(AB543&lt;0,AB543,0),0)</f>
        <v>0</v>
      </c>
      <c r="AD543" s="255">
        <f>IF(K543&lt;&gt;"",K543-E543,0)</f>
        <v>8.3333333386690356E-3</v>
      </c>
      <c r="AE543" s="255">
        <f>IF(N543&gt;0,AD543,0)</f>
        <v>0</v>
      </c>
      <c r="AF543" s="255">
        <f>IF(N543&lt;0,AD543,0)</f>
        <v>8.3333333386690356E-3</v>
      </c>
      <c r="AG543" s="255">
        <f>IF(N543=0,AD543,0)</f>
        <v>0</v>
      </c>
    </row>
    <row r="544" spans="2:33" ht="15" customHeight="1" x14ac:dyDescent="0.3">
      <c r="B544" s="196" t="s">
        <v>5</v>
      </c>
      <c r="C544" s="197" t="s">
        <v>15</v>
      </c>
      <c r="D544" s="246" t="str">
        <f>IF(E544&lt;&gt;"",IF(K544&lt;&gt;"","C","O"),"")</f>
        <v>C</v>
      </c>
      <c r="E544" s="199">
        <v>44685.9375</v>
      </c>
      <c r="F544" s="200" t="s">
        <v>91</v>
      </c>
      <c r="G544" s="235">
        <v>14208.48</v>
      </c>
      <c r="H544" s="235">
        <v>14156.94</v>
      </c>
      <c r="I544" s="247">
        <f>ABS(G544-H544)</f>
        <v>51.539999999999054</v>
      </c>
      <c r="J544" s="235">
        <v>15170.62</v>
      </c>
      <c r="K544" s="199">
        <v>44686.463194444441</v>
      </c>
      <c r="L544" s="235">
        <v>14203.46</v>
      </c>
      <c r="M544" s="248">
        <f>ROUND(IF(C544="L",(L544-G544),(G544-L544)),4)</f>
        <v>-5.0199999999999996</v>
      </c>
      <c r="N544" s="249">
        <f>IFERROR(ROUND((M544/I544),2),"")</f>
        <v>-0.1</v>
      </c>
      <c r="O544" s="250">
        <f>IF(D544="O",IF(N544&lt;0,N544,0),0)</f>
        <v>0</v>
      </c>
      <c r="P544" s="251">
        <f>IF(N544&gt;= 0,N544,0)</f>
        <v>0</v>
      </c>
      <c r="Q544" s="251">
        <f>IF(N544&lt;0,N544,0)</f>
        <v>-0.1</v>
      </c>
      <c r="R5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30508</v>
      </c>
      <c r="T5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4" s="253">
        <f ca="1">IF(Tabla33610673[[#This Row],[Equity]]&lt;Tabla33610673[[#This Row],[Equity Peak]],(Tabla33610673[[#This Row],[Equity Peak]]-Tabla33610673[[#This Row],[Equity]])/Tabla33610673[[#This Row],[Equity Peak]],"")</f>
        <v>2.8129081583893472E-2</v>
      </c>
      <c r="V544" s="254">
        <f>IF(B544="FX",N544,0)</f>
        <v>0</v>
      </c>
      <c r="W544" s="254">
        <f>IF(D544="O",IF(V544&lt;0,V544,0),0)</f>
        <v>0</v>
      </c>
      <c r="X544" s="254">
        <f>IF(B544="COM",N544,0)</f>
        <v>0</v>
      </c>
      <c r="Y544" s="254">
        <f>IF(D544="O",IF(X544&lt;0,X544,0),0)</f>
        <v>0</v>
      </c>
      <c r="Z544" s="254">
        <f>IF(B544="IND",N544,0)</f>
        <v>-0.1</v>
      </c>
      <c r="AA544" s="250">
        <f>IF(D544="O",IF(Z544&lt;0,Z544,0),0)</f>
        <v>0</v>
      </c>
      <c r="AB544" s="254">
        <f>IF(B544="CRYPTO",N544,0)</f>
        <v>0</v>
      </c>
      <c r="AC544" s="250">
        <f>IF(D544="O",IF(AB544&lt;0,AB544,0),0)</f>
        <v>0</v>
      </c>
      <c r="AD544" s="255">
        <f>IF(K544&lt;&gt;"",K544-E544,0)</f>
        <v>0.52569444444088731</v>
      </c>
      <c r="AE544" s="255">
        <f>IF(N544&gt;0,AD544,0)</f>
        <v>0</v>
      </c>
      <c r="AF544" s="255">
        <f>IF(N544&lt;0,AD544,0)</f>
        <v>0.52569444444088731</v>
      </c>
      <c r="AG544" s="255">
        <f>IF(N544=0,AD544,0)</f>
        <v>0</v>
      </c>
    </row>
    <row r="545" spans="2:33" ht="15" customHeight="1" x14ac:dyDescent="0.3">
      <c r="B545" s="196" t="s">
        <v>5</v>
      </c>
      <c r="C545" s="197" t="s">
        <v>15</v>
      </c>
      <c r="D545" s="246" t="str">
        <f>IF(E545&lt;&gt;"",IF(K545&lt;&gt;"","C","O"),"")</f>
        <v>C</v>
      </c>
      <c r="E545" s="199">
        <v>44685.927083333336</v>
      </c>
      <c r="F545" s="200" t="s">
        <v>93</v>
      </c>
      <c r="G545" s="235">
        <v>13421.25</v>
      </c>
      <c r="H545" s="235">
        <v>13370.31</v>
      </c>
      <c r="I545" s="247">
        <f>ABS(G545-H545)</f>
        <v>50.940000000000509</v>
      </c>
      <c r="J545" s="235">
        <v>13964.65</v>
      </c>
      <c r="K545" s="199">
        <v>44686.434027777781</v>
      </c>
      <c r="L545" s="235">
        <v>13416.98</v>
      </c>
      <c r="M545" s="248">
        <f>ROUND(IF(C545="L",(L545-G545),(G545-L545)),4)</f>
        <v>-4.2699999999999996</v>
      </c>
      <c r="N545" s="249">
        <f>IFERROR(ROUND((M545/I545),2),"")</f>
        <v>-0.08</v>
      </c>
      <c r="O545" s="250">
        <f>IF(D545="O",IF(N545&lt;0,N545,0),0)</f>
        <v>0</v>
      </c>
      <c r="P545" s="251">
        <f>IF(N545&gt;= 0,N545,0)</f>
        <v>0</v>
      </c>
      <c r="Q545" s="251">
        <f>IF(N545&lt;0,N545,0)</f>
        <v>-0.08</v>
      </c>
      <c r="R5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30518</v>
      </c>
      <c r="T5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5" s="253">
        <f ca="1">IF(Tabla33610673[[#This Row],[Equity]]&lt;Tabla33610673[[#This Row],[Equity Peak]],(Tabla33610673[[#This Row],[Equity Peak]]-Tabla33610673[[#This Row],[Equity]])/Tabla33610673[[#This Row],[Equity Peak]],"")</f>
        <v>2.7810518938549265E-2</v>
      </c>
      <c r="V545" s="254">
        <f>IF(B545="FX",N545,0)</f>
        <v>0</v>
      </c>
      <c r="W545" s="254">
        <f>IF(D545="O",IF(V545&lt;0,V545,0),0)</f>
        <v>0</v>
      </c>
      <c r="X545" s="254">
        <f>IF(B545="COM",N545,0)</f>
        <v>0</v>
      </c>
      <c r="Y545" s="254">
        <f>IF(D545="O",IF(X545&lt;0,X545,0),0)</f>
        <v>0</v>
      </c>
      <c r="Z545" s="254">
        <f>IF(B545="IND",N545,0)</f>
        <v>-0.08</v>
      </c>
      <c r="AA545" s="250">
        <f>IF(D545="O",IF(Z545&lt;0,Z545,0),0)</f>
        <v>0</v>
      </c>
      <c r="AB545" s="254">
        <f>IF(B545="CRYPTO",N545,0)</f>
        <v>0</v>
      </c>
      <c r="AC545" s="250">
        <f>IF(D545="O",IF(AB545&lt;0,AB545,0),0)</f>
        <v>0</v>
      </c>
      <c r="AD545" s="255">
        <f>IF(K545&lt;&gt;"",K545-E545,0)</f>
        <v>0.50694444444525288</v>
      </c>
      <c r="AE545" s="255">
        <f>IF(N545&gt;0,AD545,0)</f>
        <v>0</v>
      </c>
      <c r="AF545" s="255">
        <f>IF(N545&lt;0,AD545,0)</f>
        <v>0.50694444444525288</v>
      </c>
      <c r="AG545" s="255">
        <f>IF(N545=0,AD545,0)</f>
        <v>0</v>
      </c>
    </row>
    <row r="546" spans="2:33" ht="15" customHeight="1" x14ac:dyDescent="0.3">
      <c r="B546" s="196" t="s">
        <v>7</v>
      </c>
      <c r="C546" s="197" t="s">
        <v>15</v>
      </c>
      <c r="D546" s="246" t="str">
        <f>IF(E546&lt;&gt;"",IF(K546&lt;&gt;"","C","O"),"")</f>
        <v>C</v>
      </c>
      <c r="E546" s="199">
        <v>44686.052083333336</v>
      </c>
      <c r="F546" s="200" t="s">
        <v>115</v>
      </c>
      <c r="G546" s="235">
        <v>163.298</v>
      </c>
      <c r="H546" s="235">
        <v>162.76599999999999</v>
      </c>
      <c r="I546" s="247">
        <f>ABS(G546-H546)</f>
        <v>0.53200000000001069</v>
      </c>
      <c r="J546" s="235">
        <v>164.81899999999999</v>
      </c>
      <c r="K546" s="199">
        <v>44686.165277777778</v>
      </c>
      <c r="L546" s="235">
        <v>162.76599999999999</v>
      </c>
      <c r="M546" s="248">
        <f>ROUND(IF(C546="L",(L546-G546),(G546-L546)),4)</f>
        <v>-0.53200000000000003</v>
      </c>
      <c r="N546" s="249">
        <f>IFERROR(ROUND((M546/I546),2),"")</f>
        <v>-1</v>
      </c>
      <c r="O546" s="250">
        <f>IF(D546="O",IF(N546&lt;0,N546,0),0)</f>
        <v>0</v>
      </c>
      <c r="P546" s="251">
        <f>IF(N546&gt;= 0,N546,0)</f>
        <v>0</v>
      </c>
      <c r="Q546" s="251">
        <f>IF(N546&lt;0,N546,0)</f>
        <v>-1</v>
      </c>
      <c r="R5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30526</v>
      </c>
      <c r="T5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6" s="253">
        <f ca="1">IF(Tabla33610673[[#This Row],[Equity]]&lt;Tabla33610673[[#This Row],[Equity Peak]],(Tabla33610673[[#This Row],[Equity Peak]]-Tabla33610673[[#This Row],[Equity]])/Tabla33610673[[#This Row],[Equity Peak]],"")</f>
        <v>2.75556688222739E-2</v>
      </c>
      <c r="V546" s="254">
        <f>IF(B546="FX",N546,0)</f>
        <v>-1</v>
      </c>
      <c r="W546" s="254">
        <f>IF(D546="O",IF(V546&lt;0,V546,0),0)</f>
        <v>0</v>
      </c>
      <c r="X546" s="254">
        <f>IF(B546="COM",N546,0)</f>
        <v>0</v>
      </c>
      <c r="Y546" s="254">
        <f>IF(D546="O",IF(X546&lt;0,X546,0),0)</f>
        <v>0</v>
      </c>
      <c r="Z546" s="254">
        <f>IF(B546="IND",N546,0)</f>
        <v>0</v>
      </c>
      <c r="AA546" s="250">
        <f>IF(D546="O",IF(Z546&lt;0,Z546,0),0)</f>
        <v>0</v>
      </c>
      <c r="AB546" s="254">
        <f>IF(B546="CRYPTO",N546,0)</f>
        <v>0</v>
      </c>
      <c r="AC546" s="250">
        <f>IF(D546="O",IF(AB546&lt;0,AB546,0),0)</f>
        <v>0</v>
      </c>
      <c r="AD546" s="255">
        <f>IF(K546&lt;&gt;"",K546-E546,0)</f>
        <v>0.1131944444423425</v>
      </c>
      <c r="AE546" s="255">
        <f>IF(N546&gt;0,AD546,0)</f>
        <v>0</v>
      </c>
      <c r="AF546" s="255">
        <f>IF(N546&lt;0,AD546,0)</f>
        <v>0.1131944444423425</v>
      </c>
      <c r="AG546" s="255">
        <f>IF(N546=0,AD546,0)</f>
        <v>0</v>
      </c>
    </row>
    <row r="547" spans="2:33" ht="15" customHeight="1" x14ac:dyDescent="0.3">
      <c r="B547" s="196" t="s">
        <v>7</v>
      </c>
      <c r="C547" s="197" t="s">
        <v>13</v>
      </c>
      <c r="D547" s="246" t="str">
        <f>IF(E547&lt;&gt;"",IF(K547&lt;&gt;"","C","O"),"")</f>
        <v>C</v>
      </c>
      <c r="E547" s="199">
        <v>44685.916666666664</v>
      </c>
      <c r="F547" s="200" t="s">
        <v>115</v>
      </c>
      <c r="G547" s="235">
        <v>161.94</v>
      </c>
      <c r="H547" s="235">
        <v>162.43899999999999</v>
      </c>
      <c r="I547" s="247">
        <f>ABS(G547-H547)</f>
        <v>0.49899999999999523</v>
      </c>
      <c r="J547" s="235">
        <v>160.51300000000001</v>
      </c>
      <c r="K547" s="199">
        <v>44685.929166666669</v>
      </c>
      <c r="L547" s="235">
        <v>162.43899999999999</v>
      </c>
      <c r="M547" s="248">
        <f>ROUND(IF(C547="L",(L547-G547),(G547-L547)),4)</f>
        <v>-0.499</v>
      </c>
      <c r="N547" s="249">
        <f>IFERROR(ROUND((M547/I547),2),"")</f>
        <v>-1</v>
      </c>
      <c r="O547" s="250">
        <f>IF(D547="O",IF(N547&lt;0,N547,0),0)</f>
        <v>0</v>
      </c>
      <c r="P547" s="251">
        <f>IF(N547&gt;= 0,N547,0)</f>
        <v>0</v>
      </c>
      <c r="Q547" s="251">
        <f>IF(N547&lt;0,N547,0)</f>
        <v>-1</v>
      </c>
      <c r="R5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30626</v>
      </c>
      <c r="T5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7" s="253">
        <f ca="1">IF(Tabla33610673[[#This Row],[Equity]]&lt;Tabla33610673[[#This Row],[Equity Peak]],(Tabla33610673[[#This Row],[Equity Peak]]-Tabla33610673[[#This Row],[Equity]])/Tabla33610673[[#This Row],[Equity Peak]],"")</f>
        <v>2.4370042368831831E-2</v>
      </c>
      <c r="V547" s="254">
        <f>IF(B547="FX",N547,0)</f>
        <v>-1</v>
      </c>
      <c r="W547" s="254">
        <f>IF(D547="O",IF(V547&lt;0,V547,0),0)</f>
        <v>0</v>
      </c>
      <c r="X547" s="254">
        <f>IF(B547="COM",N547,0)</f>
        <v>0</v>
      </c>
      <c r="Y547" s="254">
        <f>IF(D547="O",IF(X547&lt;0,X547,0),0)</f>
        <v>0</v>
      </c>
      <c r="Z547" s="254">
        <f>IF(B547="IND",N547,0)</f>
        <v>0</v>
      </c>
      <c r="AA547" s="250">
        <f>IF(D547="O",IF(Z547&lt;0,Z547,0),0)</f>
        <v>0</v>
      </c>
      <c r="AB547" s="254">
        <f>IF(B547="CRYPTO",N547,0)</f>
        <v>0</v>
      </c>
      <c r="AC547" s="250">
        <f>IF(D547="O",IF(AB547&lt;0,AB547,0),0)</f>
        <v>0</v>
      </c>
      <c r="AD547" s="255">
        <f>IF(K547&lt;&gt;"",K547-E547,0)</f>
        <v>1.2500000004365575E-2</v>
      </c>
      <c r="AE547" s="255">
        <f>IF(N547&gt;0,AD547,0)</f>
        <v>0</v>
      </c>
      <c r="AF547" s="255">
        <f>IF(N547&lt;0,AD547,0)</f>
        <v>1.2500000004365575E-2</v>
      </c>
      <c r="AG547" s="255">
        <f>IF(N547=0,AD547,0)</f>
        <v>0</v>
      </c>
    </row>
    <row r="548" spans="2:33" ht="15" customHeight="1" x14ac:dyDescent="0.3">
      <c r="B548" s="196" t="s">
        <v>7</v>
      </c>
      <c r="C548" s="197" t="s">
        <v>13</v>
      </c>
      <c r="D548" s="246" t="str">
        <f>IF(E548&lt;&gt;"",IF(K548&lt;&gt;"","C","O"),"")</f>
        <v>C</v>
      </c>
      <c r="E548" s="199">
        <v>44685.354166666664</v>
      </c>
      <c r="F548" s="200" t="s">
        <v>115</v>
      </c>
      <c r="G548" s="235">
        <v>162.33199999999999</v>
      </c>
      <c r="H548" s="235">
        <v>162.798</v>
      </c>
      <c r="I548" s="247">
        <f>ABS(G548-H548)</f>
        <v>0.46600000000000819</v>
      </c>
      <c r="J548" s="235">
        <v>161.00200000000001</v>
      </c>
      <c r="K548" s="199">
        <v>44685.456944444442</v>
      </c>
      <c r="L548" s="235">
        <v>162.798</v>
      </c>
      <c r="M548" s="248">
        <f>ROUND(IF(C548="L",(L548-G548),(G548-L548)),4)</f>
        <v>-0.46600000000000003</v>
      </c>
      <c r="N548" s="249">
        <f>IFERROR(ROUND((M548/I548),2),"")</f>
        <v>-1</v>
      </c>
      <c r="O548" s="250">
        <f>IF(D548="O",IF(N548&lt;0,N548,0),0)</f>
        <v>0</v>
      </c>
      <c r="P548" s="251">
        <f>IF(N548&gt;= 0,N548,0)</f>
        <v>0</v>
      </c>
      <c r="Q548" s="251">
        <f>IF(N548&lt;0,N548,0)</f>
        <v>-1</v>
      </c>
      <c r="R5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30726</v>
      </c>
      <c r="T5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8" s="253">
        <f ca="1">IF(Tabla33610673[[#This Row],[Equity]]&lt;Tabla33610673[[#This Row],[Equity Peak]],(Tabla33610673[[#This Row],[Equity Peak]]-Tabla33610673[[#This Row],[Equity]])/Tabla33610673[[#This Row],[Equity Peak]],"")</f>
        <v>2.1184415915389762E-2</v>
      </c>
      <c r="V548" s="254">
        <f>IF(B548="FX",N548,0)</f>
        <v>-1</v>
      </c>
      <c r="W548" s="254">
        <f>IF(D548="O",IF(V548&lt;0,V548,0),0)</f>
        <v>0</v>
      </c>
      <c r="X548" s="254">
        <f>IF(B548="COM",N548,0)</f>
        <v>0</v>
      </c>
      <c r="Y548" s="254">
        <f>IF(D548="O",IF(X548&lt;0,X548,0),0)</f>
        <v>0</v>
      </c>
      <c r="Z548" s="254">
        <f>IF(B548="IND",N548,0)</f>
        <v>0</v>
      </c>
      <c r="AA548" s="250">
        <f>IF(D548="O",IF(Z548&lt;0,Z548,0),0)</f>
        <v>0</v>
      </c>
      <c r="AB548" s="254">
        <f>IF(B548="CRYPTO",N548,0)</f>
        <v>0</v>
      </c>
      <c r="AC548" s="250">
        <f>IF(D548="O",IF(AB548&lt;0,AB548,0),0)</f>
        <v>0</v>
      </c>
      <c r="AD548" s="255">
        <f>IF(K548&lt;&gt;"",K548-E548,0)</f>
        <v>0.10277777777810115</v>
      </c>
      <c r="AE548" s="255">
        <f>IF(N548&gt;0,AD548,0)</f>
        <v>0</v>
      </c>
      <c r="AF548" s="255">
        <f>IF(N548&lt;0,AD548,0)</f>
        <v>0.10277777777810115</v>
      </c>
      <c r="AG548" s="255">
        <f>IF(N548=0,AD548,0)</f>
        <v>0</v>
      </c>
    </row>
    <row r="549" spans="2:33" ht="15" customHeight="1" x14ac:dyDescent="0.3">
      <c r="B549" s="196" t="s">
        <v>19</v>
      </c>
      <c r="C549" s="197" t="s">
        <v>13</v>
      </c>
      <c r="D549" s="246" t="str">
        <f>IF(E549&lt;&gt;"",IF(K549&lt;&gt;"","C","O"),"")</f>
        <v>C</v>
      </c>
      <c r="E549" s="199">
        <v>44684.489583333336</v>
      </c>
      <c r="F549" s="200" t="s">
        <v>88</v>
      </c>
      <c r="G549" s="235">
        <v>1852.19</v>
      </c>
      <c r="H549" s="235">
        <v>1855.73</v>
      </c>
      <c r="I549" s="247">
        <f>ABS(G549-H549)</f>
        <v>3.5399999999999636</v>
      </c>
      <c r="J549" s="235">
        <v>1809.72</v>
      </c>
      <c r="K549" s="199">
        <v>44684.509027777778</v>
      </c>
      <c r="L549" s="235">
        <v>1855.73</v>
      </c>
      <c r="M549" s="248">
        <f>ROUND(IF(C549="L",(L549-G549),(G549-L549)),4)</f>
        <v>-3.54</v>
      </c>
      <c r="N549" s="249">
        <f>IFERROR(ROUND((M549/I549),2),"")</f>
        <v>-1</v>
      </c>
      <c r="O549" s="250">
        <f>IF(D549="O",IF(N549&lt;0,N549,0),0)</f>
        <v>0</v>
      </c>
      <c r="P549" s="251">
        <f>IF(N549&gt;= 0,N549,0)</f>
        <v>0</v>
      </c>
      <c r="Q549" s="251">
        <f>IF(N549&lt;0,N549,0)</f>
        <v>-1</v>
      </c>
      <c r="R5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30826</v>
      </c>
      <c r="T5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49" s="253">
        <f ca="1">IF(Tabla33610673[[#This Row],[Equity]]&lt;Tabla33610673[[#This Row],[Equity Peak]],(Tabla33610673[[#This Row],[Equity Peak]]-Tabla33610673[[#This Row],[Equity]])/Tabla33610673[[#This Row],[Equity Peak]],"")</f>
        <v>1.7998789461947693E-2</v>
      </c>
      <c r="V549" s="254">
        <f>IF(B549="FX",N549,0)</f>
        <v>0</v>
      </c>
      <c r="W549" s="254">
        <f>IF(D549="O",IF(V549&lt;0,V549,0),0)</f>
        <v>0</v>
      </c>
      <c r="X549" s="254">
        <f>IF(B549="COM",N549,0)</f>
        <v>-1</v>
      </c>
      <c r="Y549" s="254">
        <f>IF(D549="O",IF(X549&lt;0,X549,0),0)</f>
        <v>0</v>
      </c>
      <c r="Z549" s="254">
        <f>IF(B549="IND",N549,0)</f>
        <v>0</v>
      </c>
      <c r="AA549" s="250">
        <f>IF(D549="O",IF(Z549&lt;0,Z549,0),0)</f>
        <v>0</v>
      </c>
      <c r="AB549" s="254">
        <f>IF(B549="CRYPTO",N549,0)</f>
        <v>0</v>
      </c>
      <c r="AC549" s="250">
        <f>IF(D549="O",IF(AB549&lt;0,AB549,0),0)</f>
        <v>0</v>
      </c>
      <c r="AD549" s="255">
        <f>IF(K549&lt;&gt;"",K549-E549,0)</f>
        <v>1.9444444442342501E-2</v>
      </c>
      <c r="AE549" s="255">
        <f>IF(N549&gt;0,AD549,0)</f>
        <v>0</v>
      </c>
      <c r="AF549" s="255">
        <f>IF(N549&lt;0,AD549,0)</f>
        <v>1.9444444442342501E-2</v>
      </c>
      <c r="AG549" s="255">
        <f>IF(N549=0,AD549,0)</f>
        <v>0</v>
      </c>
    </row>
    <row r="550" spans="2:33" ht="15" customHeight="1" x14ac:dyDescent="0.3">
      <c r="B550" s="196" t="s">
        <v>19</v>
      </c>
      <c r="C550" s="197" t="s">
        <v>13</v>
      </c>
      <c r="D550" s="246" t="str">
        <f>IF(E550&lt;&gt;"",IF(K550&lt;&gt;"","C","O"),"")</f>
        <v>C</v>
      </c>
      <c r="E550" s="199">
        <v>44684.427083333336</v>
      </c>
      <c r="F550" s="200" t="s">
        <v>88</v>
      </c>
      <c r="G550" s="235">
        <v>1853.93</v>
      </c>
      <c r="H550" s="235">
        <v>1857.59</v>
      </c>
      <c r="I550" s="247">
        <f>ABS(G550-H550)</f>
        <v>3.6599999999998545</v>
      </c>
      <c r="J550" s="235">
        <v>1809.99</v>
      </c>
      <c r="K550" s="199">
        <v>44684.431944444441</v>
      </c>
      <c r="L550" s="235">
        <v>1857.59</v>
      </c>
      <c r="M550" s="248">
        <f>ROUND(IF(C550="L",(L550-G550),(G550-L550)),4)</f>
        <v>-3.66</v>
      </c>
      <c r="N550" s="249">
        <f>IFERROR(ROUND((M550/I550),2),"")</f>
        <v>-1</v>
      </c>
      <c r="O550" s="250">
        <f>IF(D550="O",IF(N550&lt;0,N550,0),0)</f>
        <v>0</v>
      </c>
      <c r="P550" s="251">
        <f>IF(N550&gt;= 0,N550,0)</f>
        <v>0</v>
      </c>
      <c r="Q550" s="251">
        <f>IF(N550&lt;0,N550,0)</f>
        <v>-1</v>
      </c>
      <c r="R5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30926</v>
      </c>
      <c r="T5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0" s="253">
        <f ca="1">IF(Tabla33610673[[#This Row],[Equity]]&lt;Tabla33610673[[#This Row],[Equity Peak]],(Tabla33610673[[#This Row],[Equity Peak]]-Tabla33610673[[#This Row],[Equity]])/Tabla33610673[[#This Row],[Equity Peak]],"")</f>
        <v>1.4813163008505622E-2</v>
      </c>
      <c r="V550" s="254">
        <f>IF(B550="FX",N550,0)</f>
        <v>0</v>
      </c>
      <c r="W550" s="254">
        <f>IF(D550="O",IF(V550&lt;0,V550,0),0)</f>
        <v>0</v>
      </c>
      <c r="X550" s="254">
        <f>IF(B550="COM",N550,0)</f>
        <v>-1</v>
      </c>
      <c r="Y550" s="254">
        <f>IF(D550="O",IF(X550&lt;0,X550,0),0)</f>
        <v>0</v>
      </c>
      <c r="Z550" s="254">
        <f>IF(B550="IND",N550,0)</f>
        <v>0</v>
      </c>
      <c r="AA550" s="250">
        <f>IF(D550="O",IF(Z550&lt;0,Z550,0),0)</f>
        <v>0</v>
      </c>
      <c r="AB550" s="254">
        <f>IF(B550="CRYPTO",N550,0)</f>
        <v>0</v>
      </c>
      <c r="AC550" s="250">
        <f>IF(D550="O",IF(AB550&lt;0,AB550,0),0)</f>
        <v>0</v>
      </c>
      <c r="AD550" s="255">
        <f>IF(K550&lt;&gt;"",K550-E550,0)</f>
        <v>4.8611111051286571E-3</v>
      </c>
      <c r="AE550" s="255">
        <f>IF(N550&gt;0,AD550,0)</f>
        <v>0</v>
      </c>
      <c r="AF550" s="255">
        <f>IF(N550&lt;0,AD550,0)</f>
        <v>4.8611111051286571E-3</v>
      </c>
      <c r="AG550" s="255">
        <f>IF(N550=0,AD550,0)</f>
        <v>0</v>
      </c>
    </row>
    <row r="551" spans="2:33" ht="15" customHeight="1" x14ac:dyDescent="0.3">
      <c r="B551" s="196" t="s">
        <v>7</v>
      </c>
      <c r="C551" s="197" t="s">
        <v>13</v>
      </c>
      <c r="D551" s="246" t="str">
        <f>IF(E551&lt;&gt;"",IF(K551&lt;&gt;"","C","O"),"")</f>
        <v>C</v>
      </c>
      <c r="E551" s="199">
        <v>44683.90625</v>
      </c>
      <c r="F551" s="200" t="s">
        <v>115</v>
      </c>
      <c r="G551" s="235">
        <v>162.35499999999999</v>
      </c>
      <c r="H551" s="235">
        <v>162.988</v>
      </c>
      <c r="I551" s="247">
        <f>ABS(G551-H551)</f>
        <v>0.63300000000000978</v>
      </c>
      <c r="J551" s="235">
        <v>160.54599999999999</v>
      </c>
      <c r="K551" s="199">
        <v>44684.313888888886</v>
      </c>
      <c r="L551" s="235">
        <v>162.988</v>
      </c>
      <c r="M551" s="248">
        <f>ROUND(IF(C551="L",(L551-G551),(G551-L551)),4)</f>
        <v>-0.63300000000000001</v>
      </c>
      <c r="N551" s="249">
        <f>IFERROR(ROUND((M551/I551),2),"")</f>
        <v>-1</v>
      </c>
      <c r="O551" s="250">
        <f>IF(D551="O",IF(N551&lt;0,N551,0),0)</f>
        <v>0</v>
      </c>
      <c r="P551" s="251">
        <f>IF(N551&gt;= 0,N551,0)</f>
        <v>0</v>
      </c>
      <c r="Q551" s="251">
        <f>IF(N551&lt;0,N551,0)</f>
        <v>-1</v>
      </c>
      <c r="R5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31026</v>
      </c>
      <c r="T5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1" s="253">
        <f ca="1">IF(Tabla33610673[[#This Row],[Equity]]&lt;Tabla33610673[[#This Row],[Equity Peak]],(Tabla33610673[[#This Row],[Equity Peak]]-Tabla33610673[[#This Row],[Equity]])/Tabla33610673[[#This Row],[Equity Peak]],"")</f>
        <v>1.1627536555063553E-2</v>
      </c>
      <c r="V551" s="254">
        <f>IF(B551="FX",N551,0)</f>
        <v>-1</v>
      </c>
      <c r="W551" s="254">
        <f>IF(D551="O",IF(V551&lt;0,V551,0),0)</f>
        <v>0</v>
      </c>
      <c r="X551" s="254">
        <f>IF(B551="COM",N551,0)</f>
        <v>0</v>
      </c>
      <c r="Y551" s="254">
        <f>IF(D551="O",IF(X551&lt;0,X551,0),0)</f>
        <v>0</v>
      </c>
      <c r="Z551" s="254">
        <f>IF(B551="IND",N551,0)</f>
        <v>0</v>
      </c>
      <c r="AA551" s="250">
        <f>IF(D551="O",IF(Z551&lt;0,Z551,0),0)</f>
        <v>0</v>
      </c>
      <c r="AB551" s="254">
        <f>IF(B551="CRYPTO",N551,0)</f>
        <v>0</v>
      </c>
      <c r="AC551" s="250">
        <f>IF(D551="O",IF(AB551&lt;0,AB551,0),0)</f>
        <v>0</v>
      </c>
      <c r="AD551" s="255">
        <f>IF(K551&lt;&gt;"",K551-E551,0)</f>
        <v>0.40763888888614019</v>
      </c>
      <c r="AE551" s="255">
        <f>IF(N551&gt;0,AD551,0)</f>
        <v>0</v>
      </c>
      <c r="AF551" s="255">
        <f>IF(N551&lt;0,AD551,0)</f>
        <v>0.40763888888614019</v>
      </c>
      <c r="AG551" s="255">
        <f>IF(N551=0,AD551,0)</f>
        <v>0</v>
      </c>
    </row>
    <row r="552" spans="2:33" ht="15" customHeight="1" x14ac:dyDescent="0.3">
      <c r="B552" s="196" t="s">
        <v>19</v>
      </c>
      <c r="C552" s="197" t="s">
        <v>13</v>
      </c>
      <c r="D552" s="246" t="str">
        <f>IF(E552&lt;&gt;"",IF(K552&lt;&gt;"","C","O"),"")</f>
        <v>C</v>
      </c>
      <c r="E552" s="199">
        <v>44683.65625</v>
      </c>
      <c r="F552" s="200" t="s">
        <v>88</v>
      </c>
      <c r="G552" s="235">
        <v>1865.29</v>
      </c>
      <c r="H552" s="235">
        <v>1869.29</v>
      </c>
      <c r="I552" s="247">
        <f>ABS(G552-H552)</f>
        <v>4</v>
      </c>
      <c r="J552" s="235">
        <v>1817.24</v>
      </c>
      <c r="K552" s="199">
        <v>44683.779166666667</v>
      </c>
      <c r="L552" s="235">
        <v>1868.8</v>
      </c>
      <c r="M552" s="248">
        <f>ROUND(IF(C552="L",(L552-G552),(G552-L552)),4)</f>
        <v>-3.51</v>
      </c>
      <c r="N552" s="249">
        <f>IFERROR(ROUND((M552/I552),2),"")</f>
        <v>-0.88</v>
      </c>
      <c r="O552" s="250">
        <f>IF(D552="O",IF(N552&lt;0,N552,0),0)</f>
        <v>0</v>
      </c>
      <c r="P552" s="251">
        <f>IF(N552&gt;= 0,N552,0)</f>
        <v>0</v>
      </c>
      <c r="Q552" s="251">
        <f>IF(N552&lt;0,N552,0)</f>
        <v>-0.88</v>
      </c>
      <c r="R5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31126</v>
      </c>
      <c r="T5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2" s="253">
        <f ca="1">IF(Tabla33610673[[#This Row],[Equity]]&lt;Tabla33610673[[#This Row],[Equity Peak]],(Tabla33610673[[#This Row],[Equity Peak]]-Tabla33610673[[#This Row],[Equity]])/Tabla33610673[[#This Row],[Equity Peak]],"")</f>
        <v>8.4419101016214842E-3</v>
      </c>
      <c r="V552" s="254">
        <f>IF(B552="FX",N552,0)</f>
        <v>0</v>
      </c>
      <c r="W552" s="254">
        <f>IF(D552="O",IF(V552&lt;0,V552,0),0)</f>
        <v>0</v>
      </c>
      <c r="X552" s="254">
        <f>IF(B552="COM",N552,0)</f>
        <v>-0.88</v>
      </c>
      <c r="Y552" s="254">
        <f>IF(D552="O",IF(X552&lt;0,X552,0),0)</f>
        <v>0</v>
      </c>
      <c r="Z552" s="254">
        <f>IF(B552="IND",N552,0)</f>
        <v>0</v>
      </c>
      <c r="AA552" s="250">
        <f>IF(D552="O",IF(Z552&lt;0,Z552,0),0)</f>
        <v>0</v>
      </c>
      <c r="AB552" s="254">
        <f>IF(B552="CRYPTO",N552,0)</f>
        <v>0</v>
      </c>
      <c r="AC552" s="250">
        <f>IF(D552="O",IF(AB552&lt;0,AB552,0),0)</f>
        <v>0</v>
      </c>
      <c r="AD552" s="255">
        <f>IF(K552&lt;&gt;"",K552-E552,0)</f>
        <v>0.12291666666715173</v>
      </c>
      <c r="AE552" s="255">
        <f>IF(N552&gt;0,AD552,0)</f>
        <v>0</v>
      </c>
      <c r="AF552" s="255">
        <f>IF(N552&lt;0,AD552,0)</f>
        <v>0.12291666666715173</v>
      </c>
      <c r="AG552" s="255">
        <f>IF(N552=0,AD552,0)</f>
        <v>0</v>
      </c>
    </row>
    <row r="553" spans="2:33" ht="15" customHeight="1" x14ac:dyDescent="0.3">
      <c r="B553" s="196" t="s">
        <v>5</v>
      </c>
      <c r="C553" s="197" t="s">
        <v>13</v>
      </c>
      <c r="D553" s="246" t="str">
        <f>IF(E553&lt;&gt;"",IF(K553&lt;&gt;"","C","O"),"")</f>
        <v>C</v>
      </c>
      <c r="E553" s="199">
        <v>44680.927083333336</v>
      </c>
      <c r="F553" s="200" t="s">
        <v>92</v>
      </c>
      <c r="G553" s="235">
        <v>12935.2</v>
      </c>
      <c r="H553" s="235">
        <v>12997.56</v>
      </c>
      <c r="I553" s="247">
        <f>ABS(G553-H553)</f>
        <v>62.359999999998763</v>
      </c>
      <c r="J553" s="235">
        <v>11771.19</v>
      </c>
      <c r="K553" s="199">
        <v>44683.706944444442</v>
      </c>
      <c r="L553" s="235">
        <v>12954.84</v>
      </c>
      <c r="M553" s="248">
        <f>ROUND(IF(C553="L",(L553-G553),(G553-L553)),4)</f>
        <v>-19.64</v>
      </c>
      <c r="N553" s="249">
        <f>IFERROR(ROUND((M553/I553),2),"")</f>
        <v>-0.31</v>
      </c>
      <c r="O553" s="250">
        <f>IF(D553="O",IF(N553&lt;0,N553,0),0)</f>
        <v>0</v>
      </c>
      <c r="P553" s="251">
        <f>IF(N553&gt;= 0,N553,0)</f>
        <v>0</v>
      </c>
      <c r="Q553" s="251">
        <f>IF(N553&lt;0,N553,0)</f>
        <v>-0.31</v>
      </c>
      <c r="R5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31214</v>
      </c>
      <c r="T5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3" s="253">
        <f ca="1">IF(Tabla33610673[[#This Row],[Equity]]&lt;Tabla33610673[[#This Row],[Equity Peak]],(Tabla33610673[[#This Row],[Equity Peak]]-Tabla33610673[[#This Row],[Equity]])/Tabla33610673[[#This Row],[Equity Peak]],"")</f>
        <v>5.638558822592463E-3</v>
      </c>
      <c r="V553" s="254">
        <f>IF(B553="FX",N553,0)</f>
        <v>0</v>
      </c>
      <c r="W553" s="254">
        <f>IF(D553="O",IF(V553&lt;0,V553,0),0)</f>
        <v>0</v>
      </c>
      <c r="X553" s="254">
        <f>IF(B553="COM",N553,0)</f>
        <v>0</v>
      </c>
      <c r="Y553" s="254">
        <f>IF(D553="O",IF(X553&lt;0,X553,0),0)</f>
        <v>0</v>
      </c>
      <c r="Z553" s="254">
        <f>IF(B553="IND",N553,0)</f>
        <v>-0.31</v>
      </c>
      <c r="AA553" s="250">
        <f>IF(D553="O",IF(Z553&lt;0,Z553,0),0)</f>
        <v>0</v>
      </c>
      <c r="AB553" s="254">
        <f>IF(B553="CRYPTO",N553,0)</f>
        <v>0</v>
      </c>
      <c r="AC553" s="250">
        <f>IF(D553="O",IF(AB553&lt;0,AB553,0),0)</f>
        <v>0</v>
      </c>
      <c r="AD553" s="255">
        <f>IF(K553&lt;&gt;"",K553-E553,0)</f>
        <v>2.7798611111065838</v>
      </c>
      <c r="AE553" s="255">
        <f>IF(N553&gt;0,AD553,0)</f>
        <v>0</v>
      </c>
      <c r="AF553" s="255">
        <f>IF(N553&lt;0,AD553,0)</f>
        <v>2.7798611111065838</v>
      </c>
      <c r="AG553" s="255">
        <f>IF(N553=0,AD553,0)</f>
        <v>0</v>
      </c>
    </row>
    <row r="554" spans="2:33" ht="15" customHeight="1" x14ac:dyDescent="0.3">
      <c r="B554" s="196" t="s">
        <v>5</v>
      </c>
      <c r="C554" s="197" t="s">
        <v>13</v>
      </c>
      <c r="D554" s="246" t="str">
        <f>IF(E554&lt;&gt;"",IF(K554&lt;&gt;"","C","O"),"")</f>
        <v>C</v>
      </c>
      <c r="E554" s="199">
        <v>44683.625</v>
      </c>
      <c r="F554" s="200" t="s">
        <v>93</v>
      </c>
      <c r="G554" s="235">
        <v>12780.36</v>
      </c>
      <c r="H554" s="235">
        <v>12847.42</v>
      </c>
      <c r="I554" s="247">
        <f>ABS(G554-H554)</f>
        <v>67.059999999999491</v>
      </c>
      <c r="J554" s="235">
        <v>12065.01</v>
      </c>
      <c r="K554" s="199">
        <v>44683.674305555556</v>
      </c>
      <c r="L554" s="235">
        <v>12847.42</v>
      </c>
      <c r="M554" s="248">
        <f>ROUND(IF(C554="L",(L554-G554),(G554-L554)),4)</f>
        <v>-67.06</v>
      </c>
      <c r="N554" s="249">
        <f>IFERROR(ROUND((M554/I554),2),"")</f>
        <v>-1</v>
      </c>
      <c r="O554" s="250">
        <f>IF(D554="O",IF(N554&lt;0,N554,0),0)</f>
        <v>0</v>
      </c>
      <c r="P554" s="251">
        <f>IF(N554&gt;= 0,N554,0)</f>
        <v>0</v>
      </c>
      <c r="Q554" s="251">
        <f>IF(N554&lt;0,N554,0)</f>
        <v>-1</v>
      </c>
      <c r="R5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31245</v>
      </c>
      <c r="T5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4" s="253">
        <f ca="1">IF(Tabla33610673[[#This Row],[Equity]]&lt;Tabla33610673[[#This Row],[Equity Peak]],(Tabla33610673[[#This Row],[Equity Peak]]-Tabla33610673[[#This Row],[Equity]])/Tabla33610673[[#This Row],[Equity Peak]],"")</f>
        <v>4.6510146220254209E-3</v>
      </c>
      <c r="V554" s="254">
        <f>IF(B554="FX",N554,0)</f>
        <v>0</v>
      </c>
      <c r="W554" s="254">
        <f>IF(D554="O",IF(V554&lt;0,V554,0),0)</f>
        <v>0</v>
      </c>
      <c r="X554" s="254">
        <f>IF(B554="COM",N554,0)</f>
        <v>0</v>
      </c>
      <c r="Y554" s="254">
        <f>IF(D554="O",IF(X554&lt;0,X554,0),0)</f>
        <v>0</v>
      </c>
      <c r="Z554" s="254">
        <f>IF(B554="IND",N554,0)</f>
        <v>-1</v>
      </c>
      <c r="AA554" s="250">
        <f>IF(D554="O",IF(Z554&lt;0,Z554,0),0)</f>
        <v>0</v>
      </c>
      <c r="AB554" s="254">
        <f>IF(B554="CRYPTO",N554,0)</f>
        <v>0</v>
      </c>
      <c r="AC554" s="250">
        <f>IF(D554="O",IF(AB554&lt;0,AB554,0),0)</f>
        <v>0</v>
      </c>
      <c r="AD554" s="255">
        <f>IF(K554&lt;&gt;"",K554-E554,0)</f>
        <v>4.9305555556202307E-2</v>
      </c>
      <c r="AE554" s="255">
        <f>IF(N554&gt;0,AD554,0)</f>
        <v>0</v>
      </c>
      <c r="AF554" s="255">
        <f>IF(N554&lt;0,AD554,0)</f>
        <v>4.9305555556202307E-2</v>
      </c>
      <c r="AG554" s="255">
        <f>IF(N554=0,AD554,0)</f>
        <v>0</v>
      </c>
    </row>
    <row r="555" spans="2:33" ht="15" customHeight="1" x14ac:dyDescent="0.3">
      <c r="B555" s="196" t="s">
        <v>5</v>
      </c>
      <c r="C555" s="197" t="s">
        <v>13</v>
      </c>
      <c r="D555" s="246" t="str">
        <f>IF(E555&lt;&gt;"",IF(K555&lt;&gt;"","C","O"),"")</f>
        <v>C</v>
      </c>
      <c r="E555" s="199">
        <v>44680.927083333336</v>
      </c>
      <c r="F555" s="200" t="s">
        <v>93</v>
      </c>
      <c r="G555" s="235">
        <v>12935.2</v>
      </c>
      <c r="H555" s="235">
        <v>13003.44</v>
      </c>
      <c r="I555" s="247">
        <f>ABS(G555-H555)</f>
        <v>68.239999999999782</v>
      </c>
      <c r="J555" s="235">
        <v>12207.28</v>
      </c>
      <c r="K555" s="199">
        <v>44683.418749999997</v>
      </c>
      <c r="L555" s="235">
        <v>12966.47</v>
      </c>
      <c r="M555" s="248">
        <f>ROUND(IF(C555="L",(L555-G555),(G555-L555)),4)</f>
        <v>-31.27</v>
      </c>
      <c r="N555" s="249">
        <f>IFERROR(ROUND((M555/I555),2),"")</f>
        <v>-0.46</v>
      </c>
      <c r="O555" s="250">
        <f>IF(D555="O",IF(N555&lt;0,N555,0),0)</f>
        <v>0</v>
      </c>
      <c r="P555" s="251">
        <f>IF(N555&gt;= 0,N555,0)</f>
        <v>0</v>
      </c>
      <c r="Q555" s="251">
        <f>IF(N555&lt;0,N555,0)</f>
        <v>-0.46</v>
      </c>
      <c r="R5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31345</v>
      </c>
      <c r="T5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5" s="253">
        <f ca="1">IF(Tabla33610673[[#This Row],[Equity]]&lt;Tabla33610673[[#This Row],[Equity Peak]],(Tabla33610673[[#This Row],[Equity Peak]]-Tabla33610673[[#This Row],[Equity]])/Tabla33610673[[#This Row],[Equity Peak]],"")</f>
        <v>1.4653881685833519E-3</v>
      </c>
      <c r="V555" s="254">
        <f>IF(B555="FX",N555,0)</f>
        <v>0</v>
      </c>
      <c r="W555" s="254">
        <f>IF(D555="O",IF(V555&lt;0,V555,0),0)</f>
        <v>0</v>
      </c>
      <c r="X555" s="254">
        <f>IF(B555="COM",N555,0)</f>
        <v>0</v>
      </c>
      <c r="Y555" s="254">
        <f>IF(D555="O",IF(X555&lt;0,X555,0),0)</f>
        <v>0</v>
      </c>
      <c r="Z555" s="254">
        <f>IF(B555="IND",N555,0)</f>
        <v>-0.46</v>
      </c>
      <c r="AA555" s="250">
        <f>IF(D555="O",IF(Z555&lt;0,Z555,0),0)</f>
        <v>0</v>
      </c>
      <c r="AB555" s="254">
        <f>IF(B555="CRYPTO",N555,0)</f>
        <v>0</v>
      </c>
      <c r="AC555" s="250">
        <f>IF(D555="O",IF(AB555&lt;0,AB555,0),0)</f>
        <v>0</v>
      </c>
      <c r="AD555" s="255">
        <f>IF(K555&lt;&gt;"",K555-E555,0)</f>
        <v>2.491666666661331</v>
      </c>
      <c r="AE555" s="255">
        <f>IF(N555&gt;0,AD555,0)</f>
        <v>0</v>
      </c>
      <c r="AF555" s="255">
        <f>IF(N555&lt;0,AD555,0)</f>
        <v>2.491666666661331</v>
      </c>
      <c r="AG555" s="255">
        <f>IF(N555=0,AD555,0)</f>
        <v>0</v>
      </c>
    </row>
    <row r="556" spans="2:33" ht="15" customHeight="1" x14ac:dyDescent="0.3">
      <c r="B556" s="196" t="s">
        <v>19</v>
      </c>
      <c r="C556" s="197" t="s">
        <v>13</v>
      </c>
      <c r="D556" s="246" t="str">
        <f>IF(E556&lt;&gt;"",IF(K556&lt;&gt;"","C","O"),"")</f>
        <v>C</v>
      </c>
      <c r="E556" s="199">
        <v>44676.572916666664</v>
      </c>
      <c r="F556" s="200" t="s">
        <v>88</v>
      </c>
      <c r="G556" s="235">
        <v>1911.23</v>
      </c>
      <c r="H556" s="235">
        <v>1915.25</v>
      </c>
      <c r="I556" s="247">
        <f>ABS(G556-H556)</f>
        <v>4.0199999999999818</v>
      </c>
      <c r="J556" s="235">
        <v>1863.03</v>
      </c>
      <c r="K556" s="199">
        <v>44679.532638888886</v>
      </c>
      <c r="L556" s="235">
        <v>1891.18</v>
      </c>
      <c r="M556" s="248">
        <f>ROUND(IF(C556="L",(L556-G556),(G556-L556)),4)</f>
        <v>20.05</v>
      </c>
      <c r="N556" s="249">
        <f>IFERROR(ROUND((M556/I556),2),"")</f>
        <v>4.99</v>
      </c>
      <c r="O556" s="250">
        <f>IF(D556="O",IF(N556&lt;0,N556,0),0)</f>
        <v>0</v>
      </c>
      <c r="P556" s="251">
        <f>IF(N556&gt;= 0,N556,0)</f>
        <v>4.99</v>
      </c>
      <c r="Q556" s="251">
        <f>IF(N556&lt;0,N556,0)</f>
        <v>0</v>
      </c>
      <c r="R5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31391</v>
      </c>
      <c r="T5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31391</v>
      </c>
      <c r="U55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56" s="254">
        <f>IF(B556="FX",N556,0)</f>
        <v>0</v>
      </c>
      <c r="W556" s="254">
        <f>IF(D556="O",IF(V556&lt;0,V556,0),0)</f>
        <v>0</v>
      </c>
      <c r="X556" s="254">
        <f>IF(B556="COM",N556,0)</f>
        <v>4.99</v>
      </c>
      <c r="Y556" s="254">
        <f>IF(D556="O",IF(X556&lt;0,X556,0),0)</f>
        <v>0</v>
      </c>
      <c r="Z556" s="254">
        <f>IF(B556="IND",N556,0)</f>
        <v>0</v>
      </c>
      <c r="AA556" s="250">
        <f>IF(D556="O",IF(Z556&lt;0,Z556,0),0)</f>
        <v>0</v>
      </c>
      <c r="AB556" s="254">
        <f>IF(B556="CRYPTO",N556,0)</f>
        <v>0</v>
      </c>
      <c r="AC556" s="250">
        <f>IF(D556="O",IF(AB556&lt;0,AB556,0),0)</f>
        <v>0</v>
      </c>
      <c r="AD556" s="255">
        <f>IF(K556&lt;&gt;"",K556-E556,0)</f>
        <v>2.9597222222218988</v>
      </c>
      <c r="AE556" s="255">
        <f>IF(N556&gt;0,AD556,0)</f>
        <v>2.9597222222218988</v>
      </c>
      <c r="AF556" s="255">
        <f>IF(N556&lt;0,AD556,0)</f>
        <v>0</v>
      </c>
      <c r="AG556" s="255">
        <f>IF(N556=0,AD556,0)</f>
        <v>0</v>
      </c>
    </row>
    <row r="557" spans="2:33" ht="15" customHeight="1" x14ac:dyDescent="0.3">
      <c r="B557" s="196" t="s">
        <v>7</v>
      </c>
      <c r="C557" s="197" t="s">
        <v>15</v>
      </c>
      <c r="D557" s="246" t="str">
        <f>IF(E557&lt;&gt;"",IF(K557&lt;&gt;"","C","O"),"")</f>
        <v>C</v>
      </c>
      <c r="E557" s="199">
        <v>44679.260416666664</v>
      </c>
      <c r="F557" s="200" t="s">
        <v>116</v>
      </c>
      <c r="G557" s="235">
        <v>129.52099999999999</v>
      </c>
      <c r="H557" s="235">
        <v>129.20099999999999</v>
      </c>
      <c r="I557" s="247">
        <f>ABS(G557-H557)</f>
        <v>0.31999999999999318</v>
      </c>
      <c r="J557" s="235">
        <v>132.85400000000001</v>
      </c>
      <c r="K557" s="199">
        <v>44679.429166666669</v>
      </c>
      <c r="L557" s="235">
        <v>129.99700000000001</v>
      </c>
      <c r="M557" s="248">
        <f>ROUND(IF(C557="L",(L557-G557),(G557-L557)),4)</f>
        <v>0.47599999999999998</v>
      </c>
      <c r="N557" s="249">
        <f>IFERROR(ROUND((M557/I557),2),"")</f>
        <v>1.49</v>
      </c>
      <c r="O557" s="250">
        <f>IF(D557="O",IF(N557&lt;0,N557,0),0)</f>
        <v>0</v>
      </c>
      <c r="P557" s="251">
        <f>IF(N557&gt;= 0,N557,0)</f>
        <v>1.49</v>
      </c>
      <c r="Q557" s="251">
        <f>IF(N557&lt;0,N557,0)</f>
        <v>0</v>
      </c>
      <c r="R5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30892</v>
      </c>
      <c r="T5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30892</v>
      </c>
      <c r="U55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57" s="254">
        <f>IF(B557="FX",N557,0)</f>
        <v>1.49</v>
      </c>
      <c r="W557" s="254">
        <f>IF(D557="O",IF(V557&lt;0,V557,0),0)</f>
        <v>0</v>
      </c>
      <c r="X557" s="254">
        <f>IF(B557="COM",N557,0)</f>
        <v>0</v>
      </c>
      <c r="Y557" s="254">
        <f>IF(D557="O",IF(X557&lt;0,X557,0),0)</f>
        <v>0</v>
      </c>
      <c r="Z557" s="254">
        <f>IF(B557="IND",N557,0)</f>
        <v>0</v>
      </c>
      <c r="AA557" s="250">
        <f>IF(D557="O",IF(Z557&lt;0,Z557,0),0)</f>
        <v>0</v>
      </c>
      <c r="AB557" s="254">
        <f>IF(B557="CRYPTO",N557,0)</f>
        <v>0</v>
      </c>
      <c r="AC557" s="250">
        <f>IF(D557="O",IF(AB557&lt;0,AB557,0),0)</f>
        <v>0</v>
      </c>
      <c r="AD557" s="255">
        <f>IF(K557&lt;&gt;"",K557-E557,0)</f>
        <v>0.16875000000436557</v>
      </c>
      <c r="AE557" s="255">
        <f>IF(N557&gt;0,AD557,0)</f>
        <v>0.16875000000436557</v>
      </c>
      <c r="AF557" s="255">
        <f>IF(N557&lt;0,AD557,0)</f>
        <v>0</v>
      </c>
      <c r="AG557" s="255">
        <f>IF(N557=0,AD557,0)</f>
        <v>0</v>
      </c>
    </row>
    <row r="558" spans="2:33" ht="15" customHeight="1" x14ac:dyDescent="0.3">
      <c r="B558" s="196" t="s">
        <v>7</v>
      </c>
      <c r="C558" s="197" t="s">
        <v>15</v>
      </c>
      <c r="D558" s="246" t="str">
        <f>IF(E558&lt;&gt;"",IF(K558&lt;&gt;"","C","O"),"")</f>
        <v>C</v>
      </c>
      <c r="E558" s="199">
        <v>44679.166666666664</v>
      </c>
      <c r="F558" s="200" t="s">
        <v>115</v>
      </c>
      <c r="G558" s="235">
        <v>161.441</v>
      </c>
      <c r="H558" s="235">
        <v>160.76400000000001</v>
      </c>
      <c r="I558" s="247">
        <f>ABS(G558-H558)</f>
        <v>0.6769999999999925</v>
      </c>
      <c r="J558" s="235">
        <v>163.376</v>
      </c>
      <c r="K558" s="199">
        <v>44679.411111111112</v>
      </c>
      <c r="L558" s="235">
        <v>163.376</v>
      </c>
      <c r="M558" s="248">
        <f>ROUND(IF(C558="L",(L558-G558),(G558-L558)),4)</f>
        <v>1.9350000000000001</v>
      </c>
      <c r="N558" s="249">
        <f>IFERROR(ROUND((M558/I558),2),"")</f>
        <v>2.86</v>
      </c>
      <c r="O558" s="250">
        <f>IF(D558="O",IF(N558&lt;0,N558,0),0)</f>
        <v>0</v>
      </c>
      <c r="P558" s="251">
        <f>IF(N558&gt;= 0,N558,0)</f>
        <v>2.86</v>
      </c>
      <c r="Q558" s="251">
        <f>IF(N558&lt;0,N558,0)</f>
        <v>0</v>
      </c>
      <c r="R5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30743</v>
      </c>
      <c r="T5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30743</v>
      </c>
      <c r="U55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58" s="254">
        <f>IF(B558="FX",N558,0)</f>
        <v>2.86</v>
      </c>
      <c r="W558" s="254">
        <f>IF(D558="O",IF(V558&lt;0,V558,0),0)</f>
        <v>0</v>
      </c>
      <c r="X558" s="254">
        <f>IF(B558="COM",N558,0)</f>
        <v>0</v>
      </c>
      <c r="Y558" s="254">
        <f>IF(D558="O",IF(X558&lt;0,X558,0),0)</f>
        <v>0</v>
      </c>
      <c r="Z558" s="254">
        <f>IF(B558="IND",N558,0)</f>
        <v>0</v>
      </c>
      <c r="AA558" s="250">
        <f>IF(D558="O",IF(Z558&lt;0,Z558,0),0)</f>
        <v>0</v>
      </c>
      <c r="AB558" s="254">
        <f>IF(B558="CRYPTO",N558,0)</f>
        <v>0</v>
      </c>
      <c r="AC558" s="250">
        <f>IF(D558="O",IF(AB558&lt;0,AB558,0),0)</f>
        <v>0</v>
      </c>
      <c r="AD558" s="255">
        <f>IF(K558&lt;&gt;"",K558-E558,0)</f>
        <v>0.24444444444816327</v>
      </c>
      <c r="AE558" s="255">
        <f>IF(N558&gt;0,AD558,0)</f>
        <v>0.24444444444816327</v>
      </c>
      <c r="AF558" s="255">
        <f>IF(N558&lt;0,AD558,0)</f>
        <v>0</v>
      </c>
      <c r="AG558" s="255">
        <f>IF(N558=0,AD558,0)</f>
        <v>0</v>
      </c>
    </row>
    <row r="559" spans="2:33" ht="15" customHeight="1" x14ac:dyDescent="0.3">
      <c r="B559" s="196" t="s">
        <v>7</v>
      </c>
      <c r="C559" s="197" t="s">
        <v>13</v>
      </c>
      <c r="D559" s="246" t="str">
        <f>IF(E559&lt;&gt;"",IF(K559&lt;&gt;"","C","O"),"")</f>
        <v>C</v>
      </c>
      <c r="E559" s="199">
        <v>44677.4375</v>
      </c>
      <c r="F559" s="200" t="s">
        <v>114</v>
      </c>
      <c r="G559" s="235">
        <v>1.0690999999999999</v>
      </c>
      <c r="H559" s="235">
        <v>1.07067</v>
      </c>
      <c r="I559" s="247">
        <f>ABS(G559-H559)</f>
        <v>1.5700000000000713E-3</v>
      </c>
      <c r="J559" s="235">
        <v>1.0549999999999999</v>
      </c>
      <c r="K559" s="199">
        <v>44678.660416666666</v>
      </c>
      <c r="L559" s="235">
        <v>1.0549999999999999</v>
      </c>
      <c r="M559" s="248">
        <f>ROUND(IF(C559="L",(L559-G559),(G559-L559)),4)</f>
        <v>1.41E-2</v>
      </c>
      <c r="N559" s="249">
        <f>IFERROR(ROUND((M559/I559),2),"")</f>
        <v>8.98</v>
      </c>
      <c r="O559" s="250">
        <f>IF(D559="O",IF(N559&lt;0,N559,0),0)</f>
        <v>0</v>
      </c>
      <c r="P559" s="251">
        <f>IF(N559&gt;= 0,N559,0)</f>
        <v>8.98</v>
      </c>
      <c r="Q559" s="251">
        <f>IF(N559&lt;0,N559,0)</f>
        <v>0</v>
      </c>
      <c r="R5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30457</v>
      </c>
      <c r="T5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30457</v>
      </c>
      <c r="U55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59" s="254">
        <f>IF(B559="FX",N559,0)</f>
        <v>8.98</v>
      </c>
      <c r="W559" s="254">
        <f>IF(D559="O",IF(V559&lt;0,V559,0),0)</f>
        <v>0</v>
      </c>
      <c r="X559" s="254">
        <f>IF(B559="COM",N559,0)</f>
        <v>0</v>
      </c>
      <c r="Y559" s="254">
        <f>IF(D559="O",IF(X559&lt;0,X559,0),0)</f>
        <v>0</v>
      </c>
      <c r="Z559" s="254">
        <f>IF(B559="IND",N559,0)</f>
        <v>0</v>
      </c>
      <c r="AA559" s="250">
        <f>IF(D559="O",IF(Z559&lt;0,Z559,0),0)</f>
        <v>0</v>
      </c>
      <c r="AB559" s="254">
        <f>IF(B559="CRYPTO",N559,0)</f>
        <v>0</v>
      </c>
      <c r="AC559" s="250">
        <f>IF(D559="O",IF(AB559&lt;0,AB559,0),0)</f>
        <v>0</v>
      </c>
      <c r="AD559" s="255">
        <f>IF(K559&lt;&gt;"",K559-E559,0)</f>
        <v>1.2229166666656965</v>
      </c>
      <c r="AE559" s="255">
        <f>IF(N559&gt;0,AD559,0)</f>
        <v>1.2229166666656965</v>
      </c>
      <c r="AF559" s="255">
        <f>IF(N559&lt;0,AD559,0)</f>
        <v>0</v>
      </c>
      <c r="AG559" s="255">
        <f>IF(N559=0,AD559,0)</f>
        <v>0</v>
      </c>
    </row>
    <row r="560" spans="2:33" ht="15" customHeight="1" x14ac:dyDescent="0.3">
      <c r="B560" s="196" t="s">
        <v>5</v>
      </c>
      <c r="C560" s="197" t="s">
        <v>13</v>
      </c>
      <c r="D560" s="246" t="str">
        <f>IF(E560&lt;&gt;"",IF(K560&lt;&gt;"","C","O"),"")</f>
        <v>C</v>
      </c>
      <c r="E560" s="199">
        <v>44677.75</v>
      </c>
      <c r="F560" s="200" t="s">
        <v>91</v>
      </c>
      <c r="G560" s="235">
        <v>13856.99</v>
      </c>
      <c r="H560" s="235">
        <v>13906.59</v>
      </c>
      <c r="I560" s="247">
        <f>ABS(G560-H560)</f>
        <v>49.600000000000364</v>
      </c>
      <c r="J560" s="235">
        <v>12931.1</v>
      </c>
      <c r="K560" s="199">
        <v>44678.456250000003</v>
      </c>
      <c r="L560" s="235">
        <v>13764.3</v>
      </c>
      <c r="M560" s="248">
        <f>ROUND(IF(C560="L",(L560-G560),(G560-L560)),4)</f>
        <v>92.69</v>
      </c>
      <c r="N560" s="249">
        <f>IFERROR(ROUND((M560/I560),2),"")</f>
        <v>1.87</v>
      </c>
      <c r="O560" s="250">
        <f>IF(D560="O",IF(N560&lt;0,N560,0),0)</f>
        <v>0</v>
      </c>
      <c r="P560" s="251">
        <f>IF(N560&gt;= 0,N560,0)</f>
        <v>1.87</v>
      </c>
      <c r="Q560" s="251">
        <f>IF(N560&lt;0,N560,0)</f>
        <v>0</v>
      </c>
      <c r="R5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29559</v>
      </c>
      <c r="T5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29559</v>
      </c>
      <c r="U56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60" s="254">
        <f>IF(B560="FX",N560,0)</f>
        <v>0</v>
      </c>
      <c r="W560" s="254">
        <f>IF(D560="O",IF(V560&lt;0,V560,0),0)</f>
        <v>0</v>
      </c>
      <c r="X560" s="254">
        <f>IF(B560="COM",N560,0)</f>
        <v>0</v>
      </c>
      <c r="Y560" s="254">
        <f>IF(D560="O",IF(X560&lt;0,X560,0),0)</f>
        <v>0</v>
      </c>
      <c r="Z560" s="254">
        <f>IF(B560="IND",N560,0)</f>
        <v>1.87</v>
      </c>
      <c r="AA560" s="250">
        <f>IF(D560="O",IF(Z560&lt;0,Z560,0),0)</f>
        <v>0</v>
      </c>
      <c r="AB560" s="254">
        <f>IF(B560="CRYPTO",N560,0)</f>
        <v>0</v>
      </c>
      <c r="AC560" s="250">
        <f>IF(D560="O",IF(AB560&lt;0,AB560,0),0)</f>
        <v>0</v>
      </c>
      <c r="AD560" s="255">
        <f>IF(K560&lt;&gt;"",K560-E560,0)</f>
        <v>0.70625000000291038</v>
      </c>
      <c r="AE560" s="255">
        <f>IF(N560&gt;0,AD560,0)</f>
        <v>0.70625000000291038</v>
      </c>
      <c r="AF560" s="255">
        <f>IF(N560&lt;0,AD560,0)</f>
        <v>0</v>
      </c>
      <c r="AG560" s="255">
        <f>IF(N560=0,AD560,0)</f>
        <v>0</v>
      </c>
    </row>
    <row r="561" spans="2:33" ht="15" customHeight="1" x14ac:dyDescent="0.3">
      <c r="B561" s="196" t="s">
        <v>5</v>
      </c>
      <c r="C561" s="197" t="s">
        <v>13</v>
      </c>
      <c r="D561" s="246" t="str">
        <f>IF(E561&lt;&gt;"",IF(K561&lt;&gt;"","C","O"),"")</f>
        <v>C</v>
      </c>
      <c r="E561" s="199">
        <v>44677.9375</v>
      </c>
      <c r="F561" s="200" t="s">
        <v>92</v>
      </c>
      <c r="G561" s="235">
        <v>13070.43</v>
      </c>
      <c r="H561" s="235">
        <v>13121.19</v>
      </c>
      <c r="I561" s="247">
        <f>ABS(G561-H561)</f>
        <v>50.760000000000218</v>
      </c>
      <c r="J561" s="235">
        <v>12122.83</v>
      </c>
      <c r="K561" s="199">
        <v>44678.05972222222</v>
      </c>
      <c r="L561" s="235">
        <v>13002.33</v>
      </c>
      <c r="M561" s="248">
        <f>ROUND(IF(C561="L",(L561-G561),(G561-L561)),4)</f>
        <v>68.099999999999994</v>
      </c>
      <c r="N561" s="249">
        <f>IFERROR(ROUND((M561/I561),2),"")</f>
        <v>1.34</v>
      </c>
      <c r="O561" s="250">
        <f>IF(D561="O",IF(N561&lt;0,N561,0),0)</f>
        <v>0</v>
      </c>
      <c r="P561" s="251">
        <f>IF(N561&gt;= 0,N561,0)</f>
        <v>1.34</v>
      </c>
      <c r="Q561" s="251">
        <f>IF(N561&lt;0,N561,0)</f>
        <v>0</v>
      </c>
      <c r="R5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29372</v>
      </c>
      <c r="T5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29372</v>
      </c>
      <c r="U56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61" s="254">
        <f>IF(B561="FX",N561,0)</f>
        <v>0</v>
      </c>
      <c r="W561" s="254">
        <f>IF(D561="O",IF(V561&lt;0,V561,0),0)</f>
        <v>0</v>
      </c>
      <c r="X561" s="254">
        <f>IF(B561="COM",N561,0)</f>
        <v>0</v>
      </c>
      <c r="Y561" s="254">
        <f>IF(D561="O",IF(X561&lt;0,X561,0),0)</f>
        <v>0</v>
      </c>
      <c r="Z561" s="254">
        <f>IF(B561="IND",N561,0)</f>
        <v>1.34</v>
      </c>
      <c r="AA561" s="250">
        <f>IF(D561="O",IF(Z561&lt;0,Z561,0),0)</f>
        <v>0</v>
      </c>
      <c r="AB561" s="254">
        <f>IF(B561="CRYPTO",N561,0)</f>
        <v>0</v>
      </c>
      <c r="AC561" s="250">
        <f>IF(D561="O",IF(AB561&lt;0,AB561,0),0)</f>
        <v>0</v>
      </c>
      <c r="AD561" s="255">
        <f>IF(K561&lt;&gt;"",K561-E561,0)</f>
        <v>0.12222222222044365</v>
      </c>
      <c r="AE561" s="255">
        <f>IF(N561&gt;0,AD561,0)</f>
        <v>0.12222222222044365</v>
      </c>
      <c r="AF561" s="255">
        <f>IF(N561&lt;0,AD561,0)</f>
        <v>0</v>
      </c>
      <c r="AG561" s="255">
        <f>IF(N561=0,AD561,0)</f>
        <v>0</v>
      </c>
    </row>
    <row r="562" spans="2:33" ht="15" customHeight="1" x14ac:dyDescent="0.3">
      <c r="B562" s="196" t="s">
        <v>5</v>
      </c>
      <c r="C562" s="197" t="s">
        <v>13</v>
      </c>
      <c r="D562" s="246" t="str">
        <f>IF(E562&lt;&gt;"",IF(K562&lt;&gt;"","C","O"),"")</f>
        <v>C</v>
      </c>
      <c r="E562" s="199">
        <v>44677.9375</v>
      </c>
      <c r="F562" s="200" t="s">
        <v>93</v>
      </c>
      <c r="G562" s="235">
        <v>13070.43</v>
      </c>
      <c r="H562" s="235">
        <v>13117.91</v>
      </c>
      <c r="I562" s="247">
        <f>ABS(G562-H562)</f>
        <v>47.479999999999563</v>
      </c>
      <c r="J562" s="235">
        <v>12563.93</v>
      </c>
      <c r="K562" s="199">
        <v>44678.045138888891</v>
      </c>
      <c r="L562" s="235">
        <v>12931.87</v>
      </c>
      <c r="M562" s="248">
        <f>ROUND(IF(C562="L",(L562-G562),(G562-L562)),4)</f>
        <v>138.56</v>
      </c>
      <c r="N562" s="249">
        <f>IFERROR(ROUND((M562/I562),2),"")</f>
        <v>2.92</v>
      </c>
      <c r="O562" s="250">
        <f>IF(D562="O",IF(N562&lt;0,N562,0),0)</f>
        <v>0</v>
      </c>
      <c r="P562" s="251">
        <f>IF(N562&gt;= 0,N562,0)</f>
        <v>2.92</v>
      </c>
      <c r="Q562" s="251">
        <f>IF(N562&lt;0,N562,0)</f>
        <v>0</v>
      </c>
      <c r="R5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29238</v>
      </c>
      <c r="T5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29238</v>
      </c>
      <c r="U56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62" s="254">
        <f>IF(B562="FX",N562,0)</f>
        <v>0</v>
      </c>
      <c r="W562" s="254">
        <f>IF(D562="O",IF(V562&lt;0,V562,0),0)</f>
        <v>0</v>
      </c>
      <c r="X562" s="254">
        <f>IF(B562="COM",N562,0)</f>
        <v>0</v>
      </c>
      <c r="Y562" s="254">
        <f>IF(D562="O",IF(X562&lt;0,X562,0),0)</f>
        <v>0</v>
      </c>
      <c r="Z562" s="254">
        <f>IF(B562="IND",N562,0)</f>
        <v>2.92</v>
      </c>
      <c r="AA562" s="250">
        <f>IF(D562="O",IF(Z562&lt;0,Z562,0),0)</f>
        <v>0</v>
      </c>
      <c r="AB562" s="254">
        <f>IF(B562="CRYPTO",N562,0)</f>
        <v>0</v>
      </c>
      <c r="AC562" s="250">
        <f>IF(D562="O",IF(AB562&lt;0,AB562,0),0)</f>
        <v>0</v>
      </c>
      <c r="AD562" s="255">
        <f>IF(K562&lt;&gt;"",K562-E562,0)</f>
        <v>0.10763888889050577</v>
      </c>
      <c r="AE562" s="255">
        <f>IF(N562&gt;0,AD562,0)</f>
        <v>0.10763888889050577</v>
      </c>
      <c r="AF562" s="255">
        <f>IF(N562&lt;0,AD562,0)</f>
        <v>0</v>
      </c>
      <c r="AG562" s="255">
        <f>IF(N562=0,AD562,0)</f>
        <v>0</v>
      </c>
    </row>
    <row r="563" spans="2:33" ht="15" customHeight="1" x14ac:dyDescent="0.3">
      <c r="B563" s="196" t="s">
        <v>7</v>
      </c>
      <c r="C563" s="197" t="s">
        <v>13</v>
      </c>
      <c r="D563" s="246" t="str">
        <f>IF(E563&lt;&gt;"",IF(K563&lt;&gt;"","C","O"),"")</f>
        <v>C</v>
      </c>
      <c r="E563" s="199">
        <v>44677.604166666664</v>
      </c>
      <c r="F563" s="200" t="s">
        <v>115</v>
      </c>
      <c r="G563" s="235">
        <v>161.97900000000001</v>
      </c>
      <c r="H563" s="235">
        <v>162.721</v>
      </c>
      <c r="I563" s="247">
        <f>ABS(G563-H563)</f>
        <v>0.74199999999999022</v>
      </c>
      <c r="J563" s="235">
        <v>159.86000000000001</v>
      </c>
      <c r="K563" s="199">
        <v>44678.042361111111</v>
      </c>
      <c r="L563" s="235">
        <v>159.86000000000001</v>
      </c>
      <c r="M563" s="248">
        <f>ROUND(IF(C563="L",(L563-G563),(G563-L563)),4)</f>
        <v>2.1190000000000002</v>
      </c>
      <c r="N563" s="249">
        <f>IFERROR(ROUND((M563/I563),2),"")</f>
        <v>2.86</v>
      </c>
      <c r="O563" s="250">
        <f>IF(D563="O",IF(N563&lt;0,N563,0),0)</f>
        <v>0</v>
      </c>
      <c r="P563" s="251">
        <f>IF(N563&gt;= 0,N563,0)</f>
        <v>2.86</v>
      </c>
      <c r="Q563" s="251">
        <f>IF(N563&lt;0,N563,0)</f>
        <v>0</v>
      </c>
      <c r="R5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28946</v>
      </c>
      <c r="T5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28946</v>
      </c>
      <c r="U56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63" s="254">
        <f>IF(B563="FX",N563,0)</f>
        <v>2.86</v>
      </c>
      <c r="W563" s="254">
        <f>IF(D563="O",IF(V563&lt;0,V563,0),0)</f>
        <v>0</v>
      </c>
      <c r="X563" s="254">
        <f>IF(B563="COM",N563,0)</f>
        <v>0</v>
      </c>
      <c r="Y563" s="254">
        <f>IF(D563="O",IF(X563&lt;0,X563,0),0)</f>
        <v>0</v>
      </c>
      <c r="Z563" s="254">
        <f>IF(B563="IND",N563,0)</f>
        <v>0</v>
      </c>
      <c r="AA563" s="250">
        <f>IF(D563="O",IF(Z563&lt;0,Z563,0),0)</f>
        <v>0</v>
      </c>
      <c r="AB563" s="254">
        <f>IF(B563="CRYPTO",N563,0)</f>
        <v>0</v>
      </c>
      <c r="AC563" s="250">
        <f>IF(D563="O",IF(AB563&lt;0,AB563,0),0)</f>
        <v>0</v>
      </c>
      <c r="AD563" s="255">
        <f>IF(K563&lt;&gt;"",K563-E563,0)</f>
        <v>0.43819444444670808</v>
      </c>
      <c r="AE563" s="255">
        <f>IF(N563&gt;0,AD563,0)</f>
        <v>0.43819444444670808</v>
      </c>
      <c r="AF563" s="255">
        <f>IF(N563&lt;0,AD563,0)</f>
        <v>0</v>
      </c>
      <c r="AG563" s="255">
        <f>IF(N563=0,AD563,0)</f>
        <v>0</v>
      </c>
    </row>
    <row r="564" spans="2:33" ht="15" customHeight="1" x14ac:dyDescent="0.3">
      <c r="B564" s="196" t="s">
        <v>5</v>
      </c>
      <c r="C564" s="197" t="s">
        <v>13</v>
      </c>
      <c r="D564" s="246" t="str">
        <f>IF(E564&lt;&gt;"",IF(K564&lt;&gt;"","C","O"),"")</f>
        <v>C</v>
      </c>
      <c r="E564" s="199">
        <v>44677.739583333336</v>
      </c>
      <c r="F564" s="200" t="s">
        <v>93</v>
      </c>
      <c r="G564" s="235">
        <v>13156.43</v>
      </c>
      <c r="H564" s="235">
        <v>13207.93</v>
      </c>
      <c r="I564" s="247">
        <f>ABS(G564-H564)</f>
        <v>51.5</v>
      </c>
      <c r="J564" s="235">
        <v>12607.07</v>
      </c>
      <c r="K564" s="199">
        <v>44677.810416666667</v>
      </c>
      <c r="L564" s="235">
        <v>13207.93</v>
      </c>
      <c r="M564" s="248">
        <f>ROUND(IF(C564="L",(L564-G564),(G564-L564)),4)</f>
        <v>-51.5</v>
      </c>
      <c r="N564" s="249">
        <f>IFERROR(ROUND((M564/I564),2),"")</f>
        <v>-1</v>
      </c>
      <c r="O564" s="250">
        <f>IF(D564="O",IF(N564&lt;0,N564,0),0)</f>
        <v>0</v>
      </c>
      <c r="P564" s="251">
        <f>IF(N564&gt;= 0,N564,0)</f>
        <v>0</v>
      </c>
      <c r="Q564" s="251">
        <f>IF(N564&lt;0,N564,0)</f>
        <v>-1</v>
      </c>
      <c r="R5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28660</v>
      </c>
      <c r="T5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28860</v>
      </c>
      <c r="U564" s="253">
        <f ca="1">IF(Tabla33610673[[#This Row],[Equity]]&lt;Tabla33610673[[#This Row],[Equity Peak]],(Tabla33610673[[#This Row],[Equity Peak]]-Tabla33610673[[#This Row],[Equity]])/Tabla33610673[[#This Row],[Equity Peak]],"")</f>
        <v>6.9300069300069298E-3</v>
      </c>
      <c r="V564" s="254">
        <f>IF(B564="FX",N564,0)</f>
        <v>0</v>
      </c>
      <c r="W564" s="254">
        <f>IF(D564="O",IF(V564&lt;0,V564,0),0)</f>
        <v>0</v>
      </c>
      <c r="X564" s="254">
        <f>IF(B564="COM",N564,0)</f>
        <v>0</v>
      </c>
      <c r="Y564" s="254">
        <f>IF(D564="O",IF(X564&lt;0,X564,0),0)</f>
        <v>0</v>
      </c>
      <c r="Z564" s="254">
        <f>IF(B564="IND",N564,0)</f>
        <v>-1</v>
      </c>
      <c r="AA564" s="250">
        <f>IF(D564="O",IF(Z564&lt;0,Z564,0),0)</f>
        <v>0</v>
      </c>
      <c r="AB564" s="254">
        <f>IF(B564="CRYPTO",N564,0)</f>
        <v>0</v>
      </c>
      <c r="AC564" s="250">
        <f>IF(D564="O",IF(AB564&lt;0,AB564,0),0)</f>
        <v>0</v>
      </c>
      <c r="AD564" s="255">
        <f>IF(K564&lt;&gt;"",K564-E564,0)</f>
        <v>7.0833333331393078E-2</v>
      </c>
      <c r="AE564" s="255">
        <f>IF(N564&gt;0,AD564,0)</f>
        <v>0</v>
      </c>
      <c r="AF564" s="255">
        <f>IF(N564&lt;0,AD564,0)</f>
        <v>7.0833333331393078E-2</v>
      </c>
      <c r="AG564" s="255">
        <f>IF(N564=0,AD564,0)</f>
        <v>0</v>
      </c>
    </row>
    <row r="565" spans="2:33" ht="15" customHeight="1" x14ac:dyDescent="0.3">
      <c r="B565" s="196" t="s">
        <v>5</v>
      </c>
      <c r="C565" s="197" t="s">
        <v>13</v>
      </c>
      <c r="D565" s="246" t="str">
        <f>IF(E565&lt;&gt;"",IF(K565&lt;&gt;"","C","O"),"")</f>
        <v>C</v>
      </c>
      <c r="E565" s="199">
        <v>44677.739583333336</v>
      </c>
      <c r="F565" s="200" t="s">
        <v>92</v>
      </c>
      <c r="G565" s="235">
        <v>13156.43</v>
      </c>
      <c r="H565" s="235">
        <v>13200.54</v>
      </c>
      <c r="I565" s="247">
        <f>ABS(G565-H565)</f>
        <v>44.110000000000582</v>
      </c>
      <c r="J565" s="235">
        <v>12333.09</v>
      </c>
      <c r="K565" s="199">
        <v>44677.80972222222</v>
      </c>
      <c r="L565" s="235">
        <v>13200.54</v>
      </c>
      <c r="M565" s="248">
        <f>ROUND(IF(C565="L",(L565-G565),(G565-L565)),4)</f>
        <v>-44.11</v>
      </c>
      <c r="N565" s="249">
        <f>IFERROR(ROUND((M565/I565),2),"")</f>
        <v>-1</v>
      </c>
      <c r="O565" s="250">
        <f>IF(D565="O",IF(N565&lt;0,N565,0),0)</f>
        <v>0</v>
      </c>
      <c r="P565" s="251">
        <f>IF(N565&gt;= 0,N565,0)</f>
        <v>0</v>
      </c>
      <c r="Q565" s="251">
        <f>IF(N565&lt;0,N565,0)</f>
        <v>-1</v>
      </c>
      <c r="R5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28760</v>
      </c>
      <c r="T5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28860</v>
      </c>
      <c r="U565" s="253">
        <f ca="1">IF(Tabla33610673[[#This Row],[Equity]]&lt;Tabla33610673[[#This Row],[Equity Peak]],(Tabla33610673[[#This Row],[Equity Peak]]-Tabla33610673[[#This Row],[Equity]])/Tabla33610673[[#This Row],[Equity Peak]],"")</f>
        <v>3.4650034650034649E-3</v>
      </c>
      <c r="V565" s="254">
        <f>IF(B565="FX",N565,0)</f>
        <v>0</v>
      </c>
      <c r="W565" s="254">
        <f>IF(D565="O",IF(V565&lt;0,V565,0),0)</f>
        <v>0</v>
      </c>
      <c r="X565" s="254">
        <f>IF(B565="COM",N565,0)</f>
        <v>0</v>
      </c>
      <c r="Y565" s="254">
        <f>IF(D565="O",IF(X565&lt;0,X565,0),0)</f>
        <v>0</v>
      </c>
      <c r="Z565" s="254">
        <f>IF(B565="IND",N565,0)</f>
        <v>-1</v>
      </c>
      <c r="AA565" s="250">
        <f>IF(D565="O",IF(Z565&lt;0,Z565,0),0)</f>
        <v>0</v>
      </c>
      <c r="AB565" s="254">
        <f>IF(B565="CRYPTO",N565,0)</f>
        <v>0</v>
      </c>
      <c r="AC565" s="250">
        <f>IF(D565="O",IF(AB565&lt;0,AB565,0),0)</f>
        <v>0</v>
      </c>
      <c r="AD565" s="255">
        <f>IF(K565&lt;&gt;"",K565-E565,0)</f>
        <v>7.0138888884685002E-2</v>
      </c>
      <c r="AE565" s="255">
        <f>IF(N565&gt;0,AD565,0)</f>
        <v>0</v>
      </c>
      <c r="AF565" s="255">
        <f>IF(N565&lt;0,AD565,0)</f>
        <v>7.0138888884685002E-2</v>
      </c>
      <c r="AG565" s="255">
        <f>IF(N565=0,AD565,0)</f>
        <v>0</v>
      </c>
    </row>
    <row r="566" spans="2:33" ht="15" customHeight="1" x14ac:dyDescent="0.3">
      <c r="B566" s="196" t="s">
        <v>5</v>
      </c>
      <c r="C566" s="197" t="s">
        <v>13</v>
      </c>
      <c r="D566" s="246" t="str">
        <f>IF(E566&lt;&gt;"",IF(K566&lt;&gt;"","C","O"),"")</f>
        <v>C</v>
      </c>
      <c r="E566" s="199">
        <v>44672.90625</v>
      </c>
      <c r="F566" s="200" t="s">
        <v>92</v>
      </c>
      <c r="G566" s="235">
        <v>13772.41</v>
      </c>
      <c r="H566" s="235">
        <v>13818.64</v>
      </c>
      <c r="I566" s="247">
        <f>ABS(G566-H566)</f>
        <v>46.229999999999563</v>
      </c>
      <c r="J566" s="235">
        <v>12909.48</v>
      </c>
      <c r="K566" s="199">
        <v>44676.729861111111</v>
      </c>
      <c r="L566" s="235">
        <v>13403.52</v>
      </c>
      <c r="M566" s="248">
        <f>ROUND(IF(C566="L",(L566-G566),(G566-L566)),4)</f>
        <v>368.89</v>
      </c>
      <c r="N566" s="249">
        <f>IFERROR(ROUND((M566/I566),2),"")</f>
        <v>7.98</v>
      </c>
      <c r="O566" s="250">
        <f>IF(D566="O",IF(N566&lt;0,N566,0),0)</f>
        <v>0</v>
      </c>
      <c r="P566" s="251">
        <f>IF(N566&gt;= 0,N566,0)</f>
        <v>7.98</v>
      </c>
      <c r="Q566" s="251">
        <f>IF(N566&lt;0,N566,0)</f>
        <v>0</v>
      </c>
      <c r="R5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28860</v>
      </c>
      <c r="T5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28860</v>
      </c>
      <c r="U56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66" s="254">
        <f>IF(B566="FX",N566,0)</f>
        <v>0</v>
      </c>
      <c r="W566" s="254">
        <f>IF(D566="O",IF(V566&lt;0,V566,0),0)</f>
        <v>0</v>
      </c>
      <c r="X566" s="254">
        <f>IF(B566="COM",N566,0)</f>
        <v>0</v>
      </c>
      <c r="Y566" s="254">
        <f>IF(D566="O",IF(X566&lt;0,X566,0),0)</f>
        <v>0</v>
      </c>
      <c r="Z566" s="254">
        <f>IF(B566="IND",N566,0)</f>
        <v>7.98</v>
      </c>
      <c r="AA566" s="250">
        <f>IF(D566="O",IF(Z566&lt;0,Z566,0),0)</f>
        <v>0</v>
      </c>
      <c r="AB566" s="254">
        <f>IF(B566="CRYPTO",N566,0)</f>
        <v>0</v>
      </c>
      <c r="AC566" s="250">
        <f>IF(D566="O",IF(AB566&lt;0,AB566,0),0)</f>
        <v>0</v>
      </c>
      <c r="AD566" s="255">
        <f>IF(K566&lt;&gt;"",K566-E566,0)</f>
        <v>3.8236111111109494</v>
      </c>
      <c r="AE566" s="255">
        <f>IF(N566&gt;0,AD566,0)</f>
        <v>3.8236111111109494</v>
      </c>
      <c r="AF566" s="255">
        <f>IF(N566&lt;0,AD566,0)</f>
        <v>0</v>
      </c>
      <c r="AG566" s="255">
        <f>IF(N566=0,AD566,0)</f>
        <v>0</v>
      </c>
    </row>
    <row r="567" spans="2:33" ht="15" customHeight="1" x14ac:dyDescent="0.3">
      <c r="B567" s="196" t="s">
        <v>7</v>
      </c>
      <c r="C567" s="197" t="s">
        <v>13</v>
      </c>
      <c r="D567" s="246" t="str">
        <f>IF(E567&lt;&gt;"",IF(K567&lt;&gt;"","C","O"),"")</f>
        <v>C</v>
      </c>
      <c r="E567" s="199">
        <v>44676.385416666664</v>
      </c>
      <c r="F567" s="200" t="s">
        <v>114</v>
      </c>
      <c r="G567" s="235">
        <v>1.0737399999999999</v>
      </c>
      <c r="H567" s="235">
        <v>1.0753200000000001</v>
      </c>
      <c r="I567" s="247">
        <f>ABS(G567-H567)</f>
        <v>1.5800000000001369E-3</v>
      </c>
      <c r="J567" s="235">
        <v>1.0595600000000001</v>
      </c>
      <c r="K567" s="199">
        <v>44676.459722222222</v>
      </c>
      <c r="L567" s="235">
        <v>1.0743199999999999</v>
      </c>
      <c r="M567" s="248">
        <f>ROUND(IF(C567="L",(L567-G567),(G567-L567)),4)</f>
        <v>-5.9999999999999995E-4</v>
      </c>
      <c r="N567" s="249">
        <f>IFERROR(ROUND((M567/I567),2),"")</f>
        <v>-0.38</v>
      </c>
      <c r="O567" s="250">
        <f>IF(D567="O",IF(N567&lt;0,N567,0),0)</f>
        <v>0</v>
      </c>
      <c r="P567" s="251">
        <f>IF(N567&gt;= 0,N567,0)</f>
        <v>0</v>
      </c>
      <c r="Q567" s="251">
        <f>IF(N567&lt;0,N567,0)</f>
        <v>-0.38</v>
      </c>
      <c r="R5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28062</v>
      </c>
      <c r="T5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67" s="253">
        <f ca="1">IF(Tabla33610673[[#This Row],[Equity]]&lt;Tabla33610673[[#This Row],[Equity Peak]],(Tabla33610673[[#This Row],[Equity Peak]]-Tabla33610673[[#This Row],[Equity]])/Tabla33610673[[#This Row],[Equity Peak]],"")</f>
        <v>1.0717055629979553E-2</v>
      </c>
      <c r="V567" s="254">
        <f>IF(B567="FX",N567,0)</f>
        <v>-0.38</v>
      </c>
      <c r="W567" s="254">
        <f>IF(D567="O",IF(V567&lt;0,V567,0),0)</f>
        <v>0</v>
      </c>
      <c r="X567" s="254">
        <f>IF(B567="COM",N567,0)</f>
        <v>0</v>
      </c>
      <c r="Y567" s="254">
        <f>IF(D567="O",IF(X567&lt;0,X567,0),0)</f>
        <v>0</v>
      </c>
      <c r="Z567" s="254">
        <f>IF(B567="IND",N567,0)</f>
        <v>0</v>
      </c>
      <c r="AA567" s="250">
        <f>IF(D567="O",IF(Z567&lt;0,Z567,0),0)</f>
        <v>0</v>
      </c>
      <c r="AB567" s="254">
        <f>IF(B567="CRYPTO",N567,0)</f>
        <v>0</v>
      </c>
      <c r="AC567" s="250">
        <f>IF(D567="O",IF(AB567&lt;0,AB567,0),0)</f>
        <v>0</v>
      </c>
      <c r="AD567" s="255">
        <f>IF(K567&lt;&gt;"",K567-E567,0)</f>
        <v>7.4305555557657499E-2</v>
      </c>
      <c r="AE567" s="255">
        <f>IF(N567&gt;0,AD567,0)</f>
        <v>0</v>
      </c>
      <c r="AF567" s="255">
        <f>IF(N567&lt;0,AD567,0)</f>
        <v>7.4305555557657499E-2</v>
      </c>
      <c r="AG567" s="255">
        <f>IF(N567=0,AD567,0)</f>
        <v>0</v>
      </c>
    </row>
    <row r="568" spans="2:33" ht="15" customHeight="1" x14ac:dyDescent="0.3">
      <c r="B568" s="196" t="s">
        <v>5</v>
      </c>
      <c r="C568" s="197" t="s">
        <v>13</v>
      </c>
      <c r="D568" s="246" t="str">
        <f>IF(E568&lt;&gt;"",IF(K568&lt;&gt;"","C","O"),"")</f>
        <v>C</v>
      </c>
      <c r="E568" s="199">
        <v>44676.177083333336</v>
      </c>
      <c r="F568" s="200" t="s">
        <v>91</v>
      </c>
      <c r="G568" s="235">
        <v>13975.73</v>
      </c>
      <c r="H568" s="235">
        <v>14016.15</v>
      </c>
      <c r="I568" s="247">
        <f>ABS(G568-H568)</f>
        <v>40.420000000000073</v>
      </c>
      <c r="J568" s="235">
        <v>13221.29</v>
      </c>
      <c r="K568" s="199">
        <v>44676.428472222222</v>
      </c>
      <c r="L568" s="235">
        <v>13982.92</v>
      </c>
      <c r="M568" s="248">
        <f>ROUND(IF(C568="L",(L568-G568),(G568-L568)),4)</f>
        <v>-7.19</v>
      </c>
      <c r="N568" s="249">
        <f>IFERROR(ROUND((M568/I568),2),"")</f>
        <v>-0.18</v>
      </c>
      <c r="O568" s="250">
        <f>IF(D568="O",IF(N568&lt;0,N568,0),0)</f>
        <v>0</v>
      </c>
      <c r="P568" s="251">
        <f>IF(N568&gt;= 0,N568,0)</f>
        <v>0</v>
      </c>
      <c r="Q568" s="251">
        <f>IF(N568&lt;0,N568,0)</f>
        <v>-0.18</v>
      </c>
      <c r="R5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28100</v>
      </c>
      <c r="T5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68" s="253">
        <f ca="1">IF(Tabla33610673[[#This Row],[Equity]]&lt;Tabla33610673[[#This Row],[Equity Peak]],(Tabla33610673[[#This Row],[Equity Peak]]-Tabla33610673[[#This Row],[Equity]])/Tabla33610673[[#This Row],[Equity Peak]],"")</f>
        <v>9.3774236762321096E-3</v>
      </c>
      <c r="V568" s="254">
        <f>IF(B568="FX",N568,0)</f>
        <v>0</v>
      </c>
      <c r="W568" s="254">
        <f>IF(D568="O",IF(V568&lt;0,V568,0),0)</f>
        <v>0</v>
      </c>
      <c r="X568" s="254">
        <f>IF(B568="COM",N568,0)</f>
        <v>0</v>
      </c>
      <c r="Y568" s="254">
        <f>IF(D568="O",IF(X568&lt;0,X568,0),0)</f>
        <v>0</v>
      </c>
      <c r="Z568" s="254">
        <f>IF(B568="IND",N568,0)</f>
        <v>-0.18</v>
      </c>
      <c r="AA568" s="250">
        <f>IF(D568="O",IF(Z568&lt;0,Z568,0),0)</f>
        <v>0</v>
      </c>
      <c r="AB568" s="254">
        <f>IF(B568="CRYPTO",N568,0)</f>
        <v>0</v>
      </c>
      <c r="AC568" s="250">
        <f>IF(D568="O",IF(AB568&lt;0,AB568,0),0)</f>
        <v>0</v>
      </c>
      <c r="AD568" s="255">
        <f>IF(K568&lt;&gt;"",K568-E568,0)</f>
        <v>0.25138888888614019</v>
      </c>
      <c r="AE568" s="255">
        <f>IF(N568&gt;0,AD568,0)</f>
        <v>0</v>
      </c>
      <c r="AF568" s="255">
        <f>IF(N568&lt;0,AD568,0)</f>
        <v>0.25138888888614019</v>
      </c>
      <c r="AG568" s="255">
        <f>IF(N568=0,AD568,0)</f>
        <v>0</v>
      </c>
    </row>
    <row r="569" spans="2:33" ht="15" customHeight="1" x14ac:dyDescent="0.3">
      <c r="B569" s="196" t="s">
        <v>19</v>
      </c>
      <c r="C569" s="197" t="s">
        <v>13</v>
      </c>
      <c r="D569" s="246" t="str">
        <f>IF(E569&lt;&gt;"",IF(K569&lt;&gt;"","C","O"),"")</f>
        <v>C</v>
      </c>
      <c r="E569" s="199">
        <v>44676.375</v>
      </c>
      <c r="F569" s="200" t="s">
        <v>88</v>
      </c>
      <c r="G569" s="235">
        <v>1915.31</v>
      </c>
      <c r="H569" s="235">
        <v>1920.07</v>
      </c>
      <c r="I569" s="247">
        <f>ABS(G569-H569)</f>
        <v>4.7599999999999909</v>
      </c>
      <c r="J569" s="235">
        <v>1858.22</v>
      </c>
      <c r="K569" s="199">
        <v>44676.425694444442</v>
      </c>
      <c r="L569" s="235">
        <v>1920.07</v>
      </c>
      <c r="M569" s="248">
        <f>ROUND(IF(C569="L",(L569-G569),(G569-L569)),4)</f>
        <v>-4.76</v>
      </c>
      <c r="N569" s="249">
        <f>IFERROR(ROUND((M569/I569),2),"")</f>
        <v>-1</v>
      </c>
      <c r="O569" s="250">
        <f>IF(D569="O",IF(N569&lt;0,N569,0),0)</f>
        <v>0</v>
      </c>
      <c r="P569" s="251">
        <f>IF(N569&gt;= 0,N569,0)</f>
        <v>0</v>
      </c>
      <c r="Q569" s="251">
        <f>IF(N569&lt;0,N569,0)</f>
        <v>-1</v>
      </c>
      <c r="R5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28118</v>
      </c>
      <c r="T5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69" s="253">
        <f ca="1">IF(Tabla33610673[[#This Row],[Equity]]&lt;Tabla33610673[[#This Row],[Equity Peak]],(Tabla33610673[[#This Row],[Equity Peak]]-Tabla33610673[[#This Row],[Equity]])/Tabla33610673[[#This Row],[Equity Peak]],"")</f>
        <v>8.7428611718254248E-3</v>
      </c>
      <c r="V569" s="254">
        <f>IF(B569="FX",N569,0)</f>
        <v>0</v>
      </c>
      <c r="W569" s="254">
        <f>IF(D569="O",IF(V569&lt;0,V569,0),0)</f>
        <v>0</v>
      </c>
      <c r="X569" s="254">
        <f>IF(B569="COM",N569,0)</f>
        <v>-1</v>
      </c>
      <c r="Y569" s="254">
        <f>IF(D569="O",IF(X569&lt;0,X569,0),0)</f>
        <v>0</v>
      </c>
      <c r="Z569" s="254">
        <f>IF(B569="IND",N569,0)</f>
        <v>0</v>
      </c>
      <c r="AA569" s="250">
        <f>IF(D569="O",IF(Z569&lt;0,Z569,0),0)</f>
        <v>0</v>
      </c>
      <c r="AB569" s="254">
        <f>IF(B569="CRYPTO",N569,0)</f>
        <v>0</v>
      </c>
      <c r="AC569" s="250">
        <f>IF(D569="O",IF(AB569&lt;0,AB569,0),0)</f>
        <v>0</v>
      </c>
      <c r="AD569" s="255">
        <f>IF(K569&lt;&gt;"",K569-E569,0)</f>
        <v>5.0694444442342501E-2</v>
      </c>
      <c r="AE569" s="255">
        <f>IF(N569&gt;0,AD569,0)</f>
        <v>0</v>
      </c>
      <c r="AF569" s="255">
        <f>IF(N569&lt;0,AD569,0)</f>
        <v>5.0694444442342501E-2</v>
      </c>
      <c r="AG569" s="255">
        <f>IF(N569=0,AD569,0)</f>
        <v>0</v>
      </c>
    </row>
    <row r="570" spans="2:33" ht="15" customHeight="1" x14ac:dyDescent="0.3">
      <c r="B570" s="196" t="s">
        <v>7</v>
      </c>
      <c r="C570" s="197" t="s">
        <v>13</v>
      </c>
      <c r="D570" s="246" t="str">
        <f>IF(E570&lt;&gt;"",IF(K570&lt;&gt;"","C","O"),"")</f>
        <v>C</v>
      </c>
      <c r="E570" s="199">
        <v>44673.385416666664</v>
      </c>
      <c r="F570" s="200" t="s">
        <v>115</v>
      </c>
      <c r="G570" s="235">
        <v>166.57</v>
      </c>
      <c r="H570" s="235">
        <v>167.125</v>
      </c>
      <c r="I570" s="247">
        <f>ABS(G570-H570)</f>
        <v>0.55500000000000682</v>
      </c>
      <c r="J570" s="235">
        <v>164.98500000000001</v>
      </c>
      <c r="K570" s="199">
        <v>44673.696527777778</v>
      </c>
      <c r="L570" s="235">
        <v>164.98500000000001</v>
      </c>
      <c r="M570" s="248">
        <f>ROUND(IF(C570="L",(L570-G570),(G570-L570)),4)</f>
        <v>1.585</v>
      </c>
      <c r="N570" s="249">
        <f>IFERROR(ROUND((M570/I570),2),"")</f>
        <v>2.86</v>
      </c>
      <c r="O570" s="250">
        <f>IF(D570="O",IF(N570&lt;0,N570,0),0)</f>
        <v>0</v>
      </c>
      <c r="P570" s="251">
        <f>IF(N570&gt;= 0,N570,0)</f>
        <v>2.86</v>
      </c>
      <c r="Q570" s="251">
        <f>IF(N570&lt;0,N570,0)</f>
        <v>0</v>
      </c>
      <c r="R5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28218</v>
      </c>
      <c r="T5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0" s="253">
        <f ca="1">IF(Tabla33610673[[#This Row],[Equity]]&lt;Tabla33610673[[#This Row],[Equity Peak]],(Tabla33610673[[#This Row],[Equity Peak]]-Tabla33610673[[#This Row],[Equity]])/Tabla33610673[[#This Row],[Equity Peak]],"")</f>
        <v>5.2175139251216243E-3</v>
      </c>
      <c r="V570" s="254">
        <f>IF(B570="FX",N570,0)</f>
        <v>2.86</v>
      </c>
      <c r="W570" s="254">
        <f>IF(D570="O",IF(V570&lt;0,V570,0),0)</f>
        <v>0</v>
      </c>
      <c r="X570" s="254">
        <f>IF(B570="COM",N570,0)</f>
        <v>0</v>
      </c>
      <c r="Y570" s="254">
        <f>IF(D570="O",IF(X570&lt;0,X570,0),0)</f>
        <v>0</v>
      </c>
      <c r="Z570" s="254">
        <f>IF(B570="IND",N570,0)</f>
        <v>0</v>
      </c>
      <c r="AA570" s="250">
        <f>IF(D570="O",IF(Z570&lt;0,Z570,0),0)</f>
        <v>0</v>
      </c>
      <c r="AB570" s="254">
        <f>IF(B570="CRYPTO",N570,0)</f>
        <v>0</v>
      </c>
      <c r="AC570" s="250">
        <f>IF(D570="O",IF(AB570&lt;0,AB570,0),0)</f>
        <v>0</v>
      </c>
      <c r="AD570" s="255">
        <f>IF(K570&lt;&gt;"",K570-E570,0)</f>
        <v>0.31111111111385981</v>
      </c>
      <c r="AE570" s="255">
        <f>IF(N570&gt;0,AD570,0)</f>
        <v>0.31111111111385981</v>
      </c>
      <c r="AF570" s="255">
        <f>IF(N570&lt;0,AD570,0)</f>
        <v>0</v>
      </c>
      <c r="AG570" s="255">
        <f>IF(N570=0,AD570,0)</f>
        <v>0</v>
      </c>
    </row>
    <row r="571" spans="2:33" ht="15" customHeight="1" x14ac:dyDescent="0.3">
      <c r="B571" s="196" t="s">
        <v>5</v>
      </c>
      <c r="C571" s="197" t="s">
        <v>13</v>
      </c>
      <c r="D571" s="246" t="str">
        <f>IF(E571&lt;&gt;"",IF(K571&lt;&gt;"","C","O"),"")</f>
        <v>C</v>
      </c>
      <c r="E571" s="199">
        <v>44672.90625</v>
      </c>
      <c r="F571" s="200" t="s">
        <v>93</v>
      </c>
      <c r="G571" s="235">
        <v>13772.41</v>
      </c>
      <c r="H571" s="235">
        <v>13819.34</v>
      </c>
      <c r="I571" s="247">
        <f>ABS(G571-H571)</f>
        <v>46.930000000000291</v>
      </c>
      <c r="J571" s="235">
        <v>13271.83</v>
      </c>
      <c r="K571" s="199">
        <v>44673.418749999997</v>
      </c>
      <c r="L571" s="235">
        <v>13749.8</v>
      </c>
      <c r="M571" s="248">
        <f>ROUND(IF(C571="L",(L571-G571),(G571-L571)),4)</f>
        <v>22.61</v>
      </c>
      <c r="N571" s="249">
        <f>IFERROR(ROUND((M571/I571),2),"")</f>
        <v>0.48</v>
      </c>
      <c r="O571" s="250">
        <f>IF(D571="O",IF(N571&lt;0,N571,0),0)</f>
        <v>0</v>
      </c>
      <c r="P571" s="251">
        <f>IF(N571&gt;= 0,N571,0)</f>
        <v>0.48</v>
      </c>
      <c r="Q571" s="251">
        <f>IF(N571&lt;0,N571,0)</f>
        <v>0</v>
      </c>
      <c r="R5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27932</v>
      </c>
      <c r="T5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1" s="253">
        <f ca="1">IF(Tabla33610673[[#This Row],[Equity]]&lt;Tabla33610673[[#This Row],[Equity Peak]],(Tabla33610673[[#This Row],[Equity Peak]]-Tabla33610673[[#This Row],[Equity]])/Tabla33610673[[#This Row],[Equity Peak]],"")</f>
        <v>1.5300007050694493E-2</v>
      </c>
      <c r="V571" s="254">
        <f>IF(B571="FX",N571,0)</f>
        <v>0</v>
      </c>
      <c r="W571" s="254">
        <f>IF(D571="O",IF(V571&lt;0,V571,0),0)</f>
        <v>0</v>
      </c>
      <c r="X571" s="254">
        <f>IF(B571="COM",N571,0)</f>
        <v>0</v>
      </c>
      <c r="Y571" s="254">
        <f>IF(D571="O",IF(X571&lt;0,X571,0),0)</f>
        <v>0</v>
      </c>
      <c r="Z571" s="254">
        <f>IF(B571="IND",N571,0)</f>
        <v>0.48</v>
      </c>
      <c r="AA571" s="250">
        <f>IF(D571="O",IF(Z571&lt;0,Z571,0),0)</f>
        <v>0</v>
      </c>
      <c r="AB571" s="254">
        <f>IF(B571="CRYPTO",N571,0)</f>
        <v>0</v>
      </c>
      <c r="AC571" s="250">
        <f>IF(D571="O",IF(AB571&lt;0,AB571,0),0)</f>
        <v>0</v>
      </c>
      <c r="AD571" s="255">
        <f>IF(K571&lt;&gt;"",K571-E571,0)</f>
        <v>0.51249999999708962</v>
      </c>
      <c r="AE571" s="255">
        <f>IF(N571&gt;0,AD571,0)</f>
        <v>0.51249999999708962</v>
      </c>
      <c r="AF571" s="255">
        <f>IF(N571&lt;0,AD571,0)</f>
        <v>0</v>
      </c>
      <c r="AG571" s="255">
        <f>IF(N571=0,AD571,0)</f>
        <v>0</v>
      </c>
    </row>
    <row r="572" spans="2:33" ht="15" customHeight="1" x14ac:dyDescent="0.3">
      <c r="B572" s="196" t="s">
        <v>5</v>
      </c>
      <c r="C572" s="197" t="s">
        <v>13</v>
      </c>
      <c r="D572" s="246" t="str">
        <f>IF(E572&lt;&gt;"",IF(K572&lt;&gt;"","C","O"),"")</f>
        <v>C</v>
      </c>
      <c r="E572" s="199">
        <v>44672.885416666664</v>
      </c>
      <c r="F572" s="200" t="s">
        <v>92</v>
      </c>
      <c r="G572" s="235">
        <v>13789.04</v>
      </c>
      <c r="H572" s="235">
        <v>13833.45</v>
      </c>
      <c r="I572" s="247">
        <f>ABS(G572-H572)</f>
        <v>44.409999999999854</v>
      </c>
      <c r="J572" s="235">
        <v>12960.06</v>
      </c>
      <c r="K572" s="199">
        <v>44672.899305555555</v>
      </c>
      <c r="L572" s="235">
        <v>13833.45</v>
      </c>
      <c r="M572" s="248">
        <f>ROUND(IF(C572="L",(L572-G572),(G572-L572)),4)</f>
        <v>-44.41</v>
      </c>
      <c r="N572" s="249">
        <f>IFERROR(ROUND((M572/I572),2),"")</f>
        <v>-1</v>
      </c>
      <c r="O572" s="250">
        <f>IF(D572="O",IF(N572&lt;0,N572,0),0)</f>
        <v>0</v>
      </c>
      <c r="P572" s="251">
        <f>IF(N572&gt;= 0,N572,0)</f>
        <v>0</v>
      </c>
      <c r="Q572" s="251">
        <f>IF(N572&lt;0,N572,0)</f>
        <v>-1</v>
      </c>
      <c r="R5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27884</v>
      </c>
      <c r="T5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2" s="253">
        <f ca="1">IF(Tabla33610673[[#This Row],[Equity]]&lt;Tabla33610673[[#This Row],[Equity Peak]],(Tabla33610673[[#This Row],[Equity Peak]]-Tabla33610673[[#This Row],[Equity]])/Tabla33610673[[#This Row],[Equity Peak]],"")</f>
        <v>1.6992173729112318E-2</v>
      </c>
      <c r="V572" s="254">
        <f>IF(B572="FX",N572,0)</f>
        <v>0</v>
      </c>
      <c r="W572" s="254">
        <f>IF(D572="O",IF(V572&lt;0,V572,0),0)</f>
        <v>0</v>
      </c>
      <c r="X572" s="254">
        <f>IF(B572="COM",N572,0)</f>
        <v>0</v>
      </c>
      <c r="Y572" s="254">
        <f>IF(D572="O",IF(X572&lt;0,X572,0),0)</f>
        <v>0</v>
      </c>
      <c r="Z572" s="254">
        <f>IF(B572="IND",N572,0)</f>
        <v>-1</v>
      </c>
      <c r="AA572" s="250">
        <f>IF(D572="O",IF(Z572&lt;0,Z572,0),0)</f>
        <v>0</v>
      </c>
      <c r="AB572" s="254">
        <f>IF(B572="CRYPTO",N572,0)</f>
        <v>0</v>
      </c>
      <c r="AC572" s="250">
        <f>IF(D572="O",IF(AB572&lt;0,AB572,0),0)</f>
        <v>0</v>
      </c>
      <c r="AD572" s="255">
        <f>IF(K572&lt;&gt;"",K572-E572,0)</f>
        <v>1.3888888890505768E-2</v>
      </c>
      <c r="AE572" s="255">
        <f>IF(N572&gt;0,AD572,0)</f>
        <v>0</v>
      </c>
      <c r="AF572" s="255">
        <f>IF(N572&lt;0,AD572,0)</f>
        <v>1.3888888890505768E-2</v>
      </c>
      <c r="AG572" s="255">
        <f>IF(N572=0,AD572,0)</f>
        <v>0</v>
      </c>
    </row>
    <row r="573" spans="2:33" ht="15" customHeight="1" x14ac:dyDescent="0.3">
      <c r="B573" s="196" t="s">
        <v>5</v>
      </c>
      <c r="C573" s="197" t="s">
        <v>13</v>
      </c>
      <c r="D573" s="246" t="str">
        <f>IF(E573&lt;&gt;"",IF(K573&lt;&gt;"","C","O"),"")</f>
        <v>C</v>
      </c>
      <c r="E573" s="199">
        <v>44672.885416666664</v>
      </c>
      <c r="F573" s="200" t="s">
        <v>93</v>
      </c>
      <c r="G573" s="235">
        <v>13789.04</v>
      </c>
      <c r="H573" s="235">
        <v>13836.02</v>
      </c>
      <c r="I573" s="247">
        <f>ABS(G573-H573)</f>
        <v>46.979999999999563</v>
      </c>
      <c r="J573" s="235">
        <v>13287.93</v>
      </c>
      <c r="K573" s="199">
        <v>44672.899305555555</v>
      </c>
      <c r="L573" s="235">
        <v>13836.02</v>
      </c>
      <c r="M573" s="248">
        <f>ROUND(IF(C573="L",(L573-G573),(G573-L573)),4)</f>
        <v>-46.98</v>
      </c>
      <c r="N573" s="249">
        <f>IFERROR(ROUND((M573/I573),2),"")</f>
        <v>-1</v>
      </c>
      <c r="O573" s="250">
        <f>IF(D573="O",IF(N573&lt;0,N573,0),0)</f>
        <v>0</v>
      </c>
      <c r="P573" s="251">
        <f>IF(N573&gt;= 0,N573,0)</f>
        <v>0</v>
      </c>
      <c r="Q573" s="251">
        <f>IF(N573&lt;0,N573,0)</f>
        <v>-1</v>
      </c>
      <c r="R5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27984</v>
      </c>
      <c r="T5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3" s="253">
        <f ca="1">IF(Tabla33610673[[#This Row],[Equity]]&lt;Tabla33610673[[#This Row],[Equity Peak]],(Tabla33610673[[#This Row],[Equity Peak]]-Tabla33610673[[#This Row],[Equity]])/Tabla33610673[[#This Row],[Equity Peak]],"")</f>
        <v>1.3466826482408517E-2</v>
      </c>
      <c r="V573" s="254">
        <f>IF(B573="FX",N573,0)</f>
        <v>0</v>
      </c>
      <c r="W573" s="254">
        <f>IF(D573="O",IF(V573&lt;0,V573,0),0)</f>
        <v>0</v>
      </c>
      <c r="X573" s="254">
        <f>IF(B573="COM",N573,0)</f>
        <v>0</v>
      </c>
      <c r="Y573" s="254">
        <f>IF(D573="O",IF(X573&lt;0,X573,0),0)</f>
        <v>0</v>
      </c>
      <c r="Z573" s="254">
        <f>IF(B573="IND",N573,0)</f>
        <v>-1</v>
      </c>
      <c r="AA573" s="250">
        <f>IF(D573="O",IF(Z573&lt;0,Z573,0),0)</f>
        <v>0</v>
      </c>
      <c r="AB573" s="254">
        <f>IF(B573="CRYPTO",N573,0)</f>
        <v>0</v>
      </c>
      <c r="AC573" s="250">
        <f>IF(D573="O",IF(AB573&lt;0,AB573,0),0)</f>
        <v>0</v>
      </c>
      <c r="AD573" s="255">
        <f>IF(K573&lt;&gt;"",K573-E573,0)</f>
        <v>1.3888888890505768E-2</v>
      </c>
      <c r="AE573" s="255">
        <f>IF(N573&gt;0,AD573,0)</f>
        <v>0</v>
      </c>
      <c r="AF573" s="255">
        <f>IF(N573&lt;0,AD573,0)</f>
        <v>1.3888888890505768E-2</v>
      </c>
      <c r="AG573" s="255">
        <f>IF(N573=0,AD573,0)</f>
        <v>0</v>
      </c>
    </row>
    <row r="574" spans="2:33" ht="15" customHeight="1" x14ac:dyDescent="0.3">
      <c r="B574" s="196" t="s">
        <v>7</v>
      </c>
      <c r="C574" s="197" t="s">
        <v>15</v>
      </c>
      <c r="D574" s="246" t="str">
        <f>IF(E574&lt;&gt;"",IF(K574&lt;&gt;"","C","O"),"")</f>
        <v>C</v>
      </c>
      <c r="E574" s="199">
        <v>44672.78125</v>
      </c>
      <c r="F574" s="200" t="s">
        <v>115</v>
      </c>
      <c r="G574" s="235">
        <v>167.89</v>
      </c>
      <c r="H574" s="235">
        <v>167.208</v>
      </c>
      <c r="I574" s="247">
        <f>ABS(G574-H574)</f>
        <v>0.68199999999998795</v>
      </c>
      <c r="J574" s="235">
        <v>169.83799999999999</v>
      </c>
      <c r="K574" s="199">
        <v>44672.87222222222</v>
      </c>
      <c r="L574" s="235">
        <v>167.208</v>
      </c>
      <c r="M574" s="248">
        <f>ROUND(IF(C574="L",(L574-G574),(G574-L574)),4)</f>
        <v>-0.68200000000000005</v>
      </c>
      <c r="N574" s="249">
        <f>IFERROR(ROUND((M574/I574),2),"")</f>
        <v>-1</v>
      </c>
      <c r="O574" s="250">
        <f>IF(D574="O",IF(N574&lt;0,N574,0),0)</f>
        <v>0</v>
      </c>
      <c r="P574" s="251">
        <f>IF(N574&gt;= 0,N574,0)</f>
        <v>0</v>
      </c>
      <c r="Q574" s="251">
        <f>IF(N574&lt;0,N574,0)</f>
        <v>-1</v>
      </c>
      <c r="R5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28084</v>
      </c>
      <c r="T5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4" s="253">
        <f ca="1">IF(Tabla33610673[[#This Row],[Equity]]&lt;Tabla33610673[[#This Row],[Equity Peak]],(Tabla33610673[[#This Row],[Equity Peak]]-Tabla33610673[[#This Row],[Equity]])/Tabla33610673[[#This Row],[Equity Peak]],"")</f>
        <v>9.9414792357047175E-3</v>
      </c>
      <c r="V574" s="254">
        <f>IF(B574="FX",N574,0)</f>
        <v>-1</v>
      </c>
      <c r="W574" s="254">
        <f>IF(D574="O",IF(V574&lt;0,V574,0),0)</f>
        <v>0</v>
      </c>
      <c r="X574" s="254">
        <f>IF(B574="COM",N574,0)</f>
        <v>0</v>
      </c>
      <c r="Y574" s="254">
        <f>IF(D574="O",IF(X574&lt;0,X574,0),0)</f>
        <v>0</v>
      </c>
      <c r="Z574" s="254">
        <f>IF(B574="IND",N574,0)</f>
        <v>0</v>
      </c>
      <c r="AA574" s="250">
        <f>IF(D574="O",IF(Z574&lt;0,Z574,0),0)</f>
        <v>0</v>
      </c>
      <c r="AB574" s="254">
        <f>IF(B574="CRYPTO",N574,0)</f>
        <v>0</v>
      </c>
      <c r="AC574" s="250">
        <f>IF(D574="O",IF(AB574&lt;0,AB574,0),0)</f>
        <v>0</v>
      </c>
      <c r="AD574" s="255">
        <f>IF(K574&lt;&gt;"",K574-E574,0)</f>
        <v>9.0972222220443655E-2</v>
      </c>
      <c r="AE574" s="255">
        <f>IF(N574&gt;0,AD574,0)</f>
        <v>0</v>
      </c>
      <c r="AF574" s="255">
        <f>IF(N574&lt;0,AD574,0)</f>
        <v>9.0972222220443655E-2</v>
      </c>
      <c r="AG574" s="255">
        <f>IF(N574=0,AD574,0)</f>
        <v>0</v>
      </c>
    </row>
    <row r="575" spans="2:33" ht="15" customHeight="1" x14ac:dyDescent="0.3">
      <c r="B575" s="196" t="s">
        <v>5</v>
      </c>
      <c r="C575" s="197" t="s">
        <v>15</v>
      </c>
      <c r="D575" s="246" t="str">
        <f>IF(E575&lt;&gt;"",IF(K575&lt;&gt;"","C","O"),"")</f>
        <v>C</v>
      </c>
      <c r="E575" s="199">
        <v>44672.197916666664</v>
      </c>
      <c r="F575" s="200" t="s">
        <v>91</v>
      </c>
      <c r="G575" s="235">
        <v>14401.2</v>
      </c>
      <c r="H575" s="235">
        <v>14362.56</v>
      </c>
      <c r="I575" s="247">
        <f>ABS(G575-H575)</f>
        <v>38.640000000001237</v>
      </c>
      <c r="J575" s="235">
        <v>15122.43</v>
      </c>
      <c r="K575" s="199">
        <v>44672.783333333333</v>
      </c>
      <c r="L575" s="235">
        <v>14471.5</v>
      </c>
      <c r="M575" s="248">
        <f>ROUND(IF(C575="L",(L575-G575),(G575-L575)),4)</f>
        <v>70.3</v>
      </c>
      <c r="N575" s="249">
        <f>IFERROR(ROUND((M575/I575),2),"")</f>
        <v>1.82</v>
      </c>
      <c r="O575" s="250">
        <f>IF(D575="O",IF(N575&lt;0,N575,0),0)</f>
        <v>0</v>
      </c>
      <c r="P575" s="251">
        <f>IF(N575&gt;= 0,N575,0)</f>
        <v>1.82</v>
      </c>
      <c r="Q575" s="251">
        <f>IF(N575&lt;0,N575,0)</f>
        <v>0</v>
      </c>
      <c r="R5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28184</v>
      </c>
      <c r="T5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5" s="253">
        <f ca="1">IF(Tabla33610673[[#This Row],[Equity]]&lt;Tabla33610673[[#This Row],[Equity Peak]],(Tabla33610673[[#This Row],[Equity Peak]]-Tabla33610673[[#This Row],[Equity]])/Tabla33610673[[#This Row],[Equity Peak]],"")</f>
        <v>6.416131989000917E-3</v>
      </c>
      <c r="V575" s="254">
        <f>IF(B575="FX",N575,0)</f>
        <v>0</v>
      </c>
      <c r="W575" s="254">
        <f>IF(D575="O",IF(V575&lt;0,V575,0),0)</f>
        <v>0</v>
      </c>
      <c r="X575" s="254">
        <f>IF(B575="COM",N575,0)</f>
        <v>0</v>
      </c>
      <c r="Y575" s="254">
        <f>IF(D575="O",IF(X575&lt;0,X575,0),0)</f>
        <v>0</v>
      </c>
      <c r="Z575" s="254">
        <f>IF(B575="IND",N575,0)</f>
        <v>1.82</v>
      </c>
      <c r="AA575" s="250">
        <f>IF(D575="O",IF(Z575&lt;0,Z575,0),0)</f>
        <v>0</v>
      </c>
      <c r="AB575" s="254">
        <f>IF(B575="CRYPTO",N575,0)</f>
        <v>0</v>
      </c>
      <c r="AC575" s="250">
        <f>IF(D575="O",IF(AB575&lt;0,AB575,0),0)</f>
        <v>0</v>
      </c>
      <c r="AD575" s="255">
        <f>IF(K575&lt;&gt;"",K575-E575,0)</f>
        <v>0.58541666666860692</v>
      </c>
      <c r="AE575" s="255">
        <f>IF(N575&gt;0,AD575,0)</f>
        <v>0.58541666666860692</v>
      </c>
      <c r="AF575" s="255">
        <f>IF(N575&lt;0,AD575,0)</f>
        <v>0</v>
      </c>
      <c r="AG575" s="255">
        <f>IF(N575=0,AD575,0)</f>
        <v>0</v>
      </c>
    </row>
    <row r="576" spans="2:33" ht="15" customHeight="1" x14ac:dyDescent="0.3">
      <c r="B576" s="196" t="s">
        <v>5</v>
      </c>
      <c r="C576" s="197" t="s">
        <v>15</v>
      </c>
      <c r="D576" s="246" t="str">
        <f>IF(E576&lt;&gt;"",IF(K576&lt;&gt;"","C","O"),"")</f>
        <v>C</v>
      </c>
      <c r="E576" s="199">
        <v>44671.53125</v>
      </c>
      <c r="F576" s="200" t="s">
        <v>91</v>
      </c>
      <c r="G576" s="235">
        <v>14310.08</v>
      </c>
      <c r="H576" s="235">
        <v>14270.42</v>
      </c>
      <c r="I576" s="247">
        <f>ABS(G576-H576)</f>
        <v>39.659999999999854</v>
      </c>
      <c r="J576" s="235">
        <v>15050.35</v>
      </c>
      <c r="K576" s="199">
        <v>44671.913194444445</v>
      </c>
      <c r="L576" s="235">
        <v>14306.27</v>
      </c>
      <c r="M576" s="248">
        <f>ROUND(IF(C576="L",(L576-G576),(G576-L576)),4)</f>
        <v>-3.81</v>
      </c>
      <c r="N576" s="249">
        <f>IFERROR(ROUND((M576/I576),2),"")</f>
        <v>-0.1</v>
      </c>
      <c r="O576" s="250">
        <f>IF(D576="O",IF(N576&lt;0,N576,0),0)</f>
        <v>0</v>
      </c>
      <c r="P576" s="251">
        <f>IF(N576&gt;= 0,N576,0)</f>
        <v>0</v>
      </c>
      <c r="Q576" s="251">
        <f>IF(N576&lt;0,N576,0)</f>
        <v>-0.1</v>
      </c>
      <c r="R5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28002</v>
      </c>
      <c r="T5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6" s="253">
        <f ca="1">IF(Tabla33610673[[#This Row],[Equity]]&lt;Tabla33610673[[#This Row],[Equity Peak]],(Tabla33610673[[#This Row],[Equity Peak]]-Tabla33610673[[#This Row],[Equity]])/Tabla33610673[[#This Row],[Equity Peak]],"")</f>
        <v>1.2832263978001834E-2</v>
      </c>
      <c r="V576" s="254">
        <f>IF(B576="FX",N576,0)</f>
        <v>0</v>
      </c>
      <c r="W576" s="254">
        <f>IF(D576="O",IF(V576&lt;0,V576,0),0)</f>
        <v>0</v>
      </c>
      <c r="X576" s="254">
        <f>IF(B576="COM",N576,0)</f>
        <v>0</v>
      </c>
      <c r="Y576" s="254">
        <f>IF(D576="O",IF(X576&lt;0,X576,0),0)</f>
        <v>0</v>
      </c>
      <c r="Z576" s="254">
        <f>IF(B576="IND",N576,0)</f>
        <v>-0.1</v>
      </c>
      <c r="AA576" s="250">
        <f>IF(D576="O",IF(Z576&lt;0,Z576,0),0)</f>
        <v>0</v>
      </c>
      <c r="AB576" s="254">
        <f>IF(B576="CRYPTO",N576,0)</f>
        <v>0</v>
      </c>
      <c r="AC576" s="250">
        <f>IF(D576="O",IF(AB576&lt;0,AB576,0),0)</f>
        <v>0</v>
      </c>
      <c r="AD576" s="255">
        <f>IF(K576&lt;&gt;"",K576-E576,0)</f>
        <v>0.38194444444525288</v>
      </c>
      <c r="AE576" s="255">
        <f>IF(N576&gt;0,AD576,0)</f>
        <v>0</v>
      </c>
      <c r="AF576" s="255">
        <f>IF(N576&lt;0,AD576,0)</f>
        <v>0.38194444444525288</v>
      </c>
      <c r="AG576" s="255">
        <f>IF(N576=0,AD576,0)</f>
        <v>0</v>
      </c>
    </row>
    <row r="577" spans="2:33" ht="15" customHeight="1" x14ac:dyDescent="0.3">
      <c r="B577" s="196" t="s">
        <v>5</v>
      </c>
      <c r="C577" s="197" t="s">
        <v>15</v>
      </c>
      <c r="D577" s="246" t="str">
        <f>IF(E577&lt;&gt;"",IF(K577&lt;&gt;"","C","O"),"")</f>
        <v>C</v>
      </c>
      <c r="E577" s="199">
        <v>44671.625</v>
      </c>
      <c r="F577" s="200" t="s">
        <v>93</v>
      </c>
      <c r="G577" s="235">
        <v>14285.2</v>
      </c>
      <c r="H577" s="235">
        <v>14240.07</v>
      </c>
      <c r="I577" s="247">
        <f>ABS(G577-H577)</f>
        <v>45.130000000001019</v>
      </c>
      <c r="J577" s="235">
        <v>14766.55</v>
      </c>
      <c r="K577" s="199">
        <v>44671.688888888886</v>
      </c>
      <c r="L577" s="235">
        <v>14240.07</v>
      </c>
      <c r="M577" s="248">
        <f>ROUND(IF(C577="L",(L577-G577),(G577-L577)),4)</f>
        <v>-45.13</v>
      </c>
      <c r="N577" s="249">
        <f>IFERROR(ROUND((M577/I577),2),"")</f>
        <v>-1</v>
      </c>
      <c r="O577" s="250">
        <f>IF(D577="O",IF(N577&lt;0,N577,0),0)</f>
        <v>0</v>
      </c>
      <c r="P577" s="251">
        <f>IF(N577&gt;= 0,N577,0)</f>
        <v>0</v>
      </c>
      <c r="Q577" s="251">
        <f>IF(N577&lt;0,N577,0)</f>
        <v>-1</v>
      </c>
      <c r="R5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28012</v>
      </c>
      <c r="T5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7" s="253">
        <f ca="1">IF(Tabla33610673[[#This Row],[Equity]]&lt;Tabla33610673[[#This Row],[Equity Peak]],(Tabla33610673[[#This Row],[Equity Peak]]-Tabla33610673[[#This Row],[Equity]])/Tabla33610673[[#This Row],[Equity Peak]],"")</f>
        <v>1.2479729253331453E-2</v>
      </c>
      <c r="V577" s="254">
        <f>IF(B577="FX",N577,0)</f>
        <v>0</v>
      </c>
      <c r="W577" s="254">
        <f>IF(D577="O",IF(V577&lt;0,V577,0),0)</f>
        <v>0</v>
      </c>
      <c r="X577" s="254">
        <f>IF(B577="COM",N577,0)</f>
        <v>0</v>
      </c>
      <c r="Y577" s="254">
        <f>IF(D577="O",IF(X577&lt;0,X577,0),0)</f>
        <v>0</v>
      </c>
      <c r="Z577" s="254">
        <f>IF(B577="IND",N577,0)</f>
        <v>-1</v>
      </c>
      <c r="AA577" s="250">
        <f>IF(D577="O",IF(Z577&lt;0,Z577,0),0)</f>
        <v>0</v>
      </c>
      <c r="AB577" s="254">
        <f>IF(B577="CRYPTO",N577,0)</f>
        <v>0</v>
      </c>
      <c r="AC577" s="250">
        <f>IF(D577="O",IF(AB577&lt;0,AB577,0),0)</f>
        <v>0</v>
      </c>
      <c r="AD577" s="255">
        <f>IF(K577&lt;&gt;"",K577-E577,0)</f>
        <v>6.3888888886140194E-2</v>
      </c>
      <c r="AE577" s="255">
        <f>IF(N577&gt;0,AD577,0)</f>
        <v>0</v>
      </c>
      <c r="AF577" s="255">
        <f>IF(N577&lt;0,AD577,0)</f>
        <v>6.3888888886140194E-2</v>
      </c>
      <c r="AG577" s="255">
        <f>IF(N577=0,AD577,0)</f>
        <v>0</v>
      </c>
    </row>
    <row r="578" spans="2:33" ht="15" customHeight="1" x14ac:dyDescent="0.3">
      <c r="B578" s="196" t="s">
        <v>7</v>
      </c>
      <c r="C578" s="197" t="s">
        <v>15</v>
      </c>
      <c r="D578" s="246" t="str">
        <f>IF(E578&lt;&gt;"",IF(K578&lt;&gt;"","C","O"),"")</f>
        <v>C</v>
      </c>
      <c r="E578" s="199">
        <v>44669.802083333336</v>
      </c>
      <c r="F578" s="200" t="s">
        <v>116</v>
      </c>
      <c r="G578" s="235">
        <v>126.845</v>
      </c>
      <c r="H578" s="235">
        <v>126.624</v>
      </c>
      <c r="I578" s="247">
        <f>ABS(G578-H578)</f>
        <v>0.22100000000000364</v>
      </c>
      <c r="J578" s="235">
        <v>129.14699999999999</v>
      </c>
      <c r="K578" s="199">
        <v>44670.425694444442</v>
      </c>
      <c r="L578" s="235">
        <v>127.887</v>
      </c>
      <c r="M578" s="248">
        <f>ROUND(IF(C578="L",(L578-G578),(G578-L578)),4)</f>
        <v>1.042</v>
      </c>
      <c r="N578" s="249">
        <f>IFERROR(ROUND((M578/I578),2),"")</f>
        <v>4.71</v>
      </c>
      <c r="O578" s="250">
        <f>IF(D578="O",IF(N578&lt;0,N578,0),0)</f>
        <v>0</v>
      </c>
      <c r="P578" s="251">
        <f>IF(N578&gt;= 0,N578,0)</f>
        <v>4.71</v>
      </c>
      <c r="Q578" s="251">
        <f>IF(N578&lt;0,N578,0)</f>
        <v>0</v>
      </c>
      <c r="R5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28112</v>
      </c>
      <c r="T5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8" s="253">
        <f ca="1">IF(Tabla33610673[[#This Row],[Equity]]&lt;Tabla33610673[[#This Row],[Equity Peak]],(Tabla33610673[[#This Row],[Equity Peak]]-Tabla33610673[[#This Row],[Equity]])/Tabla33610673[[#This Row],[Equity Peak]],"")</f>
        <v>8.9543820066276536E-3</v>
      </c>
      <c r="V578" s="254">
        <f>IF(B578="FX",N578,0)</f>
        <v>4.71</v>
      </c>
      <c r="W578" s="254">
        <f>IF(D578="O",IF(V578&lt;0,V578,0),0)</f>
        <v>0</v>
      </c>
      <c r="X578" s="254">
        <f>IF(B578="COM",N578,0)</f>
        <v>0</v>
      </c>
      <c r="Y578" s="254">
        <f>IF(D578="O",IF(X578&lt;0,X578,0),0)</f>
        <v>0</v>
      </c>
      <c r="Z578" s="254">
        <f>IF(B578="IND",N578,0)</f>
        <v>0</v>
      </c>
      <c r="AA578" s="250">
        <f>IF(D578="O",IF(Z578&lt;0,Z578,0),0)</f>
        <v>0</v>
      </c>
      <c r="AB578" s="254">
        <f>IF(B578="CRYPTO",N578,0)</f>
        <v>0</v>
      </c>
      <c r="AC578" s="250">
        <f>IF(D578="O",IF(AB578&lt;0,AB578,0),0)</f>
        <v>0</v>
      </c>
      <c r="AD578" s="255">
        <f>IF(K578&lt;&gt;"",K578-E578,0)</f>
        <v>0.62361111110658385</v>
      </c>
      <c r="AE578" s="255">
        <f>IF(N578&gt;0,AD578,0)</f>
        <v>0.62361111110658385</v>
      </c>
      <c r="AF578" s="255">
        <f>IF(N578&lt;0,AD578,0)</f>
        <v>0</v>
      </c>
      <c r="AG578" s="255">
        <f>IF(N578=0,AD578,0)</f>
        <v>0</v>
      </c>
    </row>
    <row r="579" spans="2:33" ht="15" customHeight="1" x14ac:dyDescent="0.3">
      <c r="B579" s="196" t="s">
        <v>7</v>
      </c>
      <c r="C579" s="197" t="s">
        <v>15</v>
      </c>
      <c r="D579" s="246" t="str">
        <f>IF(E579&lt;&gt;"",IF(K579&lt;&gt;"","C","O"),"")</f>
        <v>C</v>
      </c>
      <c r="E579" s="199">
        <v>44670.135416666664</v>
      </c>
      <c r="F579" s="200" t="s">
        <v>115</v>
      </c>
      <c r="G579" s="235">
        <v>165.42500000000001</v>
      </c>
      <c r="H579" s="235">
        <v>165.09800000000001</v>
      </c>
      <c r="I579" s="247">
        <f>ABS(G579-H579)</f>
        <v>0.32699999999999818</v>
      </c>
      <c r="J579" s="235">
        <v>166.358</v>
      </c>
      <c r="K579" s="199">
        <v>44670.276388888888</v>
      </c>
      <c r="L579" s="235">
        <v>166.358</v>
      </c>
      <c r="M579" s="248">
        <f>ROUND(IF(C579="L",(L579-G579),(G579-L579)),4)</f>
        <v>0.93300000000000005</v>
      </c>
      <c r="N579" s="249">
        <f>IFERROR(ROUND((M579/I579),2),"")</f>
        <v>2.85</v>
      </c>
      <c r="O579" s="250">
        <f>IF(D579="O",IF(N579&lt;0,N579,0),0)</f>
        <v>0</v>
      </c>
      <c r="P579" s="251">
        <f>IF(N579&gt;= 0,N579,0)</f>
        <v>2.85</v>
      </c>
      <c r="Q579" s="251">
        <f>IF(N579&lt;0,N579,0)</f>
        <v>0</v>
      </c>
      <c r="R5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27641</v>
      </c>
      <c r="T5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79" s="253">
        <f ca="1">IF(Tabla33610673[[#This Row],[Equity]]&lt;Tabla33610673[[#This Row],[Equity Peak]],(Tabla33610673[[#This Row],[Equity Peak]]-Tabla33610673[[#This Row],[Equity]])/Tabla33610673[[#This Row],[Equity Peak]],"")</f>
        <v>2.5558767538602551E-2</v>
      </c>
      <c r="V579" s="254">
        <f>IF(B579="FX",N579,0)</f>
        <v>2.85</v>
      </c>
      <c r="W579" s="254">
        <f>IF(D579="O",IF(V579&lt;0,V579,0),0)</f>
        <v>0</v>
      </c>
      <c r="X579" s="254">
        <f>IF(B579="COM",N579,0)</f>
        <v>0</v>
      </c>
      <c r="Y579" s="254">
        <f>IF(D579="O",IF(X579&lt;0,X579,0),0)</f>
        <v>0</v>
      </c>
      <c r="Z579" s="254">
        <f>IF(B579="IND",N579,0)</f>
        <v>0</v>
      </c>
      <c r="AA579" s="250">
        <f>IF(D579="O",IF(Z579&lt;0,Z579,0),0)</f>
        <v>0</v>
      </c>
      <c r="AB579" s="254">
        <f>IF(B579="CRYPTO",N579,0)</f>
        <v>0</v>
      </c>
      <c r="AC579" s="250">
        <f>IF(D579="O",IF(AB579&lt;0,AB579,0),0)</f>
        <v>0</v>
      </c>
      <c r="AD579" s="255">
        <f>IF(K579&lt;&gt;"",K579-E579,0)</f>
        <v>0.14097222222335404</v>
      </c>
      <c r="AE579" s="255">
        <f>IF(N579&gt;0,AD579,0)</f>
        <v>0.14097222222335404</v>
      </c>
      <c r="AF579" s="255">
        <f>IF(N579&lt;0,AD579,0)</f>
        <v>0</v>
      </c>
      <c r="AG579" s="255">
        <f>IF(N579=0,AD579,0)</f>
        <v>0</v>
      </c>
    </row>
    <row r="580" spans="2:33" ht="15" customHeight="1" x14ac:dyDescent="0.3">
      <c r="B580" s="196" t="s">
        <v>19</v>
      </c>
      <c r="C580" s="197" t="s">
        <v>15</v>
      </c>
      <c r="D580" s="246" t="str">
        <f>IF(E580&lt;&gt;"",IF(K580&lt;&gt;"","C","O"),"")</f>
        <v>C</v>
      </c>
      <c r="E580" s="199">
        <v>44669.114583333336</v>
      </c>
      <c r="F580" s="200" t="s">
        <v>88</v>
      </c>
      <c r="G580" s="235">
        <v>1983.18</v>
      </c>
      <c r="H580" s="235">
        <v>1978.82</v>
      </c>
      <c r="I580" s="247">
        <f>ABS(G580-H580)</f>
        <v>4.3600000000001273</v>
      </c>
      <c r="J580" s="235">
        <v>2035.46</v>
      </c>
      <c r="K580" s="199">
        <v>44669.743750000001</v>
      </c>
      <c r="L580" s="235">
        <v>1983.14</v>
      </c>
      <c r="M580" s="248">
        <f>ROUND(IF(C580="L",(L580-G580),(G580-L580)),4)</f>
        <v>-0.04</v>
      </c>
      <c r="N580" s="249">
        <f>IFERROR(ROUND((M580/I580),2),"")</f>
        <v>-0.01</v>
      </c>
      <c r="O580" s="250">
        <f>IF(D580="O",IF(N580&lt;0,N580,0),0)</f>
        <v>0</v>
      </c>
      <c r="P580" s="251">
        <f>IF(N580&gt;= 0,N580,0)</f>
        <v>0</v>
      </c>
      <c r="Q580" s="251">
        <f>IF(N580&lt;0,N580,0)</f>
        <v>-0.01</v>
      </c>
      <c r="R5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27356</v>
      </c>
      <c r="T5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0" s="253">
        <f ca="1">IF(Tabla33610673[[#This Row],[Equity]]&lt;Tabla33610673[[#This Row],[Equity Peak]],(Tabla33610673[[#This Row],[Equity Peak]]-Tabla33610673[[#This Row],[Equity]])/Tabla33610673[[#This Row],[Equity Peak]],"")</f>
        <v>3.560600719170838E-2</v>
      </c>
      <c r="V580" s="254">
        <f>IF(B580="FX",N580,0)</f>
        <v>0</v>
      </c>
      <c r="W580" s="254">
        <f>IF(D580="O",IF(V580&lt;0,V580,0),0)</f>
        <v>0</v>
      </c>
      <c r="X580" s="254">
        <f>IF(B580="COM",N580,0)</f>
        <v>-0.01</v>
      </c>
      <c r="Y580" s="254">
        <f>IF(D580="O",IF(X580&lt;0,X580,0),0)</f>
        <v>0</v>
      </c>
      <c r="Z580" s="254">
        <f>IF(B580="IND",N580,0)</f>
        <v>0</v>
      </c>
      <c r="AA580" s="250">
        <f>IF(D580="O",IF(Z580&lt;0,Z580,0),0)</f>
        <v>0</v>
      </c>
      <c r="AB580" s="254">
        <f>IF(B580="CRYPTO",N580,0)</f>
        <v>0</v>
      </c>
      <c r="AC580" s="250">
        <f>IF(D580="O",IF(AB580&lt;0,AB580,0),0)</f>
        <v>0</v>
      </c>
      <c r="AD580" s="255">
        <f>IF(K580&lt;&gt;"",K580-E580,0)</f>
        <v>0.62916666666569654</v>
      </c>
      <c r="AE580" s="255">
        <f>IF(N580&gt;0,AD580,0)</f>
        <v>0</v>
      </c>
      <c r="AF580" s="255">
        <f>IF(N580&lt;0,AD580,0)</f>
        <v>0.62916666666569654</v>
      </c>
      <c r="AG580" s="255">
        <f>IF(N580=0,AD580,0)</f>
        <v>0</v>
      </c>
    </row>
    <row r="581" spans="2:33" ht="15" customHeight="1" x14ac:dyDescent="0.3">
      <c r="B581" s="196" t="s">
        <v>5</v>
      </c>
      <c r="C581" s="197" t="s">
        <v>13</v>
      </c>
      <c r="D581" s="246" t="str">
        <f>IF(E581&lt;&gt;"",IF(K581&lt;&gt;"","C","O"),"")</f>
        <v>C</v>
      </c>
      <c r="E581" s="199">
        <v>44669.052083333336</v>
      </c>
      <c r="F581" s="200" t="s">
        <v>92</v>
      </c>
      <c r="G581" s="235">
        <v>13831.46</v>
      </c>
      <c r="H581" s="235">
        <v>13873.71</v>
      </c>
      <c r="I581" s="247">
        <f>ABS(G581-H581)</f>
        <v>42.25</v>
      </c>
      <c r="J581" s="235">
        <v>13042.85</v>
      </c>
      <c r="K581" s="199">
        <v>44669.688194444447</v>
      </c>
      <c r="L581" s="235">
        <v>13864.88</v>
      </c>
      <c r="M581" s="248">
        <f>ROUND(IF(C581="L",(L581-G581),(G581-L581)),4)</f>
        <v>-33.42</v>
      </c>
      <c r="N581" s="249">
        <f>IFERROR(ROUND((M581/I581),2),"")</f>
        <v>-0.79</v>
      </c>
      <c r="O581" s="250">
        <f>IF(D581="O",IF(N581&lt;0,N581,0),0)</f>
        <v>0</v>
      </c>
      <c r="P581" s="251">
        <f>IF(N581&gt;= 0,N581,0)</f>
        <v>0</v>
      </c>
      <c r="Q581" s="251">
        <f>IF(N581&lt;0,N581,0)</f>
        <v>-0.79</v>
      </c>
      <c r="R5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27357</v>
      </c>
      <c r="T5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1" s="253">
        <f ca="1">IF(Tabla33610673[[#This Row],[Equity]]&lt;Tabla33610673[[#This Row],[Equity Peak]],(Tabla33610673[[#This Row],[Equity Peak]]-Tabla33610673[[#This Row],[Equity]])/Tabla33610673[[#This Row],[Equity Peak]],"")</f>
        <v>3.5570753719241344E-2</v>
      </c>
      <c r="V581" s="254">
        <f>IF(B581="FX",N581,0)</f>
        <v>0</v>
      </c>
      <c r="W581" s="254">
        <f>IF(D581="O",IF(V581&lt;0,V581,0),0)</f>
        <v>0</v>
      </c>
      <c r="X581" s="254">
        <f>IF(B581="COM",N581,0)</f>
        <v>0</v>
      </c>
      <c r="Y581" s="254">
        <f>IF(D581="O",IF(X581&lt;0,X581,0),0)</f>
        <v>0</v>
      </c>
      <c r="Z581" s="254">
        <f>IF(B581="IND",N581,0)</f>
        <v>-0.79</v>
      </c>
      <c r="AA581" s="250">
        <f>IF(D581="O",IF(Z581&lt;0,Z581,0),0)</f>
        <v>0</v>
      </c>
      <c r="AB581" s="254">
        <f>IF(B581="CRYPTO",N581,0)</f>
        <v>0</v>
      </c>
      <c r="AC581" s="250">
        <f>IF(D581="O",IF(AB581&lt;0,AB581,0),0)</f>
        <v>0</v>
      </c>
      <c r="AD581" s="255">
        <f>IF(K581&lt;&gt;"",K581-E581,0)</f>
        <v>0.63611111111094942</v>
      </c>
      <c r="AE581" s="255">
        <f>IF(N581&gt;0,AD581,0)</f>
        <v>0</v>
      </c>
      <c r="AF581" s="255">
        <f>IF(N581&lt;0,AD581,0)</f>
        <v>0.63611111111094942</v>
      </c>
      <c r="AG581" s="255">
        <f>IF(N581=0,AD581,0)</f>
        <v>0</v>
      </c>
    </row>
    <row r="582" spans="2:33" ht="15" customHeight="1" x14ac:dyDescent="0.3">
      <c r="B582" s="196" t="s">
        <v>5</v>
      </c>
      <c r="C582" s="197" t="s">
        <v>13</v>
      </c>
      <c r="D582" s="246" t="str">
        <f>IF(E582&lt;&gt;"",IF(K582&lt;&gt;"","C","O"),"")</f>
        <v>C</v>
      </c>
      <c r="E582" s="199">
        <v>44669.052083333336</v>
      </c>
      <c r="F582" s="200" t="s">
        <v>93</v>
      </c>
      <c r="G582" s="235">
        <v>13831.46</v>
      </c>
      <c r="H582" s="235">
        <v>13871.39</v>
      </c>
      <c r="I582" s="247">
        <f>ABS(G582-H582)</f>
        <v>39.930000000000291</v>
      </c>
      <c r="J582" s="235">
        <v>13405.56</v>
      </c>
      <c r="K582" s="199">
        <v>44669.460416666669</v>
      </c>
      <c r="L582" s="235">
        <v>13828.48</v>
      </c>
      <c r="M582" s="248">
        <f>ROUND(IF(C582="L",(L582-G582),(G582-L582)),4)</f>
        <v>2.98</v>
      </c>
      <c r="N582" s="249">
        <f>IFERROR(ROUND((M582/I582),2),"")</f>
        <v>7.0000000000000007E-2</v>
      </c>
      <c r="O582" s="250">
        <f>IF(D582="O",IF(N582&lt;0,N582,0),0)</f>
        <v>0</v>
      </c>
      <c r="P582" s="251">
        <f>IF(N582&gt;= 0,N582,0)</f>
        <v>7.0000000000000007E-2</v>
      </c>
      <c r="Q582" s="251">
        <f>IF(N582&lt;0,N582,0)</f>
        <v>0</v>
      </c>
      <c r="R5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27436</v>
      </c>
      <c r="T5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2" s="253">
        <f ca="1">IF(Tabla33610673[[#This Row],[Equity]]&lt;Tabla33610673[[#This Row],[Equity Peak]],(Tabla33610673[[#This Row],[Equity Peak]]-Tabla33610673[[#This Row],[Equity]])/Tabla33610673[[#This Row],[Equity Peak]],"")</f>
        <v>3.2785729394345341E-2</v>
      </c>
      <c r="V582" s="254">
        <f>IF(B582="FX",N582,0)</f>
        <v>0</v>
      </c>
      <c r="W582" s="254">
        <f>IF(D582="O",IF(V582&lt;0,V582,0),0)</f>
        <v>0</v>
      </c>
      <c r="X582" s="254">
        <f>IF(B582="COM",N582,0)</f>
        <v>0</v>
      </c>
      <c r="Y582" s="254">
        <f>IF(D582="O",IF(X582&lt;0,X582,0),0)</f>
        <v>0</v>
      </c>
      <c r="Z582" s="254">
        <f>IF(B582="IND",N582,0)</f>
        <v>7.0000000000000007E-2</v>
      </c>
      <c r="AA582" s="250">
        <f>IF(D582="O",IF(Z582&lt;0,Z582,0),0)</f>
        <v>0</v>
      </c>
      <c r="AB582" s="254">
        <f>IF(B582="CRYPTO",N582,0)</f>
        <v>0</v>
      </c>
      <c r="AC582" s="250">
        <f>IF(D582="O",IF(AB582&lt;0,AB582,0),0)</f>
        <v>0</v>
      </c>
      <c r="AD582" s="255">
        <f>IF(K582&lt;&gt;"",K582-E582,0)</f>
        <v>0.40833333333284827</v>
      </c>
      <c r="AE582" s="255">
        <f>IF(N582&gt;0,AD582,0)</f>
        <v>0.40833333333284827</v>
      </c>
      <c r="AF582" s="255">
        <f>IF(N582&lt;0,AD582,0)</f>
        <v>0</v>
      </c>
      <c r="AG582" s="255">
        <f>IF(N582=0,AD582,0)</f>
        <v>0</v>
      </c>
    </row>
    <row r="583" spans="2:33" ht="15" customHeight="1" x14ac:dyDescent="0.3">
      <c r="B583" s="196" t="s">
        <v>7</v>
      </c>
      <c r="C583" s="197" t="s">
        <v>15</v>
      </c>
      <c r="D583" s="246" t="str">
        <f>IF(E583&lt;&gt;"",IF(K583&lt;&gt;"","C","O"),"")</f>
        <v>C</v>
      </c>
      <c r="E583" s="199">
        <v>44666.114583333336</v>
      </c>
      <c r="F583" s="200" t="s">
        <v>115</v>
      </c>
      <c r="G583" s="235">
        <v>164.87700000000001</v>
      </c>
      <c r="H583" s="235">
        <v>164.42699999999999</v>
      </c>
      <c r="I583" s="247">
        <f>ABS(G583-H583)</f>
        <v>0.45000000000001705</v>
      </c>
      <c r="J583" s="235">
        <v>166.16200000000001</v>
      </c>
      <c r="K583" s="199">
        <v>44669.182638888888</v>
      </c>
      <c r="L583" s="235">
        <v>164.875</v>
      </c>
      <c r="M583" s="248">
        <f>ROUND(IF(C583="L",(L583-G583),(G583-L583)),4)</f>
        <v>-2E-3</v>
      </c>
      <c r="N583" s="249">
        <f>IFERROR(ROUND((M583/I583),2),"")</f>
        <v>0</v>
      </c>
      <c r="O583" s="250">
        <f>IF(D583="O",IF(N583&lt;0,N583,0),0)</f>
        <v>0</v>
      </c>
      <c r="P583" s="251">
        <f>IF(N583&gt;= 0,N583,0)</f>
        <v>0</v>
      </c>
      <c r="Q583" s="251">
        <f>IF(N583&lt;0,N583,0)</f>
        <v>0</v>
      </c>
      <c r="R5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27429</v>
      </c>
      <c r="T5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3" s="253">
        <f ca="1">IF(Tabla33610673[[#This Row],[Equity]]&lt;Tabla33610673[[#This Row],[Equity Peak]],(Tabla33610673[[#This Row],[Equity Peak]]-Tabla33610673[[#This Row],[Equity]])/Tabla33610673[[#This Row],[Equity Peak]],"")</f>
        <v>3.3032503701614611E-2</v>
      </c>
      <c r="V583" s="254">
        <f>IF(B583="FX",N583,0)</f>
        <v>0</v>
      </c>
      <c r="W583" s="254">
        <f>IF(D583="O",IF(V583&lt;0,V583,0),0)</f>
        <v>0</v>
      </c>
      <c r="X583" s="254">
        <f>IF(B583="COM",N583,0)</f>
        <v>0</v>
      </c>
      <c r="Y583" s="254">
        <f>IF(D583="O",IF(X583&lt;0,X583,0),0)</f>
        <v>0</v>
      </c>
      <c r="Z583" s="254">
        <f>IF(B583="IND",N583,0)</f>
        <v>0</v>
      </c>
      <c r="AA583" s="250">
        <f>IF(D583="O",IF(Z583&lt;0,Z583,0),0)</f>
        <v>0</v>
      </c>
      <c r="AB583" s="254">
        <f>IF(B583="CRYPTO",N583,0)</f>
        <v>0</v>
      </c>
      <c r="AC583" s="250">
        <f>IF(D583="O",IF(AB583&lt;0,AB583,0),0)</f>
        <v>0</v>
      </c>
      <c r="AD583" s="255">
        <f>IF(K583&lt;&gt;"",K583-E583,0)</f>
        <v>3.0680555555518367</v>
      </c>
      <c r="AE583" s="255">
        <f>IF(N583&gt;0,AD583,0)</f>
        <v>0</v>
      </c>
      <c r="AF583" s="255">
        <f>IF(N583&lt;0,AD583,0)</f>
        <v>0</v>
      </c>
      <c r="AG583" s="255">
        <f>IF(N583=0,AD583,0)</f>
        <v>3.0680555555518367</v>
      </c>
    </row>
    <row r="584" spans="2:33" ht="15" customHeight="1" x14ac:dyDescent="0.3">
      <c r="B584" s="196" t="s">
        <v>7</v>
      </c>
      <c r="C584" s="197" t="s">
        <v>15</v>
      </c>
      <c r="D584" s="246" t="str">
        <f>IF(E584&lt;&gt;"",IF(K584&lt;&gt;"","C","O"),"")</f>
        <v>C</v>
      </c>
      <c r="E584" s="199">
        <v>44669.0625</v>
      </c>
      <c r="F584" s="200" t="s">
        <v>116</v>
      </c>
      <c r="G584" s="235">
        <v>126.697</v>
      </c>
      <c r="H584" s="235">
        <v>126.47199999999999</v>
      </c>
      <c r="I584" s="247">
        <f>ABS(G584-H584)</f>
        <v>0.22500000000000853</v>
      </c>
      <c r="J584" s="235">
        <v>129.041</v>
      </c>
      <c r="K584" s="199">
        <v>44669.175694444442</v>
      </c>
      <c r="L584" s="235">
        <v>126.532</v>
      </c>
      <c r="M584" s="248">
        <f>ROUND(IF(C584="L",(L584-G584),(G584-L584)),4)</f>
        <v>-0.16500000000000001</v>
      </c>
      <c r="N584" s="249">
        <f>IFERROR(ROUND((M584/I584),2),"")</f>
        <v>-0.73</v>
      </c>
      <c r="O584" s="250">
        <f>IF(D584="O",IF(N584&lt;0,N584,0),0)</f>
        <v>0</v>
      </c>
      <c r="P584" s="251">
        <f>IF(N584&gt;= 0,N584,0)</f>
        <v>0</v>
      </c>
      <c r="Q584" s="251">
        <f>IF(N584&lt;0,N584,0)</f>
        <v>-0.73</v>
      </c>
      <c r="R5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27429</v>
      </c>
      <c r="T5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4" s="253">
        <f ca="1">IF(Tabla33610673[[#This Row],[Equity]]&lt;Tabla33610673[[#This Row],[Equity Peak]],(Tabla33610673[[#This Row],[Equity Peak]]-Tabla33610673[[#This Row],[Equity]])/Tabla33610673[[#This Row],[Equity Peak]],"")</f>
        <v>3.3032503701614611E-2</v>
      </c>
      <c r="V584" s="254">
        <f>IF(B584="FX",N584,0)</f>
        <v>-0.73</v>
      </c>
      <c r="W584" s="254">
        <f>IF(D584="O",IF(V584&lt;0,V584,0),0)</f>
        <v>0</v>
      </c>
      <c r="X584" s="254">
        <f>IF(B584="COM",N584,0)</f>
        <v>0</v>
      </c>
      <c r="Y584" s="254">
        <f>IF(D584="O",IF(X584&lt;0,X584,0),0)</f>
        <v>0</v>
      </c>
      <c r="Z584" s="254">
        <f>IF(B584="IND",N584,0)</f>
        <v>0</v>
      </c>
      <c r="AA584" s="250">
        <f>IF(D584="O",IF(Z584&lt;0,Z584,0),0)</f>
        <v>0</v>
      </c>
      <c r="AB584" s="254">
        <f>IF(B584="CRYPTO",N584,0)</f>
        <v>0</v>
      </c>
      <c r="AC584" s="250">
        <f>IF(D584="O",IF(AB584&lt;0,AB584,0),0)</f>
        <v>0</v>
      </c>
      <c r="AD584" s="255">
        <f>IF(K584&lt;&gt;"",K584-E584,0)</f>
        <v>0.1131944444423425</v>
      </c>
      <c r="AE584" s="255">
        <f>IF(N584&gt;0,AD584,0)</f>
        <v>0</v>
      </c>
      <c r="AF584" s="255">
        <f>IF(N584&lt;0,AD584,0)</f>
        <v>0.1131944444423425</v>
      </c>
      <c r="AG584" s="255">
        <f>IF(N584=0,AD584,0)</f>
        <v>0</v>
      </c>
    </row>
    <row r="585" spans="2:33" ht="15" customHeight="1" x14ac:dyDescent="0.3">
      <c r="B585" s="196" t="s">
        <v>7</v>
      </c>
      <c r="C585" s="197" t="s">
        <v>15</v>
      </c>
      <c r="D585" s="246" t="str">
        <f>IF(E585&lt;&gt;"",IF(K585&lt;&gt;"","C","O"),"")</f>
        <v>C</v>
      </c>
      <c r="E585" s="199">
        <v>44666.177083333336</v>
      </c>
      <c r="F585" s="200" t="s">
        <v>116</v>
      </c>
      <c r="G585" s="235">
        <v>126.358</v>
      </c>
      <c r="H585" s="235">
        <v>126.119</v>
      </c>
      <c r="I585" s="247">
        <f>ABS(G585-H585)</f>
        <v>0.23900000000000432</v>
      </c>
      <c r="J585" s="235">
        <v>128.84100000000001</v>
      </c>
      <c r="K585" s="199">
        <v>44666.775694444441</v>
      </c>
      <c r="L585" s="235">
        <v>126.324</v>
      </c>
      <c r="M585" s="248">
        <f>ROUND(IF(C585="L",(L585-G585),(G585-L585)),4)</f>
        <v>-3.4000000000000002E-2</v>
      </c>
      <c r="N585" s="249">
        <f>IFERROR(ROUND((M585/I585),2),"")</f>
        <v>-0.14000000000000001</v>
      </c>
      <c r="O585" s="250">
        <f>IF(D585="O",IF(N585&lt;0,N585,0),0)</f>
        <v>0</v>
      </c>
      <c r="P585" s="251">
        <f>IF(N585&gt;= 0,N585,0)</f>
        <v>0</v>
      </c>
      <c r="Q585" s="251">
        <f>IF(N585&lt;0,N585,0)</f>
        <v>-0.14000000000000001</v>
      </c>
      <c r="R5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27502</v>
      </c>
      <c r="T5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5" s="253">
        <f ca="1">IF(Tabla33610673[[#This Row],[Equity]]&lt;Tabla33610673[[#This Row],[Equity Peak]],(Tabla33610673[[#This Row],[Equity Peak]]-Tabla33610673[[#This Row],[Equity]])/Tabla33610673[[#This Row],[Equity Peak]],"")</f>
        <v>3.0459000211520836E-2</v>
      </c>
      <c r="V585" s="254">
        <f>IF(B585="FX",N585,0)</f>
        <v>-0.14000000000000001</v>
      </c>
      <c r="W585" s="254">
        <f>IF(D585="O",IF(V585&lt;0,V585,0),0)</f>
        <v>0</v>
      </c>
      <c r="X585" s="254">
        <f>IF(B585="COM",N585,0)</f>
        <v>0</v>
      </c>
      <c r="Y585" s="254">
        <f>IF(D585="O",IF(X585&lt;0,X585,0),0)</f>
        <v>0</v>
      </c>
      <c r="Z585" s="254">
        <f>IF(B585="IND",N585,0)</f>
        <v>0</v>
      </c>
      <c r="AA585" s="250">
        <f>IF(D585="O",IF(Z585&lt;0,Z585,0),0)</f>
        <v>0</v>
      </c>
      <c r="AB585" s="254">
        <f>IF(B585="CRYPTO",N585,0)</f>
        <v>0</v>
      </c>
      <c r="AC585" s="250">
        <f>IF(D585="O",IF(AB585&lt;0,AB585,0),0)</f>
        <v>0</v>
      </c>
      <c r="AD585" s="255">
        <f>IF(K585&lt;&gt;"",K585-E585,0)</f>
        <v>0.59861111110512866</v>
      </c>
      <c r="AE585" s="255">
        <f>IF(N585&gt;0,AD585,0)</f>
        <v>0</v>
      </c>
      <c r="AF585" s="255">
        <f>IF(N585&lt;0,AD585,0)</f>
        <v>0.59861111110512866</v>
      </c>
      <c r="AG585" s="255">
        <f>IF(N585=0,AD585,0)</f>
        <v>0</v>
      </c>
    </row>
    <row r="586" spans="2:33" ht="15" customHeight="1" x14ac:dyDescent="0.3">
      <c r="B586" s="196" t="s">
        <v>7</v>
      </c>
      <c r="C586" s="197" t="s">
        <v>13</v>
      </c>
      <c r="D586" s="246" t="str">
        <f>IF(E586&lt;&gt;"",IF(K586&lt;&gt;"","C","O"),"")</f>
        <v>C</v>
      </c>
      <c r="E586" s="199">
        <v>44665.697916666664</v>
      </c>
      <c r="F586" s="200" t="s">
        <v>114</v>
      </c>
      <c r="G586" s="235">
        <v>1.07853</v>
      </c>
      <c r="H586" s="235">
        <v>1.0815900000000001</v>
      </c>
      <c r="I586" s="247">
        <f>ABS(G586-H586)</f>
        <v>3.0600000000000627E-3</v>
      </c>
      <c r="J586" s="235">
        <v>1.0509999999999999</v>
      </c>
      <c r="K586" s="199">
        <v>44665.759027777778</v>
      </c>
      <c r="L586" s="235">
        <v>1.0815900000000001</v>
      </c>
      <c r="M586" s="248">
        <f>ROUND(IF(C586="L",(L586-G586),(G586-L586)),4)</f>
        <v>-3.0999999999999999E-3</v>
      </c>
      <c r="N586" s="249">
        <f>IFERROR(ROUND((M586/I586),2),"")</f>
        <v>-1.01</v>
      </c>
      <c r="O586" s="250">
        <f>IF(D586="O",IF(N586&lt;0,N586,0),0)</f>
        <v>0</v>
      </c>
      <c r="P586" s="251">
        <f>IF(N586&gt;= 0,N586,0)</f>
        <v>0</v>
      </c>
      <c r="Q586" s="251">
        <f>IF(N586&lt;0,N586,0)</f>
        <v>-1.01</v>
      </c>
      <c r="R5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27516</v>
      </c>
      <c r="T5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6" s="253">
        <f ca="1">IF(Tabla33610673[[#This Row],[Equity]]&lt;Tabla33610673[[#This Row],[Equity Peak]],(Tabla33610673[[#This Row],[Equity Peak]]-Tabla33610673[[#This Row],[Equity]])/Tabla33610673[[#This Row],[Equity Peak]],"")</f>
        <v>2.9965451596982304E-2</v>
      </c>
      <c r="V586" s="254">
        <f>IF(B586="FX",N586,0)</f>
        <v>-1.01</v>
      </c>
      <c r="W586" s="254">
        <f>IF(D586="O",IF(V586&lt;0,V586,0),0)</f>
        <v>0</v>
      </c>
      <c r="X586" s="254">
        <f>IF(B586="COM",N586,0)</f>
        <v>0</v>
      </c>
      <c r="Y586" s="254">
        <f>IF(D586="O",IF(X586&lt;0,X586,0),0)</f>
        <v>0</v>
      </c>
      <c r="Z586" s="254">
        <f>IF(B586="IND",N586,0)</f>
        <v>0</v>
      </c>
      <c r="AA586" s="250">
        <f>IF(D586="O",IF(Z586&lt;0,Z586,0),0)</f>
        <v>0</v>
      </c>
      <c r="AB586" s="254">
        <f>IF(B586="CRYPTO",N586,0)</f>
        <v>0</v>
      </c>
      <c r="AC586" s="250">
        <f>IF(D586="O",IF(AB586&lt;0,AB586,0),0)</f>
        <v>0</v>
      </c>
      <c r="AD586" s="255">
        <f>IF(K586&lt;&gt;"",K586-E586,0)</f>
        <v>6.1111111113859806E-2</v>
      </c>
      <c r="AE586" s="255">
        <f>IF(N586&gt;0,AD586,0)</f>
        <v>0</v>
      </c>
      <c r="AF586" s="255">
        <f>IF(N586&lt;0,AD586,0)</f>
        <v>6.1111111113859806E-2</v>
      </c>
      <c r="AG586" s="255">
        <f>IF(N586=0,AD586,0)</f>
        <v>0</v>
      </c>
    </row>
    <row r="587" spans="2:33" ht="15" customHeight="1" x14ac:dyDescent="0.3">
      <c r="B587" s="196" t="s">
        <v>7</v>
      </c>
      <c r="C587" s="197" t="s">
        <v>15</v>
      </c>
      <c r="D587" s="246" t="str">
        <f>IF(E587&lt;&gt;"",IF(K587&lt;&gt;"","C","O"),"")</f>
        <v>C</v>
      </c>
      <c r="E587" s="199">
        <v>44664.78125</v>
      </c>
      <c r="F587" s="200" t="s">
        <v>115</v>
      </c>
      <c r="G587" s="235">
        <v>164.16399999999999</v>
      </c>
      <c r="H587" s="235">
        <v>163.71100000000001</v>
      </c>
      <c r="I587" s="247">
        <f>ABS(G587-H587)</f>
        <v>0.45299999999997453</v>
      </c>
      <c r="J587" s="235">
        <v>165.46</v>
      </c>
      <c r="K587" s="199">
        <v>44665.713888888888</v>
      </c>
      <c r="L587" s="235">
        <v>164.16200000000001</v>
      </c>
      <c r="M587" s="248">
        <f>ROUND(IF(C587="L",(L587-G587),(G587-L587)),4)</f>
        <v>-2E-3</v>
      </c>
      <c r="N587" s="249">
        <f>IFERROR(ROUND((M587/I587),2),"")</f>
        <v>0</v>
      </c>
      <c r="O587" s="250">
        <f>IF(D587="O",IF(N587&lt;0,N587,0),0)</f>
        <v>0</v>
      </c>
      <c r="P587" s="251">
        <f>IF(N587&gt;= 0,N587,0)</f>
        <v>0</v>
      </c>
      <c r="Q587" s="251">
        <f>IF(N587&lt;0,N587,0)</f>
        <v>0</v>
      </c>
      <c r="R5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27617</v>
      </c>
      <c r="T5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7" s="253">
        <f ca="1">IF(Tabla33610673[[#This Row],[Equity]]&lt;Tabla33610673[[#This Row],[Equity Peak]],(Tabla33610673[[#This Row],[Equity Peak]]-Tabla33610673[[#This Row],[Equity]])/Tabla33610673[[#This Row],[Equity Peak]],"")</f>
        <v>2.6404850877811463E-2</v>
      </c>
      <c r="V587" s="254">
        <f>IF(B587="FX",N587,0)</f>
        <v>0</v>
      </c>
      <c r="W587" s="254">
        <f>IF(D587="O",IF(V587&lt;0,V587,0),0)</f>
        <v>0</v>
      </c>
      <c r="X587" s="254">
        <f>IF(B587="COM",N587,0)</f>
        <v>0</v>
      </c>
      <c r="Y587" s="254">
        <f>IF(D587="O",IF(X587&lt;0,X587,0),0)</f>
        <v>0</v>
      </c>
      <c r="Z587" s="254">
        <f>IF(B587="IND",N587,0)</f>
        <v>0</v>
      </c>
      <c r="AA587" s="250">
        <f>IF(D587="O",IF(Z587&lt;0,Z587,0),0)</f>
        <v>0</v>
      </c>
      <c r="AB587" s="254">
        <f>IF(B587="CRYPTO",N587,0)</f>
        <v>0</v>
      </c>
      <c r="AC587" s="250">
        <f>IF(D587="O",IF(AB587&lt;0,AB587,0),0)</f>
        <v>0</v>
      </c>
      <c r="AD587" s="255">
        <f>IF(K587&lt;&gt;"",K587-E587,0)</f>
        <v>0.93263888888759539</v>
      </c>
      <c r="AE587" s="255">
        <f>IF(N587&gt;0,AD587,0)</f>
        <v>0</v>
      </c>
      <c r="AF587" s="255">
        <f>IF(N587&lt;0,AD587,0)</f>
        <v>0</v>
      </c>
      <c r="AG587" s="255">
        <f>IF(N587=0,AD587,0)</f>
        <v>0.93263888888759539</v>
      </c>
    </row>
    <row r="588" spans="2:33" ht="15" customHeight="1" x14ac:dyDescent="0.3">
      <c r="B588" s="196" t="s">
        <v>19</v>
      </c>
      <c r="C588" s="197" t="s">
        <v>15</v>
      </c>
      <c r="D588" s="246" t="str">
        <f>IF(E588&lt;&gt;"",IF(K588&lt;&gt;"","C","O"),"")</f>
        <v>C</v>
      </c>
      <c r="E588" s="199">
        <v>44664.791666666664</v>
      </c>
      <c r="F588" s="200" t="s">
        <v>88</v>
      </c>
      <c r="G588" s="235">
        <v>1980.95</v>
      </c>
      <c r="H588" s="235">
        <v>1977.27</v>
      </c>
      <c r="I588" s="247">
        <f>ABS(G588-H588)</f>
        <v>3.6800000000000637</v>
      </c>
      <c r="J588" s="235">
        <v>2025.15</v>
      </c>
      <c r="K588" s="199">
        <v>44664.913194444445</v>
      </c>
      <c r="L588" s="235">
        <v>1977.27</v>
      </c>
      <c r="M588" s="248">
        <f>ROUND(IF(C588="L",(L588-G588),(G588-L588)),4)</f>
        <v>-3.68</v>
      </c>
      <c r="N588" s="249">
        <f>IFERROR(ROUND((M588/I588),2),"")</f>
        <v>-1</v>
      </c>
      <c r="O588" s="250">
        <f>IF(D588="O",IF(N588&lt;0,N588,0),0)</f>
        <v>0</v>
      </c>
      <c r="P588" s="251">
        <f>IF(N588&gt;= 0,N588,0)</f>
        <v>0</v>
      </c>
      <c r="Q588" s="251">
        <f>IF(N588&lt;0,N588,0)</f>
        <v>-1</v>
      </c>
      <c r="R5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27617</v>
      </c>
      <c r="T5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8" s="253">
        <f ca="1">IF(Tabla33610673[[#This Row],[Equity]]&lt;Tabla33610673[[#This Row],[Equity Peak]],(Tabla33610673[[#This Row],[Equity Peak]]-Tabla33610673[[#This Row],[Equity]])/Tabla33610673[[#This Row],[Equity Peak]],"")</f>
        <v>2.6404850877811463E-2</v>
      </c>
      <c r="V588" s="254">
        <f>IF(B588="FX",N588,0)</f>
        <v>0</v>
      </c>
      <c r="W588" s="254">
        <f>IF(D588="O",IF(V588&lt;0,V588,0),0)</f>
        <v>0</v>
      </c>
      <c r="X588" s="254">
        <f>IF(B588="COM",N588,0)</f>
        <v>-1</v>
      </c>
      <c r="Y588" s="254">
        <f>IF(D588="O",IF(X588&lt;0,X588,0),0)</f>
        <v>0</v>
      </c>
      <c r="Z588" s="254">
        <f>IF(B588="IND",N588,0)</f>
        <v>0</v>
      </c>
      <c r="AA588" s="250">
        <f>IF(D588="O",IF(Z588&lt;0,Z588,0),0)</f>
        <v>0</v>
      </c>
      <c r="AB588" s="254">
        <f>IF(B588="CRYPTO",N588,0)</f>
        <v>0</v>
      </c>
      <c r="AC588" s="250">
        <f>IF(D588="O",IF(AB588&lt;0,AB588,0),0)</f>
        <v>0</v>
      </c>
      <c r="AD588" s="255">
        <f>IF(K588&lt;&gt;"",K588-E588,0)</f>
        <v>0.12152777778101154</v>
      </c>
      <c r="AE588" s="255">
        <f>IF(N588&gt;0,AD588,0)</f>
        <v>0</v>
      </c>
      <c r="AF588" s="255">
        <f>IF(N588&lt;0,AD588,0)</f>
        <v>0.12152777778101154</v>
      </c>
      <c r="AG588" s="255">
        <f>IF(N588=0,AD588,0)</f>
        <v>0</v>
      </c>
    </row>
    <row r="589" spans="2:33" ht="15" customHeight="1" x14ac:dyDescent="0.3">
      <c r="B589" s="196" t="s">
        <v>19</v>
      </c>
      <c r="C589" s="197" t="s">
        <v>15</v>
      </c>
      <c r="D589" s="246" t="str">
        <f>IF(E589&lt;&gt;"",IF(K589&lt;&gt;"","C","O"),"")</f>
        <v>C</v>
      </c>
      <c r="E589" s="199">
        <v>44664.635416666664</v>
      </c>
      <c r="F589" s="200" t="s">
        <v>88</v>
      </c>
      <c r="G589" s="235">
        <v>1980.29</v>
      </c>
      <c r="H589" s="235">
        <v>1977.13</v>
      </c>
      <c r="I589" s="247">
        <f>ABS(G589-H589)</f>
        <v>3.1599999999998545</v>
      </c>
      <c r="J589" s="235">
        <v>2018.24</v>
      </c>
      <c r="K589" s="199">
        <v>44664.63958333333</v>
      </c>
      <c r="L589" s="235">
        <v>1977.13</v>
      </c>
      <c r="M589" s="248">
        <f>ROUND(IF(C589="L",(L589-G589),(G589-L589)),4)</f>
        <v>-3.16</v>
      </c>
      <c r="N589" s="249">
        <f>IFERROR(ROUND((M589/I589),2),"")</f>
        <v>-1</v>
      </c>
      <c r="O589" s="250">
        <f>IF(D589="O",IF(N589&lt;0,N589,0),0)</f>
        <v>0</v>
      </c>
      <c r="P589" s="251">
        <f>IF(N589&gt;= 0,N589,0)</f>
        <v>0</v>
      </c>
      <c r="Q589" s="251">
        <f>IF(N589&lt;0,N589,0)</f>
        <v>-1</v>
      </c>
      <c r="R5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27717</v>
      </c>
      <c r="T5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89" s="253">
        <f ca="1">IF(Tabla33610673[[#This Row],[Equity]]&lt;Tabla33610673[[#This Row],[Equity Peak]],(Tabla33610673[[#This Row],[Equity Peak]]-Tabla33610673[[#This Row],[Equity]])/Tabla33610673[[#This Row],[Equity Peak]],"")</f>
        <v>2.2879503631107665E-2</v>
      </c>
      <c r="V589" s="254">
        <f>IF(B589="FX",N589,0)</f>
        <v>0</v>
      </c>
      <c r="W589" s="254">
        <f>IF(D589="O",IF(V589&lt;0,V589,0),0)</f>
        <v>0</v>
      </c>
      <c r="X589" s="254">
        <f>IF(B589="COM",N589,0)</f>
        <v>-1</v>
      </c>
      <c r="Y589" s="254">
        <f>IF(D589="O",IF(X589&lt;0,X589,0),0)</f>
        <v>0</v>
      </c>
      <c r="Z589" s="254">
        <f>IF(B589="IND",N589,0)</f>
        <v>0</v>
      </c>
      <c r="AA589" s="250">
        <f>IF(D589="O",IF(Z589&lt;0,Z589,0),0)</f>
        <v>0</v>
      </c>
      <c r="AB589" s="254">
        <f>IF(B589="CRYPTO",N589,0)</f>
        <v>0</v>
      </c>
      <c r="AC589" s="250">
        <f>IF(D589="O",IF(AB589&lt;0,AB589,0),0)</f>
        <v>0</v>
      </c>
      <c r="AD589" s="255">
        <f>IF(K589&lt;&gt;"",K589-E589,0)</f>
        <v>4.166666665696539E-3</v>
      </c>
      <c r="AE589" s="255">
        <f>IF(N589&gt;0,AD589,0)</f>
        <v>0</v>
      </c>
      <c r="AF589" s="255">
        <f>IF(N589&lt;0,AD589,0)</f>
        <v>4.166666665696539E-3</v>
      </c>
      <c r="AG589" s="255">
        <f>IF(N589=0,AD589,0)</f>
        <v>0</v>
      </c>
    </row>
    <row r="590" spans="2:33" ht="15" customHeight="1" x14ac:dyDescent="0.3">
      <c r="B590" s="196" t="s">
        <v>7</v>
      </c>
      <c r="C590" s="197" t="s">
        <v>15</v>
      </c>
      <c r="D590" s="246" t="str">
        <f>IF(E590&lt;&gt;"",IF(K590&lt;&gt;"","C","O"),"")</f>
        <v>C</v>
      </c>
      <c r="E590" s="199">
        <v>44664.395833333336</v>
      </c>
      <c r="F590" s="200" t="s">
        <v>115</v>
      </c>
      <c r="G590" s="235">
        <v>163.90199999999999</v>
      </c>
      <c r="H590" s="235">
        <v>163.51400000000001</v>
      </c>
      <c r="I590" s="247">
        <f>ABS(G590-H590)</f>
        <v>0.38799999999997681</v>
      </c>
      <c r="J590" s="235">
        <v>165.011</v>
      </c>
      <c r="K590" s="199">
        <v>44664.619444444441</v>
      </c>
      <c r="L590" s="235">
        <v>163.547</v>
      </c>
      <c r="M590" s="248">
        <f>ROUND(IF(C590="L",(L590-G590),(G590-L590)),4)</f>
        <v>-0.35499999999999998</v>
      </c>
      <c r="N590" s="249">
        <f>IFERROR(ROUND((M590/I590),2),"")</f>
        <v>-0.91</v>
      </c>
      <c r="O590" s="250">
        <f>IF(D590="O",IF(N590&lt;0,N590,0),0)</f>
        <v>0</v>
      </c>
      <c r="P590" s="251">
        <f>IF(N590&gt;= 0,N590,0)</f>
        <v>0</v>
      </c>
      <c r="Q590" s="251">
        <f>IF(N590&lt;0,N590,0)</f>
        <v>-0.91</v>
      </c>
      <c r="R5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27817</v>
      </c>
      <c r="T5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0" s="253">
        <f ca="1">IF(Tabla33610673[[#This Row],[Equity]]&lt;Tabla33610673[[#This Row],[Equity Peak]],(Tabla33610673[[#This Row],[Equity Peak]]-Tabla33610673[[#This Row],[Equity]])/Tabla33610673[[#This Row],[Equity Peak]],"")</f>
        <v>1.9354156384403864E-2</v>
      </c>
      <c r="V590" s="254">
        <f>IF(B590="FX",N590,0)</f>
        <v>-0.91</v>
      </c>
      <c r="W590" s="254">
        <f>IF(D590="O",IF(V590&lt;0,V590,0),0)</f>
        <v>0</v>
      </c>
      <c r="X590" s="254">
        <f>IF(B590="COM",N590,0)</f>
        <v>0</v>
      </c>
      <c r="Y590" s="254">
        <f>IF(D590="O",IF(X590&lt;0,X590,0),0)</f>
        <v>0</v>
      </c>
      <c r="Z590" s="254">
        <f>IF(B590="IND",N590,0)</f>
        <v>0</v>
      </c>
      <c r="AA590" s="250">
        <f>IF(D590="O",IF(Z590&lt;0,Z590,0),0)</f>
        <v>0</v>
      </c>
      <c r="AB590" s="254">
        <f>IF(B590="CRYPTO",N590,0)</f>
        <v>0</v>
      </c>
      <c r="AC590" s="250">
        <f>IF(D590="O",IF(AB590&lt;0,AB590,0),0)</f>
        <v>0</v>
      </c>
      <c r="AD590" s="255">
        <f>IF(K590&lt;&gt;"",K590-E590,0)</f>
        <v>0.22361111110512866</v>
      </c>
      <c r="AE590" s="255">
        <f>IF(N590&gt;0,AD590,0)</f>
        <v>0</v>
      </c>
      <c r="AF590" s="255">
        <f>IF(N590&lt;0,AD590,0)</f>
        <v>0.22361111110512866</v>
      </c>
      <c r="AG590" s="255">
        <f>IF(N590=0,AD590,0)</f>
        <v>0</v>
      </c>
    </row>
    <row r="591" spans="2:33" ht="15" customHeight="1" x14ac:dyDescent="0.3">
      <c r="B591" s="196" t="s">
        <v>7</v>
      </c>
      <c r="C591" s="197" t="s">
        <v>15</v>
      </c>
      <c r="D591" s="246" t="str">
        <f>IF(E591&lt;&gt;"",IF(K591&lt;&gt;"","C","O"),"")</f>
        <v>C</v>
      </c>
      <c r="E591" s="199">
        <v>44664.395833333336</v>
      </c>
      <c r="F591" s="200" t="s">
        <v>116</v>
      </c>
      <c r="G591" s="235">
        <v>126.139</v>
      </c>
      <c r="H591" s="235">
        <v>125.92700000000001</v>
      </c>
      <c r="I591" s="247">
        <f>ABS(G591-H591)</f>
        <v>0.21199999999998909</v>
      </c>
      <c r="J591" s="235">
        <v>128.34</v>
      </c>
      <c r="K591" s="199">
        <v>44664.470833333333</v>
      </c>
      <c r="L591" s="235">
        <v>125.992</v>
      </c>
      <c r="M591" s="248">
        <f>ROUND(IF(C591="L",(L591-G591),(G591-L591)),4)</f>
        <v>-0.14699999999999999</v>
      </c>
      <c r="N591" s="249">
        <f>IFERROR(ROUND((M591/I591),2),"")</f>
        <v>-0.69</v>
      </c>
      <c r="O591" s="250">
        <f>IF(D591="O",IF(N591&lt;0,N591,0),0)</f>
        <v>0</v>
      </c>
      <c r="P591" s="251">
        <f>IF(N591&gt;= 0,N591,0)</f>
        <v>0</v>
      </c>
      <c r="Q591" s="251">
        <f>IF(N591&lt;0,N591,0)</f>
        <v>-0.69</v>
      </c>
      <c r="R5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27908</v>
      </c>
      <c r="T5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1" s="253">
        <f ca="1">IF(Tabla33610673[[#This Row],[Equity]]&lt;Tabla33610673[[#This Row],[Equity Peak]],(Tabla33610673[[#This Row],[Equity Peak]]-Tabla33610673[[#This Row],[Equity]])/Tabla33610673[[#This Row],[Equity Peak]],"")</f>
        <v>1.6146090389903407E-2</v>
      </c>
      <c r="V591" s="254">
        <f>IF(B591="FX",N591,0)</f>
        <v>-0.69</v>
      </c>
      <c r="W591" s="254">
        <f>IF(D591="O",IF(V591&lt;0,V591,0),0)</f>
        <v>0</v>
      </c>
      <c r="X591" s="254">
        <f>IF(B591="COM",N591,0)</f>
        <v>0</v>
      </c>
      <c r="Y591" s="254">
        <f>IF(D591="O",IF(X591&lt;0,X591,0),0)</f>
        <v>0</v>
      </c>
      <c r="Z591" s="254">
        <f>IF(B591="IND",N591,0)</f>
        <v>0</v>
      </c>
      <c r="AA591" s="250">
        <f>IF(D591="O",IF(Z591&lt;0,Z591,0),0)</f>
        <v>0</v>
      </c>
      <c r="AB591" s="254">
        <f>IF(B591="CRYPTO",N591,0)</f>
        <v>0</v>
      </c>
      <c r="AC591" s="250">
        <f>IF(D591="O",IF(AB591&lt;0,AB591,0),0)</f>
        <v>0</v>
      </c>
      <c r="AD591" s="255">
        <f>IF(K591&lt;&gt;"",K591-E591,0)</f>
        <v>7.4999999997089617E-2</v>
      </c>
      <c r="AE591" s="255">
        <f>IF(N591&gt;0,AD591,0)</f>
        <v>0</v>
      </c>
      <c r="AF591" s="255">
        <f>IF(N591&lt;0,AD591,0)</f>
        <v>7.4999999997089617E-2</v>
      </c>
      <c r="AG591" s="255">
        <f>IF(N591=0,AD591,0)</f>
        <v>0</v>
      </c>
    </row>
    <row r="592" spans="2:33" ht="15" customHeight="1" x14ac:dyDescent="0.3">
      <c r="B592" s="196" t="s">
        <v>7</v>
      </c>
      <c r="C592" s="197" t="s">
        <v>13</v>
      </c>
      <c r="D592" s="246" t="str">
        <f>IF(E592&lt;&gt;"",IF(K592&lt;&gt;"","C","O"),"")</f>
        <v>C</v>
      </c>
      <c r="E592" s="199">
        <v>44663.822916666664</v>
      </c>
      <c r="F592" s="200" t="s">
        <v>114</v>
      </c>
      <c r="G592" s="235">
        <v>1.08348</v>
      </c>
      <c r="H592" s="235">
        <v>1.0861099999999999</v>
      </c>
      <c r="I592" s="247">
        <f>ABS(G592-H592)</f>
        <v>2.6299999999999102E-3</v>
      </c>
      <c r="J592" s="235">
        <v>1.05985</v>
      </c>
      <c r="K592" s="199">
        <v>44664.208333333336</v>
      </c>
      <c r="L592" s="235">
        <v>1.08317</v>
      </c>
      <c r="M592" s="248">
        <f>ROUND(IF(C592="L",(L592-G592),(G592-L592)),4)</f>
        <v>2.9999999999999997E-4</v>
      </c>
      <c r="N592" s="249">
        <f>IFERROR(ROUND((M592/I592),2),"")</f>
        <v>0.11</v>
      </c>
      <c r="O592" s="250">
        <f>IF(D592="O",IF(N592&lt;0,N592,0),0)</f>
        <v>0</v>
      </c>
      <c r="P592" s="251">
        <f>IF(N592&gt;= 0,N592,0)</f>
        <v>0.11</v>
      </c>
      <c r="Q592" s="251">
        <f>IF(N592&lt;0,N592,0)</f>
        <v>0</v>
      </c>
      <c r="R5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27977</v>
      </c>
      <c r="T5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2" s="253">
        <f ca="1">IF(Tabla33610673[[#This Row],[Equity]]&lt;Tabla33610673[[#This Row],[Equity Peak]],(Tabla33610673[[#This Row],[Equity Peak]]-Tabla33610673[[#This Row],[Equity]])/Tabla33610673[[#This Row],[Equity Peak]],"")</f>
        <v>1.3713600789677783E-2</v>
      </c>
      <c r="V592" s="254">
        <f>IF(B592="FX",N592,0)</f>
        <v>0.11</v>
      </c>
      <c r="W592" s="254">
        <f>IF(D592="O",IF(V592&lt;0,V592,0),0)</f>
        <v>0</v>
      </c>
      <c r="X592" s="254">
        <f>IF(B592="COM",N592,0)</f>
        <v>0</v>
      </c>
      <c r="Y592" s="254">
        <f>IF(D592="O",IF(X592&lt;0,X592,0),0)</f>
        <v>0</v>
      </c>
      <c r="Z592" s="254">
        <f>IF(B592="IND",N592,0)</f>
        <v>0</v>
      </c>
      <c r="AA592" s="250">
        <f>IF(D592="O",IF(Z592&lt;0,Z592,0),0)</f>
        <v>0</v>
      </c>
      <c r="AB592" s="254">
        <f>IF(B592="CRYPTO",N592,0)</f>
        <v>0</v>
      </c>
      <c r="AC592" s="250">
        <f>IF(D592="O",IF(AB592&lt;0,AB592,0),0)</f>
        <v>0</v>
      </c>
      <c r="AD592" s="255">
        <f>IF(K592&lt;&gt;"",K592-E592,0)</f>
        <v>0.38541666667151731</v>
      </c>
      <c r="AE592" s="255">
        <f>IF(N592&gt;0,AD592,0)</f>
        <v>0.38541666667151731</v>
      </c>
      <c r="AF592" s="255">
        <f>IF(N592&lt;0,AD592,0)</f>
        <v>0</v>
      </c>
      <c r="AG592" s="255">
        <f>IF(N592=0,AD592,0)</f>
        <v>0</v>
      </c>
    </row>
    <row r="593" spans="2:33" ht="15" customHeight="1" x14ac:dyDescent="0.3">
      <c r="B593" s="196" t="s">
        <v>5</v>
      </c>
      <c r="C593" s="197" t="s">
        <v>13</v>
      </c>
      <c r="D593" s="246" t="str">
        <f>IF(E593&lt;&gt;"",IF(K593&lt;&gt;"","C","O"),"")</f>
        <v>C</v>
      </c>
      <c r="E593" s="199">
        <v>44663.927083333336</v>
      </c>
      <c r="F593" s="200" t="s">
        <v>92</v>
      </c>
      <c r="G593" s="235">
        <v>13883.8</v>
      </c>
      <c r="H593" s="235">
        <v>13937.99</v>
      </c>
      <c r="I593" s="247">
        <f>ABS(G593-H593)</f>
        <v>54.190000000000509</v>
      </c>
      <c r="J593" s="235">
        <v>12872.32</v>
      </c>
      <c r="K593" s="199">
        <v>44663.943055555559</v>
      </c>
      <c r="L593" s="235">
        <v>13937.99</v>
      </c>
      <c r="M593" s="248">
        <f>ROUND(IF(C593="L",(L593-G593),(G593-L593)),4)</f>
        <v>-54.19</v>
      </c>
      <c r="N593" s="249">
        <f>IFERROR(ROUND((M593/I593),2),"")</f>
        <v>-1</v>
      </c>
      <c r="O593" s="250">
        <f>IF(D593="O",IF(N593&lt;0,N593,0),0)</f>
        <v>0</v>
      </c>
      <c r="P593" s="251">
        <f>IF(N593&gt;= 0,N593,0)</f>
        <v>0</v>
      </c>
      <c r="Q593" s="251">
        <f>IF(N593&lt;0,N593,0)</f>
        <v>-1</v>
      </c>
      <c r="R5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27966</v>
      </c>
      <c r="T5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3" s="253">
        <f ca="1">IF(Tabla33610673[[#This Row],[Equity]]&lt;Tabla33610673[[#This Row],[Equity Peak]],(Tabla33610673[[#This Row],[Equity Peak]]-Tabla33610673[[#This Row],[Equity]])/Tabla33610673[[#This Row],[Equity Peak]],"")</f>
        <v>1.4101388986815202E-2</v>
      </c>
      <c r="V593" s="254">
        <f>IF(B593="FX",N593,0)</f>
        <v>0</v>
      </c>
      <c r="W593" s="254">
        <f>IF(D593="O",IF(V593&lt;0,V593,0),0)</f>
        <v>0</v>
      </c>
      <c r="X593" s="254">
        <f>IF(B593="COM",N593,0)</f>
        <v>0</v>
      </c>
      <c r="Y593" s="254">
        <f>IF(D593="O",IF(X593&lt;0,X593,0),0)</f>
        <v>0</v>
      </c>
      <c r="Z593" s="254">
        <f>IF(B593="IND",N593,0)</f>
        <v>-1</v>
      </c>
      <c r="AA593" s="250">
        <f>IF(D593="O",IF(Z593&lt;0,Z593,0),0)</f>
        <v>0</v>
      </c>
      <c r="AB593" s="254">
        <f>IF(B593="CRYPTO",N593,0)</f>
        <v>0</v>
      </c>
      <c r="AC593" s="250">
        <f>IF(D593="O",IF(AB593&lt;0,AB593,0),0)</f>
        <v>0</v>
      </c>
      <c r="AD593" s="255">
        <f>IF(K593&lt;&gt;"",K593-E593,0)</f>
        <v>1.5972222223354038E-2</v>
      </c>
      <c r="AE593" s="255">
        <f>IF(N593&gt;0,AD593,0)</f>
        <v>0</v>
      </c>
      <c r="AF593" s="255">
        <f>IF(N593&lt;0,AD593,0)</f>
        <v>1.5972222223354038E-2</v>
      </c>
      <c r="AG593" s="255">
        <f>IF(N593=0,AD593,0)</f>
        <v>0</v>
      </c>
    </row>
    <row r="594" spans="2:33" ht="15" customHeight="1" x14ac:dyDescent="0.3">
      <c r="B594" s="196" t="s">
        <v>5</v>
      </c>
      <c r="C594" s="197" t="s">
        <v>13</v>
      </c>
      <c r="D594" s="246" t="str">
        <f>IF(E594&lt;&gt;"",IF(K594&lt;&gt;"","C","O"),"")</f>
        <v>C</v>
      </c>
      <c r="E594" s="199">
        <v>44663.927083333336</v>
      </c>
      <c r="F594" s="200" t="s">
        <v>93</v>
      </c>
      <c r="G594" s="235">
        <v>13883.8</v>
      </c>
      <c r="H594" s="235">
        <v>13934.18</v>
      </c>
      <c r="I594" s="247">
        <f>ABS(G594-H594)</f>
        <v>50.380000000001019</v>
      </c>
      <c r="J594" s="235">
        <v>13346.46</v>
      </c>
      <c r="K594" s="199">
        <v>44663.943055555559</v>
      </c>
      <c r="L594" s="235">
        <v>13934.18</v>
      </c>
      <c r="M594" s="248">
        <f>ROUND(IF(C594="L",(L594-G594),(G594-L594)),4)</f>
        <v>-50.38</v>
      </c>
      <c r="N594" s="249">
        <f>IFERROR(ROUND((M594/I594),2),"")</f>
        <v>-1</v>
      </c>
      <c r="O594" s="250">
        <f>IF(D594="O",IF(N594&lt;0,N594,0),0)</f>
        <v>0</v>
      </c>
      <c r="P594" s="251">
        <f>IF(N594&gt;= 0,N594,0)</f>
        <v>0</v>
      </c>
      <c r="Q594" s="251">
        <f>IF(N594&lt;0,N594,0)</f>
        <v>-1</v>
      </c>
      <c r="R5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28066</v>
      </c>
      <c r="T5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4" s="253">
        <f ca="1">IF(Tabla33610673[[#This Row],[Equity]]&lt;Tabla33610673[[#This Row],[Equity Peak]],(Tabla33610673[[#This Row],[Equity Peak]]-Tabla33610673[[#This Row],[Equity]])/Tabla33610673[[#This Row],[Equity Peak]],"")</f>
        <v>1.0576041740111401E-2</v>
      </c>
      <c r="V594" s="254">
        <f>IF(B594="FX",N594,0)</f>
        <v>0</v>
      </c>
      <c r="W594" s="254">
        <f>IF(D594="O",IF(V594&lt;0,V594,0),0)</f>
        <v>0</v>
      </c>
      <c r="X594" s="254">
        <f>IF(B594="COM",N594,0)</f>
        <v>0</v>
      </c>
      <c r="Y594" s="254">
        <f>IF(D594="O",IF(X594&lt;0,X594,0),0)</f>
        <v>0</v>
      </c>
      <c r="Z594" s="254">
        <f>IF(B594="IND",N594,0)</f>
        <v>-1</v>
      </c>
      <c r="AA594" s="250">
        <f>IF(D594="O",IF(Z594&lt;0,Z594,0),0)</f>
        <v>0</v>
      </c>
      <c r="AB594" s="254">
        <f>IF(B594="CRYPTO",N594,0)</f>
        <v>0</v>
      </c>
      <c r="AC594" s="250">
        <f>IF(D594="O",IF(AB594&lt;0,AB594,0),0)</f>
        <v>0</v>
      </c>
      <c r="AD594" s="255">
        <f>IF(K594&lt;&gt;"",K594-E594,0)</f>
        <v>1.5972222223354038E-2</v>
      </c>
      <c r="AE594" s="255">
        <f>IF(N594&gt;0,AD594,0)</f>
        <v>0</v>
      </c>
      <c r="AF594" s="255">
        <f>IF(N594&lt;0,AD594,0)</f>
        <v>1.5972222223354038E-2</v>
      </c>
      <c r="AG594" s="255">
        <f>IF(N594=0,AD594,0)</f>
        <v>0</v>
      </c>
    </row>
    <row r="595" spans="2:33" ht="15" customHeight="1" x14ac:dyDescent="0.3">
      <c r="B595" s="196" t="s">
        <v>19</v>
      </c>
      <c r="C595" s="197" t="s">
        <v>15</v>
      </c>
      <c r="D595" s="246" t="str">
        <f>IF(E595&lt;&gt;"",IF(K595&lt;&gt;"","C","O"),"")</f>
        <v>C</v>
      </c>
      <c r="E595" s="199">
        <v>44663.75</v>
      </c>
      <c r="F595" s="200" t="s">
        <v>88</v>
      </c>
      <c r="G595" s="235">
        <v>1975.72</v>
      </c>
      <c r="H595" s="235">
        <v>1971.67</v>
      </c>
      <c r="I595" s="247">
        <f>ABS(G595-H595)</f>
        <v>4.0499999999999545</v>
      </c>
      <c r="J595" s="235">
        <v>2024.37</v>
      </c>
      <c r="K595" s="199">
        <v>44663.762499999997</v>
      </c>
      <c r="L595" s="235">
        <v>1971.67</v>
      </c>
      <c r="M595" s="248">
        <f>ROUND(IF(C595="L",(L595-G595),(G595-L595)),4)</f>
        <v>-4.05</v>
      </c>
      <c r="N595" s="249">
        <f>IFERROR(ROUND((M595/I595),2),"")</f>
        <v>-1</v>
      </c>
      <c r="O595" s="250">
        <f>IF(D595="O",IF(N595&lt;0,N595,0),0)</f>
        <v>0</v>
      </c>
      <c r="P595" s="251">
        <f>IF(N595&gt;= 0,N595,0)</f>
        <v>0</v>
      </c>
      <c r="Q595" s="251">
        <f>IF(N595&lt;0,N595,0)</f>
        <v>-1</v>
      </c>
      <c r="R5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28166</v>
      </c>
      <c r="T5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5" s="253">
        <f ca="1">IF(Tabla33610673[[#This Row],[Equity]]&lt;Tabla33610673[[#This Row],[Equity Peak]],(Tabla33610673[[#This Row],[Equity Peak]]-Tabla33610673[[#This Row],[Equity]])/Tabla33610673[[#This Row],[Equity Peak]],"")</f>
        <v>7.0506944934076009E-3</v>
      </c>
      <c r="V595" s="254">
        <f>IF(B595="FX",N595,0)</f>
        <v>0</v>
      </c>
      <c r="W595" s="254">
        <f>IF(D595="O",IF(V595&lt;0,V595,0),0)</f>
        <v>0</v>
      </c>
      <c r="X595" s="254">
        <f>IF(B595="COM",N595,0)</f>
        <v>-1</v>
      </c>
      <c r="Y595" s="254">
        <f>IF(D595="O",IF(X595&lt;0,X595,0),0)</f>
        <v>0</v>
      </c>
      <c r="Z595" s="254">
        <f>IF(B595="IND",N595,0)</f>
        <v>0</v>
      </c>
      <c r="AA595" s="250">
        <f>IF(D595="O",IF(Z595&lt;0,Z595,0),0)</f>
        <v>0</v>
      </c>
      <c r="AB595" s="254">
        <f>IF(B595="CRYPTO",N595,0)</f>
        <v>0</v>
      </c>
      <c r="AC595" s="250">
        <f>IF(D595="O",IF(AB595&lt;0,AB595,0),0)</f>
        <v>0</v>
      </c>
      <c r="AD595" s="255">
        <f>IF(K595&lt;&gt;"",K595-E595,0)</f>
        <v>1.2499999997089617E-2</v>
      </c>
      <c r="AE595" s="255">
        <f>IF(N595&gt;0,AD595,0)</f>
        <v>0</v>
      </c>
      <c r="AF595" s="255">
        <f>IF(N595&lt;0,AD595,0)</f>
        <v>1.2499999997089617E-2</v>
      </c>
      <c r="AG595" s="255">
        <f>IF(N595=0,AD595,0)</f>
        <v>0</v>
      </c>
    </row>
    <row r="596" spans="2:33" ht="15" customHeight="1" x14ac:dyDescent="0.3">
      <c r="B596" s="196" t="s">
        <v>19</v>
      </c>
      <c r="C596" s="197" t="s">
        <v>15</v>
      </c>
      <c r="D596" s="246" t="str">
        <f>IF(E596&lt;&gt;"",IF(K596&lt;&gt;"","C","O"),"")</f>
        <v>C</v>
      </c>
      <c r="E596" s="199">
        <v>44663.666666666664</v>
      </c>
      <c r="F596" s="200" t="s">
        <v>88</v>
      </c>
      <c r="G596" s="235">
        <v>1970.43</v>
      </c>
      <c r="H596" s="235">
        <v>1966.97</v>
      </c>
      <c r="I596" s="247">
        <f>ABS(G596-H596)</f>
        <v>3.4600000000000364</v>
      </c>
      <c r="J596" s="235">
        <v>2012</v>
      </c>
      <c r="K596" s="199">
        <v>44663.693055555559</v>
      </c>
      <c r="L596" s="235">
        <v>1966.97</v>
      </c>
      <c r="M596" s="248">
        <f>ROUND(IF(C596="L",(L596-G596),(G596-L596)),4)</f>
        <v>-3.46</v>
      </c>
      <c r="N596" s="249">
        <f>IFERROR(ROUND((M596/I596),2),"")</f>
        <v>-1</v>
      </c>
      <c r="O596" s="250">
        <f>IF(D596="O",IF(N596&lt;0,N596,0),0)</f>
        <v>0</v>
      </c>
      <c r="P596" s="251">
        <f>IF(N596&gt;= 0,N596,0)</f>
        <v>0</v>
      </c>
      <c r="Q596" s="251">
        <f>IF(N596&lt;0,N596,0)</f>
        <v>-1</v>
      </c>
      <c r="R5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28266</v>
      </c>
      <c r="T5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6" s="253">
        <f ca="1">IF(Tabla33610673[[#This Row],[Equity]]&lt;Tabla33610673[[#This Row],[Equity Peak]],(Tabla33610673[[#This Row],[Equity Peak]]-Tabla33610673[[#This Row],[Equity]])/Tabla33610673[[#This Row],[Equity Peak]],"")</f>
        <v>3.5253472467038005E-3</v>
      </c>
      <c r="V596" s="254">
        <f>IF(B596="FX",N596,0)</f>
        <v>0</v>
      </c>
      <c r="W596" s="254">
        <f>IF(D596="O",IF(V596&lt;0,V596,0),0)</f>
        <v>0</v>
      </c>
      <c r="X596" s="254">
        <f>IF(B596="COM",N596,0)</f>
        <v>-1</v>
      </c>
      <c r="Y596" s="254">
        <f>IF(D596="O",IF(X596&lt;0,X596,0),0)</f>
        <v>0</v>
      </c>
      <c r="Z596" s="254">
        <f>IF(B596="IND",N596,0)</f>
        <v>0</v>
      </c>
      <c r="AA596" s="250">
        <f>IF(D596="O",IF(Z596&lt;0,Z596,0),0)</f>
        <v>0</v>
      </c>
      <c r="AB596" s="254">
        <f>IF(B596="CRYPTO",N596,0)</f>
        <v>0</v>
      </c>
      <c r="AC596" s="250">
        <f>IF(D596="O",IF(AB596&lt;0,AB596,0),0)</f>
        <v>0</v>
      </c>
      <c r="AD596" s="255">
        <f>IF(K596&lt;&gt;"",K596-E596,0)</f>
        <v>2.6388888894871343E-2</v>
      </c>
      <c r="AE596" s="255">
        <f>IF(N596&gt;0,AD596,0)</f>
        <v>0</v>
      </c>
      <c r="AF596" s="255">
        <f>IF(N596&lt;0,AD596,0)</f>
        <v>2.6388888894871343E-2</v>
      </c>
      <c r="AG596" s="255">
        <f>IF(N596=0,AD596,0)</f>
        <v>0</v>
      </c>
    </row>
    <row r="597" spans="2:33" ht="15" customHeight="1" x14ac:dyDescent="0.3">
      <c r="B597" s="196" t="s">
        <v>5</v>
      </c>
      <c r="C597" s="197" t="s">
        <v>13</v>
      </c>
      <c r="D597" s="246" t="str">
        <f>IF(E597&lt;&gt;"",IF(K597&lt;&gt;"","C","O"),"")</f>
        <v>C</v>
      </c>
      <c r="E597" s="199">
        <v>44662.135416666664</v>
      </c>
      <c r="F597" s="200" t="s">
        <v>92</v>
      </c>
      <c r="G597" s="235">
        <v>14263.36</v>
      </c>
      <c r="H597" s="235">
        <v>14311.43</v>
      </c>
      <c r="I597" s="247">
        <f>ABS(G597-H597)</f>
        <v>48.069999999999709</v>
      </c>
      <c r="J597" s="235">
        <v>13366.01</v>
      </c>
      <c r="K597" s="199">
        <v>44663.629861111112</v>
      </c>
      <c r="L597" s="235">
        <v>14044.46</v>
      </c>
      <c r="M597" s="248">
        <f>ROUND(IF(C597="L",(L597-G597),(G597-L597)),4)</f>
        <v>218.9</v>
      </c>
      <c r="N597" s="249">
        <f>IFERROR(ROUND((M597/I597),2),"")</f>
        <v>4.55</v>
      </c>
      <c r="O597" s="250">
        <f>IF(D597="O",IF(N597&lt;0,N597,0),0)</f>
        <v>0</v>
      </c>
      <c r="P597" s="251">
        <f>IF(N597&gt;= 0,N597,0)</f>
        <v>4.55</v>
      </c>
      <c r="Q597" s="251">
        <f>IF(N597&lt;0,N597,0)</f>
        <v>0</v>
      </c>
      <c r="R5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28366</v>
      </c>
      <c r="T5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28366</v>
      </c>
      <c r="U59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97" s="254">
        <f>IF(B597="FX",N597,0)</f>
        <v>0</v>
      </c>
      <c r="W597" s="254">
        <f>IF(D597="O",IF(V597&lt;0,V597,0),0)</f>
        <v>0</v>
      </c>
      <c r="X597" s="254">
        <f>IF(B597="COM",N597,0)</f>
        <v>0</v>
      </c>
      <c r="Y597" s="254">
        <f>IF(D597="O",IF(X597&lt;0,X597,0),0)</f>
        <v>0</v>
      </c>
      <c r="Z597" s="254">
        <f>IF(B597="IND",N597,0)</f>
        <v>4.55</v>
      </c>
      <c r="AA597" s="250">
        <f>IF(D597="O",IF(Z597&lt;0,Z597,0),0)</f>
        <v>0</v>
      </c>
      <c r="AB597" s="254">
        <f>IF(B597="CRYPTO",N597,0)</f>
        <v>0</v>
      </c>
      <c r="AC597" s="250">
        <f>IF(D597="O",IF(AB597&lt;0,AB597,0),0)</f>
        <v>0</v>
      </c>
      <c r="AD597" s="255">
        <f>IF(K597&lt;&gt;"",K597-E597,0)</f>
        <v>1.4944444444481633</v>
      </c>
      <c r="AE597" s="255">
        <f>IF(N597&gt;0,AD597,0)</f>
        <v>1.4944444444481633</v>
      </c>
      <c r="AF597" s="255">
        <f>IF(N597&lt;0,AD597,0)</f>
        <v>0</v>
      </c>
      <c r="AG597" s="255">
        <f>IF(N597=0,AD597,0)</f>
        <v>0</v>
      </c>
    </row>
    <row r="598" spans="2:33" ht="15" customHeight="1" x14ac:dyDescent="0.3">
      <c r="B598" s="196" t="s">
        <v>5</v>
      </c>
      <c r="C598" s="197" t="s">
        <v>13</v>
      </c>
      <c r="D598" s="246" t="str">
        <f>IF(E598&lt;&gt;"",IF(K598&lt;&gt;"","C","O"),"")</f>
        <v>C</v>
      </c>
      <c r="E598" s="199">
        <v>44662.135416666664</v>
      </c>
      <c r="F598" s="200" t="s">
        <v>93</v>
      </c>
      <c r="G598" s="235">
        <v>14263.36</v>
      </c>
      <c r="H598" s="235">
        <v>14308.29</v>
      </c>
      <c r="I598" s="247">
        <f>ABS(G598-H598)</f>
        <v>44.930000000000291</v>
      </c>
      <c r="J598" s="235">
        <v>13784.12</v>
      </c>
      <c r="K598" s="199">
        <v>44663.487500000003</v>
      </c>
      <c r="L598" s="235">
        <v>14005.11</v>
      </c>
      <c r="M598" s="248">
        <f>ROUND(IF(C598="L",(L598-G598),(G598-L598)),4)</f>
        <v>258.25</v>
      </c>
      <c r="N598" s="249">
        <f>IFERROR(ROUND((M598/I598),2),"")</f>
        <v>5.75</v>
      </c>
      <c r="O598" s="250">
        <f>IF(D598="O",IF(N598&lt;0,N598,0),0)</f>
        <v>0</v>
      </c>
      <c r="P598" s="251">
        <f>IF(N598&gt;= 0,N598,0)</f>
        <v>5.75</v>
      </c>
      <c r="Q598" s="251">
        <f>IF(N598&lt;0,N598,0)</f>
        <v>0</v>
      </c>
      <c r="R5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27911</v>
      </c>
      <c r="T5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27911</v>
      </c>
      <c r="U59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598" s="254">
        <f>IF(B598="FX",N598,0)</f>
        <v>0</v>
      </c>
      <c r="W598" s="254">
        <f>IF(D598="O",IF(V598&lt;0,V598,0),0)</f>
        <v>0</v>
      </c>
      <c r="X598" s="254">
        <f>IF(B598="COM",N598,0)</f>
        <v>0</v>
      </c>
      <c r="Y598" s="254">
        <f>IF(D598="O",IF(X598&lt;0,X598,0),0)</f>
        <v>0</v>
      </c>
      <c r="Z598" s="254">
        <f>IF(B598="IND",N598,0)</f>
        <v>5.75</v>
      </c>
      <c r="AA598" s="250">
        <f>IF(D598="O",IF(Z598&lt;0,Z598,0),0)</f>
        <v>0</v>
      </c>
      <c r="AB598" s="254">
        <f>IF(B598="CRYPTO",N598,0)</f>
        <v>0</v>
      </c>
      <c r="AC598" s="250">
        <f>IF(D598="O",IF(AB598&lt;0,AB598,0),0)</f>
        <v>0</v>
      </c>
      <c r="AD598" s="255">
        <f>IF(K598&lt;&gt;"",K598-E598,0)</f>
        <v>1.352083333338669</v>
      </c>
      <c r="AE598" s="255">
        <f>IF(N598&gt;0,AD598,0)</f>
        <v>1.352083333338669</v>
      </c>
      <c r="AF598" s="255">
        <f>IF(N598&lt;0,AD598,0)</f>
        <v>0</v>
      </c>
      <c r="AG598" s="255">
        <f>IF(N598=0,AD598,0)</f>
        <v>0</v>
      </c>
    </row>
    <row r="599" spans="2:33" ht="15" customHeight="1" x14ac:dyDescent="0.3">
      <c r="B599" s="196" t="s">
        <v>5</v>
      </c>
      <c r="C599" s="197" t="s">
        <v>13</v>
      </c>
      <c r="D599" s="246" t="str">
        <f>IF(E599&lt;&gt;"",IF(K599&lt;&gt;"","C","O"),"")</f>
        <v>C</v>
      </c>
      <c r="E599" s="199">
        <v>44663.166666666664</v>
      </c>
      <c r="F599" s="200" t="s">
        <v>91</v>
      </c>
      <c r="G599" s="235">
        <v>14019.33</v>
      </c>
      <c r="H599" s="235">
        <v>14066.57</v>
      </c>
      <c r="I599" s="247">
        <f>ABS(G599-H599)</f>
        <v>47.239999999999782</v>
      </c>
      <c r="J599" s="235">
        <v>13137.49</v>
      </c>
      <c r="K599" s="199">
        <v>44663.481249999997</v>
      </c>
      <c r="L599" s="235">
        <v>14020.77</v>
      </c>
      <c r="M599" s="248">
        <f>ROUND(IF(C599="L",(L599-G599),(G599-L599)),4)</f>
        <v>-1.44</v>
      </c>
      <c r="N599" s="249">
        <f>IFERROR(ROUND((M599/I599),2),"")</f>
        <v>-0.03</v>
      </c>
      <c r="O599" s="250">
        <f>IF(D599="O",IF(N599&lt;0,N599,0),0)</f>
        <v>0</v>
      </c>
      <c r="P599" s="251">
        <f>IF(N599&gt;= 0,N599,0)</f>
        <v>0</v>
      </c>
      <c r="Q599" s="251">
        <f>IF(N599&lt;0,N599,0)</f>
        <v>-0.03</v>
      </c>
      <c r="R5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27336</v>
      </c>
      <c r="T5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599" s="253">
        <f ca="1">IF(Tabla33610673[[#This Row],[Equity]]&lt;Tabla33610673[[#This Row],[Equity Peak]],(Tabla33610673[[#This Row],[Equity Peak]]-Tabla33610673[[#This Row],[Equity]])/Tabla33610673[[#This Row],[Equity Peak]],"")</f>
        <v>6.215040397762585E-4</v>
      </c>
      <c r="V599" s="254">
        <f>IF(B599="FX",N599,0)</f>
        <v>0</v>
      </c>
      <c r="W599" s="254">
        <f>IF(D599="O",IF(V599&lt;0,V599,0),0)</f>
        <v>0</v>
      </c>
      <c r="X599" s="254">
        <f>IF(B599="COM",N599,0)</f>
        <v>0</v>
      </c>
      <c r="Y599" s="254">
        <f>IF(D599="O",IF(X599&lt;0,X599,0),0)</f>
        <v>0</v>
      </c>
      <c r="Z599" s="254">
        <f>IF(B599="IND",N599,0)</f>
        <v>-0.03</v>
      </c>
      <c r="AA599" s="250">
        <f>IF(D599="O",IF(Z599&lt;0,Z599,0),0)</f>
        <v>0</v>
      </c>
      <c r="AB599" s="254">
        <f>IF(B599="CRYPTO",N599,0)</f>
        <v>0</v>
      </c>
      <c r="AC599" s="250">
        <f>IF(D599="O",IF(AB599&lt;0,AB599,0),0)</f>
        <v>0</v>
      </c>
      <c r="AD599" s="255">
        <f>IF(K599&lt;&gt;"",K599-E599,0)</f>
        <v>0.31458333333284827</v>
      </c>
      <c r="AE599" s="255">
        <f>IF(N599&gt;0,AD599,0)</f>
        <v>0</v>
      </c>
      <c r="AF599" s="255">
        <f>IF(N599&lt;0,AD599,0)</f>
        <v>0.31458333333284827</v>
      </c>
      <c r="AG599" s="255">
        <f>IF(N599=0,AD599,0)</f>
        <v>0</v>
      </c>
    </row>
    <row r="600" spans="2:33" ht="15" customHeight="1" x14ac:dyDescent="0.3">
      <c r="B600" s="196" t="s">
        <v>7</v>
      </c>
      <c r="C600" s="197" t="s">
        <v>15</v>
      </c>
      <c r="D600" s="246" t="str">
        <f>IF(E600&lt;&gt;"",IF(K600&lt;&gt;"","C","O"),"")</f>
        <v>C</v>
      </c>
      <c r="E600" s="199">
        <v>44662.1875</v>
      </c>
      <c r="F600" s="200" t="s">
        <v>116</v>
      </c>
      <c r="G600" s="235">
        <v>124.71</v>
      </c>
      <c r="H600" s="235">
        <v>124.512</v>
      </c>
      <c r="I600" s="247">
        <f>ABS(G600-H600)</f>
        <v>0.19799999999999329</v>
      </c>
      <c r="J600" s="235">
        <v>126.773</v>
      </c>
      <c r="K600" s="199">
        <v>44662.960416666669</v>
      </c>
      <c r="L600" s="235">
        <v>125.36799999999999</v>
      </c>
      <c r="M600" s="248">
        <f>ROUND(IF(C600="L",(L600-G600),(G600-L600)),4)</f>
        <v>0.65800000000000003</v>
      </c>
      <c r="N600" s="249">
        <f>IFERROR(ROUND((M600/I600),2),"")</f>
        <v>3.32</v>
      </c>
      <c r="O600" s="250">
        <f>IF(D600="O",IF(N600&lt;0,N600,0),0)</f>
        <v>0</v>
      </c>
      <c r="P600" s="251">
        <f>IF(N600&gt;= 0,N600,0)</f>
        <v>3.32</v>
      </c>
      <c r="Q600" s="251">
        <f>IF(N600&lt;0,N600,0)</f>
        <v>0</v>
      </c>
      <c r="R6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27339</v>
      </c>
      <c r="T6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0" s="253">
        <f ca="1">IF(Tabla33610673[[#This Row],[Equity]]&lt;Tabla33610673[[#This Row],[Equity Peak]],(Tabla33610673[[#This Row],[Equity Peak]]-Tabla33610673[[#This Row],[Equity]])/Tabla33610673[[#This Row],[Equity Peak]],"")</f>
        <v>5.1182685628633053E-4</v>
      </c>
      <c r="V600" s="254">
        <f>IF(B600="FX",N600,0)</f>
        <v>3.32</v>
      </c>
      <c r="W600" s="254">
        <f>IF(D600="O",IF(V600&lt;0,V600,0),0)</f>
        <v>0</v>
      </c>
      <c r="X600" s="254">
        <f>IF(B600="COM",N600,0)</f>
        <v>0</v>
      </c>
      <c r="Y600" s="254">
        <f>IF(D600="O",IF(X600&lt;0,X600,0),0)</f>
        <v>0</v>
      </c>
      <c r="Z600" s="254">
        <f>IF(B600="IND",N600,0)</f>
        <v>0</v>
      </c>
      <c r="AA600" s="250">
        <f>IF(D600="O",IF(Z600&lt;0,Z600,0),0)</f>
        <v>0</v>
      </c>
      <c r="AB600" s="254">
        <f>IF(B600="CRYPTO",N600,0)</f>
        <v>0</v>
      </c>
      <c r="AC600" s="250">
        <f>IF(D600="O",IF(AB600&lt;0,AB600,0),0)</f>
        <v>0</v>
      </c>
      <c r="AD600" s="255">
        <f>IF(K600&lt;&gt;"",K600-E600,0)</f>
        <v>0.77291666666860692</v>
      </c>
      <c r="AE600" s="255">
        <f>IF(N600&gt;0,AD600,0)</f>
        <v>0.77291666666860692</v>
      </c>
      <c r="AF600" s="255">
        <f>IF(N600&lt;0,AD600,0)</f>
        <v>0</v>
      </c>
      <c r="AG600" s="255">
        <f>IF(N600=0,AD600,0)</f>
        <v>0</v>
      </c>
    </row>
    <row r="601" spans="2:33" ht="15" customHeight="1" x14ac:dyDescent="0.3">
      <c r="B601" s="196" t="s">
        <v>19</v>
      </c>
      <c r="C601" s="197" t="s">
        <v>15</v>
      </c>
      <c r="D601" s="246" t="str">
        <f>IF(E601&lt;&gt;"",IF(K601&lt;&gt;"","C","O"),"")</f>
        <v>C</v>
      </c>
      <c r="E601" s="199">
        <v>44662.65625</v>
      </c>
      <c r="F601" s="200" t="s">
        <v>88</v>
      </c>
      <c r="G601" s="235">
        <v>1965.56</v>
      </c>
      <c r="H601" s="235">
        <v>1961.95</v>
      </c>
      <c r="I601" s="247">
        <f>ABS(G601-H601)</f>
        <v>3.6099999999999</v>
      </c>
      <c r="J601" s="235">
        <v>2008.9</v>
      </c>
      <c r="K601" s="199">
        <v>44662.668749999997</v>
      </c>
      <c r="L601" s="235">
        <v>1961.95</v>
      </c>
      <c r="M601" s="248">
        <f>ROUND(IF(C601="L",(L601-G601),(G601-L601)),4)</f>
        <v>-3.61</v>
      </c>
      <c r="N601" s="249">
        <f>IFERROR(ROUND((M601/I601),2),"")</f>
        <v>-1</v>
      </c>
      <c r="O601" s="250">
        <f>IF(D601="O",IF(N601&lt;0,N601,0),0)</f>
        <v>0</v>
      </c>
      <c r="P601" s="251">
        <f>IF(N601&gt;= 0,N601,0)</f>
        <v>0</v>
      </c>
      <c r="Q601" s="251">
        <f>IF(N601&lt;0,N601,0)</f>
        <v>-1</v>
      </c>
      <c r="R6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27007</v>
      </c>
      <c r="T6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1" s="253">
        <f ca="1">IF(Tabla33610673[[#This Row],[Equity]]&lt;Tabla33610673[[#This Row],[Equity Peak]],(Tabla33610673[[#This Row],[Equity Peak]]-Tabla33610673[[#This Row],[Equity]])/Tabla33610673[[#This Row],[Equity Peak]],"")</f>
        <v>1.2649435162505027E-2</v>
      </c>
      <c r="V601" s="254">
        <f>IF(B601="FX",N601,0)</f>
        <v>0</v>
      </c>
      <c r="W601" s="254">
        <f>IF(D601="O",IF(V601&lt;0,V601,0),0)</f>
        <v>0</v>
      </c>
      <c r="X601" s="254">
        <f>IF(B601="COM",N601,0)</f>
        <v>-1</v>
      </c>
      <c r="Y601" s="254">
        <f>IF(D601="O",IF(X601&lt;0,X601,0),0)</f>
        <v>0</v>
      </c>
      <c r="Z601" s="254">
        <f>IF(B601="IND",N601,0)</f>
        <v>0</v>
      </c>
      <c r="AA601" s="250">
        <f>IF(D601="O",IF(Z601&lt;0,Z601,0),0)</f>
        <v>0</v>
      </c>
      <c r="AB601" s="254">
        <f>IF(B601="CRYPTO",N601,0)</f>
        <v>0</v>
      </c>
      <c r="AC601" s="250">
        <f>IF(D601="O",IF(AB601&lt;0,AB601,0),0)</f>
        <v>0</v>
      </c>
      <c r="AD601" s="255">
        <f>IF(K601&lt;&gt;"",K601-E601,0)</f>
        <v>1.2499999997089617E-2</v>
      </c>
      <c r="AE601" s="255">
        <f>IF(N601&gt;0,AD601,0)</f>
        <v>0</v>
      </c>
      <c r="AF601" s="255">
        <f>IF(N601&lt;0,AD601,0)</f>
        <v>1.2499999997089617E-2</v>
      </c>
      <c r="AG601" s="255">
        <f>IF(N601=0,AD601,0)</f>
        <v>0</v>
      </c>
    </row>
    <row r="602" spans="2:33" ht="15" customHeight="1" x14ac:dyDescent="0.3">
      <c r="B602" s="196" t="s">
        <v>7</v>
      </c>
      <c r="C602" s="197" t="s">
        <v>15</v>
      </c>
      <c r="D602" s="246" t="str">
        <f>IF(E602&lt;&gt;"",IF(K602&lt;&gt;"","C","O"),"")</f>
        <v>C</v>
      </c>
      <c r="E602" s="199">
        <v>44662.1875</v>
      </c>
      <c r="F602" s="200" t="s">
        <v>115</v>
      </c>
      <c r="G602" s="235">
        <v>162.47300000000001</v>
      </c>
      <c r="H602" s="235">
        <v>162.06899999999999</v>
      </c>
      <c r="I602" s="247">
        <f>ABS(G602-H602)</f>
        <v>0.40400000000002478</v>
      </c>
      <c r="J602" s="235">
        <v>163.62700000000001</v>
      </c>
      <c r="K602" s="199">
        <v>44662.540277777778</v>
      </c>
      <c r="L602" s="235">
        <v>163.62700000000001</v>
      </c>
      <c r="M602" s="248">
        <f>ROUND(IF(C602="L",(L602-G602),(G602-L602)),4)</f>
        <v>1.1539999999999999</v>
      </c>
      <c r="N602" s="249">
        <f>IFERROR(ROUND((M602/I602),2),"")</f>
        <v>2.86</v>
      </c>
      <c r="O602" s="250">
        <f>IF(D602="O",IF(N602&lt;0,N602,0),0)</f>
        <v>0</v>
      </c>
      <c r="P602" s="251">
        <f>IF(N602&gt;= 0,N602,0)</f>
        <v>2.86</v>
      </c>
      <c r="Q602" s="251">
        <f>IF(N602&lt;0,N602,0)</f>
        <v>0</v>
      </c>
      <c r="R6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27107</v>
      </c>
      <c r="T6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2" s="253">
        <f ca="1">IF(Tabla33610673[[#This Row],[Equity]]&lt;Tabla33610673[[#This Row],[Equity Peak]],(Tabla33610673[[#This Row],[Equity Peak]]-Tabla33610673[[#This Row],[Equity]])/Tabla33610673[[#This Row],[Equity Peak]],"")</f>
        <v>8.9935290461740942E-3</v>
      </c>
      <c r="V602" s="254">
        <f>IF(B602="FX",N602,0)</f>
        <v>2.86</v>
      </c>
      <c r="W602" s="254">
        <f>IF(D602="O",IF(V602&lt;0,V602,0),0)</f>
        <v>0</v>
      </c>
      <c r="X602" s="254">
        <f>IF(B602="COM",N602,0)</f>
        <v>0</v>
      </c>
      <c r="Y602" s="254">
        <f>IF(D602="O",IF(X602&lt;0,X602,0),0)</f>
        <v>0</v>
      </c>
      <c r="Z602" s="254">
        <f>IF(B602="IND",N602,0)</f>
        <v>0</v>
      </c>
      <c r="AA602" s="250">
        <f>IF(D602="O",IF(Z602&lt;0,Z602,0),0)</f>
        <v>0</v>
      </c>
      <c r="AB602" s="254">
        <f>IF(B602="CRYPTO",N602,0)</f>
        <v>0</v>
      </c>
      <c r="AC602" s="250">
        <f>IF(D602="O",IF(AB602&lt;0,AB602,0),0)</f>
        <v>0</v>
      </c>
      <c r="AD602" s="255">
        <f>IF(K602&lt;&gt;"",K602-E602,0)</f>
        <v>0.35277777777810115</v>
      </c>
      <c r="AE602" s="255">
        <f>IF(N602&gt;0,AD602,0)</f>
        <v>0.35277777777810115</v>
      </c>
      <c r="AF602" s="255">
        <f>IF(N602&lt;0,AD602,0)</f>
        <v>0</v>
      </c>
      <c r="AG602" s="255">
        <f>IF(N602=0,AD602,0)</f>
        <v>0</v>
      </c>
    </row>
    <row r="603" spans="2:33" ht="15" customHeight="1" x14ac:dyDescent="0.3">
      <c r="B603" s="196" t="s">
        <v>7</v>
      </c>
      <c r="C603" s="197" t="s">
        <v>13</v>
      </c>
      <c r="D603" s="246" t="str">
        <f>IF(E603&lt;&gt;"",IF(K603&lt;&gt;"","C","O"),"")</f>
        <v>C</v>
      </c>
      <c r="E603" s="199">
        <v>44659.6875</v>
      </c>
      <c r="F603" s="200" t="s">
        <v>114</v>
      </c>
      <c r="G603" s="235">
        <v>1.08416</v>
      </c>
      <c r="H603" s="235">
        <v>1.08605</v>
      </c>
      <c r="I603" s="247">
        <f>ABS(G603-H603)</f>
        <v>1.8899999999999473E-3</v>
      </c>
      <c r="J603" s="235">
        <v>1.0671299999999999</v>
      </c>
      <c r="K603" s="199">
        <v>44659.740972222222</v>
      </c>
      <c r="L603" s="235">
        <v>1.08605</v>
      </c>
      <c r="M603" s="248">
        <f>ROUND(IF(C603="L",(L603-G603),(G603-L603)),4)</f>
        <v>-1.9E-3</v>
      </c>
      <c r="N603" s="249">
        <f>IFERROR(ROUND((M603/I603),2),"")</f>
        <v>-1.01</v>
      </c>
      <c r="O603" s="250">
        <f>IF(D603="O",IF(N603&lt;0,N603,0),0)</f>
        <v>0</v>
      </c>
      <c r="P603" s="251">
        <f>IF(N603&gt;= 0,N603,0)</f>
        <v>0</v>
      </c>
      <c r="Q603" s="251">
        <f>IF(N603&lt;0,N603,0)</f>
        <v>-1.01</v>
      </c>
      <c r="R6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26821</v>
      </c>
      <c r="T6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3" s="253">
        <f ca="1">IF(Tabla33610673[[#This Row],[Equity]]&lt;Tabla33610673[[#This Row],[Equity Peak]],(Tabla33610673[[#This Row],[Equity Peak]]-Tabla33610673[[#This Row],[Equity]])/Tabla33610673[[#This Row],[Equity Peak]],"")</f>
        <v>1.944942053888056E-2</v>
      </c>
      <c r="V603" s="254">
        <f>IF(B603="FX",N603,0)</f>
        <v>-1.01</v>
      </c>
      <c r="W603" s="254">
        <f>IF(D603="O",IF(V603&lt;0,V603,0),0)</f>
        <v>0</v>
      </c>
      <c r="X603" s="254">
        <f>IF(B603="COM",N603,0)</f>
        <v>0</v>
      </c>
      <c r="Y603" s="254">
        <f>IF(D603="O",IF(X603&lt;0,X603,0),0)</f>
        <v>0</v>
      </c>
      <c r="Z603" s="254">
        <f>IF(B603="IND",N603,0)</f>
        <v>0</v>
      </c>
      <c r="AA603" s="250">
        <f>IF(D603="O",IF(Z603&lt;0,Z603,0),0)</f>
        <v>0</v>
      </c>
      <c r="AB603" s="254">
        <f>IF(B603="CRYPTO",N603,0)</f>
        <v>0</v>
      </c>
      <c r="AC603" s="250">
        <f>IF(D603="O",IF(AB603&lt;0,AB603,0),0)</f>
        <v>0</v>
      </c>
      <c r="AD603" s="255">
        <f>IF(K603&lt;&gt;"",K603-E603,0)</f>
        <v>5.3472222221898846E-2</v>
      </c>
      <c r="AE603" s="255">
        <f>IF(N603&gt;0,AD603,0)</f>
        <v>0</v>
      </c>
      <c r="AF603" s="255">
        <f>IF(N603&lt;0,AD603,0)</f>
        <v>5.3472222221898846E-2</v>
      </c>
      <c r="AG603" s="255">
        <f>IF(N603=0,AD603,0)</f>
        <v>0</v>
      </c>
    </row>
    <row r="604" spans="2:33" ht="15" customHeight="1" x14ac:dyDescent="0.3">
      <c r="B604" s="196" t="s">
        <v>7</v>
      </c>
      <c r="C604" s="197" t="s">
        <v>13</v>
      </c>
      <c r="D604" s="246" t="str">
        <f>IF(E604&lt;&gt;"",IF(K604&lt;&gt;"","C","O"),"")</f>
        <v>C</v>
      </c>
      <c r="E604" s="199">
        <v>44659.125</v>
      </c>
      <c r="F604" s="200" t="s">
        <v>114</v>
      </c>
      <c r="G604" s="235">
        <v>1.08649</v>
      </c>
      <c r="H604" s="235">
        <v>1.0873900000000001</v>
      </c>
      <c r="I604" s="247">
        <f>ABS(G604-H604)</f>
        <v>9.0000000000012292E-4</v>
      </c>
      <c r="J604" s="235">
        <v>1.0783700000000001</v>
      </c>
      <c r="K604" s="199">
        <v>44659.459027777775</v>
      </c>
      <c r="L604" s="235">
        <v>1.0867899999999999</v>
      </c>
      <c r="M604" s="248">
        <f>ROUND(IF(C604="L",(L604-G604),(G604-L604)),4)</f>
        <v>-2.9999999999999997E-4</v>
      </c>
      <c r="N604" s="249">
        <f>IFERROR(ROUND((M604/I604),2),"")</f>
        <v>-0.33</v>
      </c>
      <c r="O604" s="250">
        <f>IF(D604="O",IF(N604&lt;0,N604,0),0)</f>
        <v>0</v>
      </c>
      <c r="P604" s="251">
        <f>IF(N604&gt;= 0,N604,0)</f>
        <v>0</v>
      </c>
      <c r="Q604" s="251">
        <f>IF(N604&lt;0,N604,0)</f>
        <v>-0.33</v>
      </c>
      <c r="R6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26922</v>
      </c>
      <c r="T6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4" s="253">
        <f ca="1">IF(Tabla33610673[[#This Row],[Equity]]&lt;Tabla33610673[[#This Row],[Equity Peak]],(Tabla33610673[[#This Row],[Equity Peak]]-Tabla33610673[[#This Row],[Equity]])/Tabla33610673[[#This Row],[Equity Peak]],"")</f>
        <v>1.575695536138632E-2</v>
      </c>
      <c r="V604" s="254">
        <f>IF(B604="FX",N604,0)</f>
        <v>-0.33</v>
      </c>
      <c r="W604" s="254">
        <f>IF(D604="O",IF(V604&lt;0,V604,0),0)</f>
        <v>0</v>
      </c>
      <c r="X604" s="254">
        <f>IF(B604="COM",N604,0)</f>
        <v>0</v>
      </c>
      <c r="Y604" s="254">
        <f>IF(D604="O",IF(X604&lt;0,X604,0),0)</f>
        <v>0</v>
      </c>
      <c r="Z604" s="254">
        <f>IF(B604="IND",N604,0)</f>
        <v>0</v>
      </c>
      <c r="AA604" s="250">
        <f>IF(D604="O",IF(Z604&lt;0,Z604,0),0)</f>
        <v>0</v>
      </c>
      <c r="AB604" s="254">
        <f>IF(B604="CRYPTO",N604,0)</f>
        <v>0</v>
      </c>
      <c r="AC604" s="250">
        <f>IF(D604="O",IF(AB604&lt;0,AB604,0),0)</f>
        <v>0</v>
      </c>
      <c r="AD604" s="255">
        <f>IF(K604&lt;&gt;"",K604-E604,0)</f>
        <v>0.33402777777519077</v>
      </c>
      <c r="AE604" s="255">
        <f>IF(N604&gt;0,AD604,0)</f>
        <v>0</v>
      </c>
      <c r="AF604" s="255">
        <f>IF(N604&lt;0,AD604,0)</f>
        <v>0.33402777777519077</v>
      </c>
      <c r="AG604" s="255">
        <f>IF(N604=0,AD604,0)</f>
        <v>0</v>
      </c>
    </row>
    <row r="605" spans="2:33" ht="15" customHeight="1" x14ac:dyDescent="0.3">
      <c r="B605" s="196" t="s">
        <v>7</v>
      </c>
      <c r="C605" s="197" t="s">
        <v>15</v>
      </c>
      <c r="D605" s="246" t="str">
        <f>IF(E605&lt;&gt;"",IF(K605&lt;&gt;"","C","O"),"")</f>
        <v>C</v>
      </c>
      <c r="E605" s="199">
        <v>44659.072916666664</v>
      </c>
      <c r="F605" s="200" t="s">
        <v>115</v>
      </c>
      <c r="G605" s="235">
        <v>162.28299999999999</v>
      </c>
      <c r="H605" s="235">
        <v>161.84700000000001</v>
      </c>
      <c r="I605" s="247">
        <f>ABS(G605-H605)</f>
        <v>0.43599999999997863</v>
      </c>
      <c r="J605" s="235">
        <v>163.52799999999999</v>
      </c>
      <c r="K605" s="199">
        <v>44659.144444444442</v>
      </c>
      <c r="L605" s="235">
        <v>161.84700000000001</v>
      </c>
      <c r="M605" s="248">
        <f>ROUND(IF(C605="L",(L605-G605),(G605-L605)),4)</f>
        <v>-0.436</v>
      </c>
      <c r="N605" s="249">
        <f>IFERROR(ROUND((M605/I605),2),"")</f>
        <v>-1</v>
      </c>
      <c r="O605" s="250">
        <f>IF(D605="O",IF(N605&lt;0,N605,0),0)</f>
        <v>0</v>
      </c>
      <c r="P605" s="251">
        <f>IF(N605&gt;= 0,N605,0)</f>
        <v>0</v>
      </c>
      <c r="Q605" s="251">
        <f>IF(N605&lt;0,N605,0)</f>
        <v>-1</v>
      </c>
      <c r="R6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26955</v>
      </c>
      <c r="T6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5" s="253">
        <f ca="1">IF(Tabla33610673[[#This Row],[Equity]]&lt;Tabla33610673[[#This Row],[Equity Peak]],(Tabla33610673[[#This Row],[Equity Peak]]-Tabla33610673[[#This Row],[Equity]])/Tabla33610673[[#This Row],[Equity Peak]],"")</f>
        <v>1.4550506342997111E-2</v>
      </c>
      <c r="V605" s="254">
        <f>IF(B605="FX",N605,0)</f>
        <v>-1</v>
      </c>
      <c r="W605" s="254">
        <f>IF(D605="O",IF(V605&lt;0,V605,0),0)</f>
        <v>0</v>
      </c>
      <c r="X605" s="254">
        <f>IF(B605="COM",N605,0)</f>
        <v>0</v>
      </c>
      <c r="Y605" s="254">
        <f>IF(D605="O",IF(X605&lt;0,X605,0),0)</f>
        <v>0</v>
      </c>
      <c r="Z605" s="254">
        <f>IF(B605="IND",N605,0)</f>
        <v>0</v>
      </c>
      <c r="AA605" s="250">
        <f>IF(D605="O",IF(Z605&lt;0,Z605,0),0)</f>
        <v>0</v>
      </c>
      <c r="AB605" s="254">
        <f>IF(B605="CRYPTO",N605,0)</f>
        <v>0</v>
      </c>
      <c r="AC605" s="250">
        <f>IF(D605="O",IF(AB605&lt;0,AB605,0),0)</f>
        <v>0</v>
      </c>
      <c r="AD605" s="255">
        <f>IF(K605&lt;&gt;"",K605-E605,0)</f>
        <v>7.1527777778101154E-2</v>
      </c>
      <c r="AE605" s="255">
        <f>IF(N605&gt;0,AD605,0)</f>
        <v>0</v>
      </c>
      <c r="AF605" s="255">
        <f>IF(N605&lt;0,AD605,0)</f>
        <v>7.1527777778101154E-2</v>
      </c>
      <c r="AG605" s="255">
        <f>IF(N605=0,AD605,0)</f>
        <v>0</v>
      </c>
    </row>
    <row r="606" spans="2:33" ht="15" customHeight="1" x14ac:dyDescent="0.3">
      <c r="B606" s="196" t="s">
        <v>5</v>
      </c>
      <c r="C606" s="197" t="s">
        <v>13</v>
      </c>
      <c r="D606" s="246" t="str">
        <f>IF(E606&lt;&gt;"",IF(K606&lt;&gt;"","C","O"),"")</f>
        <v>C</v>
      </c>
      <c r="E606" s="199">
        <v>44658.78125</v>
      </c>
      <c r="F606" s="200" t="s">
        <v>93</v>
      </c>
      <c r="G606" s="235">
        <v>14384.32</v>
      </c>
      <c r="H606" s="235">
        <v>14439.72</v>
      </c>
      <c r="I606" s="247">
        <f>ABS(G606-H606)</f>
        <v>55.399999999999636</v>
      </c>
      <c r="J606" s="235">
        <v>13793.44</v>
      </c>
      <c r="K606" s="199">
        <v>44658.847222222219</v>
      </c>
      <c r="L606" s="235">
        <v>14439.72</v>
      </c>
      <c r="M606" s="248">
        <f>ROUND(IF(C606="L",(L606-G606),(G606-L606)),4)</f>
        <v>-55.4</v>
      </c>
      <c r="N606" s="249">
        <f>IFERROR(ROUND((M606/I606),2),"")</f>
        <v>-1</v>
      </c>
      <c r="O606" s="250">
        <f>IF(D606="O",IF(N606&lt;0,N606,0),0)</f>
        <v>0</v>
      </c>
      <c r="P606" s="251">
        <f>IF(N606&gt;= 0,N606,0)</f>
        <v>0</v>
      </c>
      <c r="Q606" s="251">
        <f>IF(N606&lt;0,N606,0)</f>
        <v>-1</v>
      </c>
      <c r="R6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27055</v>
      </c>
      <c r="T6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6" s="253">
        <f ca="1">IF(Tabla33610673[[#This Row],[Equity]]&lt;Tabla33610673[[#This Row],[Equity Peak]],(Tabla33610673[[#This Row],[Equity Peak]]-Tabla33610673[[#This Row],[Equity]])/Tabla33610673[[#This Row],[Equity Peak]],"")</f>
        <v>1.089460022666618E-2</v>
      </c>
      <c r="V606" s="254">
        <f>IF(B606="FX",N606,0)</f>
        <v>0</v>
      </c>
      <c r="W606" s="254">
        <f>IF(D606="O",IF(V606&lt;0,V606,0),0)</f>
        <v>0</v>
      </c>
      <c r="X606" s="254">
        <f>IF(B606="COM",N606,0)</f>
        <v>0</v>
      </c>
      <c r="Y606" s="254">
        <f>IF(D606="O",IF(X606&lt;0,X606,0),0)</f>
        <v>0</v>
      </c>
      <c r="Z606" s="254">
        <f>IF(B606="IND",N606,0)</f>
        <v>-1</v>
      </c>
      <c r="AA606" s="250">
        <f>IF(D606="O",IF(Z606&lt;0,Z606,0),0)</f>
        <v>0</v>
      </c>
      <c r="AB606" s="254">
        <f>IF(B606="CRYPTO",N606,0)</f>
        <v>0</v>
      </c>
      <c r="AC606" s="250">
        <f>IF(D606="O",IF(AB606&lt;0,AB606,0),0)</f>
        <v>0</v>
      </c>
      <c r="AD606" s="255">
        <f>IF(K606&lt;&gt;"",K606-E606,0)</f>
        <v>6.5972222218988463E-2</v>
      </c>
      <c r="AE606" s="255">
        <f>IF(N606&gt;0,AD606,0)</f>
        <v>0</v>
      </c>
      <c r="AF606" s="255">
        <f>IF(N606&lt;0,AD606,0)</f>
        <v>6.5972222218988463E-2</v>
      </c>
      <c r="AG606" s="255">
        <f>IF(N606=0,AD606,0)</f>
        <v>0</v>
      </c>
    </row>
    <row r="607" spans="2:33" ht="15" customHeight="1" x14ac:dyDescent="0.3">
      <c r="B607" s="196" t="s">
        <v>5</v>
      </c>
      <c r="C607" s="197" t="s">
        <v>13</v>
      </c>
      <c r="D607" s="246" t="str">
        <f>IF(E607&lt;&gt;"",IF(K607&lt;&gt;"","C","O"),"")</f>
        <v>C</v>
      </c>
      <c r="E607" s="199">
        <v>44658.78125</v>
      </c>
      <c r="F607" s="200" t="s">
        <v>92</v>
      </c>
      <c r="G607" s="235">
        <v>14384.32</v>
      </c>
      <c r="H607" s="235">
        <v>14433.88</v>
      </c>
      <c r="I607" s="247">
        <f>ABS(G607-H607)</f>
        <v>49.559999999999491</v>
      </c>
      <c r="J607" s="235">
        <v>13459.17</v>
      </c>
      <c r="K607" s="199">
        <v>44658.845833333333</v>
      </c>
      <c r="L607" s="235">
        <v>14433.88</v>
      </c>
      <c r="M607" s="248">
        <f>ROUND(IF(C607="L",(L607-G607),(G607-L607)),4)</f>
        <v>-49.56</v>
      </c>
      <c r="N607" s="249">
        <f>IFERROR(ROUND((M607/I607),2),"")</f>
        <v>-1</v>
      </c>
      <c r="O607" s="250">
        <f>IF(D607="O",IF(N607&lt;0,N607,0),0)</f>
        <v>0</v>
      </c>
      <c r="P607" s="251">
        <f>IF(N607&gt;= 0,N607,0)</f>
        <v>0</v>
      </c>
      <c r="Q607" s="251">
        <f>IF(N607&lt;0,N607,0)</f>
        <v>-1</v>
      </c>
      <c r="R6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27155</v>
      </c>
      <c r="T6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7" s="253">
        <f ca="1">IF(Tabla33610673[[#This Row],[Equity]]&lt;Tabla33610673[[#This Row],[Equity Peak]],(Tabla33610673[[#This Row],[Equity Peak]]-Tabla33610673[[#This Row],[Equity]])/Tabla33610673[[#This Row],[Equity Peak]],"")</f>
        <v>7.2386941103352465E-3</v>
      </c>
      <c r="V607" s="254">
        <f>IF(B607="FX",N607,0)</f>
        <v>0</v>
      </c>
      <c r="W607" s="254">
        <f>IF(D607="O",IF(V607&lt;0,V607,0),0)</f>
        <v>0</v>
      </c>
      <c r="X607" s="254">
        <f>IF(B607="COM",N607,0)</f>
        <v>0</v>
      </c>
      <c r="Y607" s="254">
        <f>IF(D607="O",IF(X607&lt;0,X607,0),0)</f>
        <v>0</v>
      </c>
      <c r="Z607" s="254">
        <f>IF(B607="IND",N607,0)</f>
        <v>-1</v>
      </c>
      <c r="AA607" s="250">
        <f>IF(D607="O",IF(Z607&lt;0,Z607,0),0)</f>
        <v>0</v>
      </c>
      <c r="AB607" s="254">
        <f>IF(B607="CRYPTO",N607,0)</f>
        <v>0</v>
      </c>
      <c r="AC607" s="250">
        <f>IF(D607="O",IF(AB607&lt;0,AB607,0),0)</f>
        <v>0</v>
      </c>
      <c r="AD607" s="255">
        <f>IF(K607&lt;&gt;"",K607-E607,0)</f>
        <v>6.4583333332848269E-2</v>
      </c>
      <c r="AE607" s="255">
        <f>IF(N607&gt;0,AD607,0)</f>
        <v>0</v>
      </c>
      <c r="AF607" s="255">
        <f>IF(N607&lt;0,AD607,0)</f>
        <v>6.4583333332848269E-2</v>
      </c>
      <c r="AG607" s="255">
        <f>IF(N607=0,AD607,0)</f>
        <v>0</v>
      </c>
    </row>
    <row r="608" spans="2:33" ht="15" customHeight="1" x14ac:dyDescent="0.3">
      <c r="B608" s="196" t="s">
        <v>7</v>
      </c>
      <c r="C608" s="197" t="s">
        <v>13</v>
      </c>
      <c r="D608" s="246" t="str">
        <f>IF(E608&lt;&gt;"",IF(K608&lt;&gt;"","C","O"),"")</f>
        <v>C</v>
      </c>
      <c r="E608" s="199">
        <v>44658.520833333336</v>
      </c>
      <c r="F608" s="200" t="s">
        <v>114</v>
      </c>
      <c r="G608" s="235">
        <v>1.08725</v>
      </c>
      <c r="H608" s="235">
        <v>1.0888800000000001</v>
      </c>
      <c r="I608" s="247">
        <f>ABS(G608-H608)</f>
        <v>1.6300000000000203E-3</v>
      </c>
      <c r="J608" s="235">
        <v>1.0725899999999999</v>
      </c>
      <c r="K608" s="199">
        <v>44658.529166666667</v>
      </c>
      <c r="L608" s="235">
        <v>1.0888800000000001</v>
      </c>
      <c r="M608" s="248">
        <f>ROUND(IF(C608="L",(L608-G608),(G608-L608)),4)</f>
        <v>-1.6000000000000001E-3</v>
      </c>
      <c r="N608" s="249">
        <f>IFERROR(ROUND((M608/I608),2),"")</f>
        <v>-0.98</v>
      </c>
      <c r="O608" s="250">
        <f>IF(D608="O",IF(N608&lt;0,N608,0),0)</f>
        <v>0</v>
      </c>
      <c r="P608" s="251">
        <f>IF(N608&gt;= 0,N608,0)</f>
        <v>0</v>
      </c>
      <c r="Q608" s="251">
        <f>IF(N608&lt;0,N608,0)</f>
        <v>-0.98</v>
      </c>
      <c r="R6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27255</v>
      </c>
      <c r="T6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8" s="253">
        <f ca="1">IF(Tabla33610673[[#This Row],[Equity]]&lt;Tabla33610673[[#This Row],[Equity Peak]],(Tabla33610673[[#This Row],[Equity Peak]]-Tabla33610673[[#This Row],[Equity]])/Tabla33610673[[#This Row],[Equity Peak]],"")</f>
        <v>3.5827879940043138E-3</v>
      </c>
      <c r="V608" s="254">
        <f>IF(B608="FX",N608,0)</f>
        <v>-0.98</v>
      </c>
      <c r="W608" s="254">
        <f>IF(D608="O",IF(V608&lt;0,V608,0),0)</f>
        <v>0</v>
      </c>
      <c r="X608" s="254">
        <f>IF(B608="COM",N608,0)</f>
        <v>0</v>
      </c>
      <c r="Y608" s="254">
        <f>IF(D608="O",IF(X608&lt;0,X608,0),0)</f>
        <v>0</v>
      </c>
      <c r="Z608" s="254">
        <f>IF(B608="IND",N608,0)</f>
        <v>0</v>
      </c>
      <c r="AA608" s="250">
        <f>IF(D608="O",IF(Z608&lt;0,Z608,0),0)</f>
        <v>0</v>
      </c>
      <c r="AB608" s="254">
        <f>IF(B608="CRYPTO",N608,0)</f>
        <v>0</v>
      </c>
      <c r="AC608" s="250">
        <f>IF(D608="O",IF(AB608&lt;0,AB608,0),0)</f>
        <v>0</v>
      </c>
      <c r="AD608" s="255">
        <f>IF(K608&lt;&gt;"",K608-E608,0)</f>
        <v>8.333333331393078E-3</v>
      </c>
      <c r="AE608" s="255">
        <f>IF(N608&gt;0,AD608,0)</f>
        <v>0</v>
      </c>
      <c r="AF608" s="255">
        <f>IF(N608&lt;0,AD608,0)</f>
        <v>8.333333331393078E-3</v>
      </c>
      <c r="AG608" s="255">
        <f>IF(N608=0,AD608,0)</f>
        <v>0</v>
      </c>
    </row>
    <row r="609" spans="2:33" ht="15" customHeight="1" x14ac:dyDescent="0.3">
      <c r="B609" s="196" t="s">
        <v>7</v>
      </c>
      <c r="C609" s="197" t="s">
        <v>15</v>
      </c>
      <c r="D609" s="246" t="str">
        <f>IF(E609&lt;&gt;"",IF(K609&lt;&gt;"","C","O"),"")</f>
        <v>C</v>
      </c>
      <c r="E609" s="199">
        <v>44656.4375</v>
      </c>
      <c r="F609" s="200" t="s">
        <v>115</v>
      </c>
      <c r="G609" s="235">
        <v>161.32</v>
      </c>
      <c r="H609" s="235">
        <v>160.911</v>
      </c>
      <c r="I609" s="247">
        <f>ABS(G609-H609)</f>
        <v>0.40899999999999181</v>
      </c>
      <c r="J609" s="235">
        <v>162.488</v>
      </c>
      <c r="K609" s="199">
        <v>44658.009027777778</v>
      </c>
      <c r="L609" s="235">
        <v>161.58799999999999</v>
      </c>
      <c r="M609" s="248">
        <f>ROUND(IF(C609="L",(L609-G609),(G609-L609)),4)</f>
        <v>0.26800000000000002</v>
      </c>
      <c r="N609" s="249">
        <f>IFERROR(ROUND((M609/I609),2),"")</f>
        <v>0.66</v>
      </c>
      <c r="O609" s="250">
        <f>IF(D609="O",IF(N609&lt;0,N609,0),0)</f>
        <v>0</v>
      </c>
      <c r="P609" s="251">
        <f>IF(N609&gt;= 0,N609,0)</f>
        <v>0.66</v>
      </c>
      <c r="Q609" s="251">
        <f>IF(N609&lt;0,N609,0)</f>
        <v>0</v>
      </c>
      <c r="R6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27353</v>
      </c>
      <c r="T6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27353</v>
      </c>
      <c r="U60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09" s="254">
        <f>IF(B609="FX",N609,0)</f>
        <v>0.66</v>
      </c>
      <c r="W609" s="254">
        <f>IF(D609="O",IF(V609&lt;0,V609,0),0)</f>
        <v>0</v>
      </c>
      <c r="X609" s="254">
        <f>IF(B609="COM",N609,0)</f>
        <v>0</v>
      </c>
      <c r="Y609" s="254">
        <f>IF(D609="O",IF(X609&lt;0,X609,0),0)</f>
        <v>0</v>
      </c>
      <c r="Z609" s="254">
        <f>IF(B609="IND",N609,0)</f>
        <v>0</v>
      </c>
      <c r="AA609" s="250">
        <f>IF(D609="O",IF(Z609&lt;0,Z609,0),0)</f>
        <v>0</v>
      </c>
      <c r="AB609" s="254">
        <f>IF(B609="CRYPTO",N609,0)</f>
        <v>0</v>
      </c>
      <c r="AC609" s="250">
        <f>IF(D609="O",IF(AB609&lt;0,AB609,0),0)</f>
        <v>0</v>
      </c>
      <c r="AD609" s="255">
        <f>IF(K609&lt;&gt;"",K609-E609,0)</f>
        <v>1.5715277777781012</v>
      </c>
      <c r="AE609" s="255">
        <f>IF(N609&gt;0,AD609,0)</f>
        <v>1.5715277777781012</v>
      </c>
      <c r="AF609" s="255">
        <f>IF(N609&lt;0,AD609,0)</f>
        <v>0</v>
      </c>
      <c r="AG609" s="255">
        <f>IF(N609=0,AD609,0)</f>
        <v>0</v>
      </c>
    </row>
    <row r="610" spans="2:33" ht="15" customHeight="1" x14ac:dyDescent="0.3">
      <c r="B610" s="196" t="s">
        <v>5</v>
      </c>
      <c r="C610" s="197" t="s">
        <v>13</v>
      </c>
      <c r="D610" s="246" t="str">
        <f>IF(E610&lt;&gt;"",IF(K610&lt;&gt;"","C","O"),"")</f>
        <v>C</v>
      </c>
      <c r="E610" s="199">
        <v>44657.447916666664</v>
      </c>
      <c r="F610" s="200" t="s">
        <v>91</v>
      </c>
      <c r="G610" s="235">
        <v>14305.72</v>
      </c>
      <c r="H610" s="235">
        <v>14343.77</v>
      </c>
      <c r="I610" s="247">
        <f>ABS(G610-H610)</f>
        <v>38.050000000001091</v>
      </c>
      <c r="J610" s="235">
        <v>13595.42</v>
      </c>
      <c r="K610" s="199">
        <v>44657.877083333333</v>
      </c>
      <c r="L610" s="235">
        <v>14193.06</v>
      </c>
      <c r="M610" s="248">
        <f>ROUND(IF(C610="L",(L610-G610),(G610-L610)),4)</f>
        <v>112.66</v>
      </c>
      <c r="N610" s="249">
        <f>IFERROR(ROUND((M610/I610),2),"")</f>
        <v>2.96</v>
      </c>
      <c r="O610" s="250">
        <f>IF(D610="O",IF(N610&lt;0,N610,0),0)</f>
        <v>0</v>
      </c>
      <c r="P610" s="251">
        <f>IF(N610&gt;= 0,N610,0)</f>
        <v>2.96</v>
      </c>
      <c r="Q610" s="251">
        <f>IF(N610&lt;0,N610,0)</f>
        <v>0</v>
      </c>
      <c r="R6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27287</v>
      </c>
      <c r="T6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27287</v>
      </c>
      <c r="U61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10" s="254">
        <f>IF(B610="FX",N610,0)</f>
        <v>0</v>
      </c>
      <c r="W610" s="254">
        <f>IF(D610="O",IF(V610&lt;0,V610,0),0)</f>
        <v>0</v>
      </c>
      <c r="X610" s="254">
        <f>IF(B610="COM",N610,0)</f>
        <v>0</v>
      </c>
      <c r="Y610" s="254">
        <f>IF(D610="O",IF(X610&lt;0,X610,0),0)</f>
        <v>0</v>
      </c>
      <c r="Z610" s="254">
        <f>IF(B610="IND",N610,0)</f>
        <v>2.96</v>
      </c>
      <c r="AA610" s="250">
        <f>IF(D610="O",IF(Z610&lt;0,Z610,0),0)</f>
        <v>0</v>
      </c>
      <c r="AB610" s="254">
        <f>IF(B610="CRYPTO",N610,0)</f>
        <v>0</v>
      </c>
      <c r="AC610" s="250">
        <f>IF(D610="O",IF(AB610&lt;0,AB610,0),0)</f>
        <v>0</v>
      </c>
      <c r="AD610" s="255">
        <f>IF(K610&lt;&gt;"",K610-E610,0)</f>
        <v>0.42916666666860692</v>
      </c>
      <c r="AE610" s="255">
        <f>IF(N610&gt;0,AD610,0)</f>
        <v>0.42916666666860692</v>
      </c>
      <c r="AF610" s="255">
        <f>IF(N610&lt;0,AD610,0)</f>
        <v>0</v>
      </c>
      <c r="AG610" s="255">
        <f>IF(N610=0,AD610,0)</f>
        <v>0</v>
      </c>
    </row>
    <row r="611" spans="2:33" ht="15" customHeight="1" x14ac:dyDescent="0.3">
      <c r="B611" s="196" t="s">
        <v>5</v>
      </c>
      <c r="C611" s="197" t="s">
        <v>13</v>
      </c>
      <c r="D611" s="246" t="str">
        <f>IF(E611&lt;&gt;"",IF(K611&lt;&gt;"","C","O"),"")</f>
        <v>C</v>
      </c>
      <c r="E611" s="199">
        <v>44657.697916666664</v>
      </c>
      <c r="F611" s="200" t="s">
        <v>92</v>
      </c>
      <c r="G611" s="235">
        <v>14528.26</v>
      </c>
      <c r="H611" s="235">
        <v>14562.14</v>
      </c>
      <c r="I611" s="247">
        <f>ABS(G611-H611)</f>
        <v>33.8799999999992</v>
      </c>
      <c r="J611" s="235">
        <v>13895.74</v>
      </c>
      <c r="K611" s="199">
        <v>44657.863194444442</v>
      </c>
      <c r="L611" s="235">
        <v>14534.08</v>
      </c>
      <c r="M611" s="248">
        <f>ROUND(IF(C611="L",(L611-G611),(G611-L611)),4)</f>
        <v>-5.82</v>
      </c>
      <c r="N611" s="249">
        <f>IFERROR(ROUND((M611/I611),2),"")</f>
        <v>-0.17</v>
      </c>
      <c r="O611" s="250">
        <f>IF(D611="O",IF(N611&lt;0,N611,0),0)</f>
        <v>0</v>
      </c>
      <c r="P611" s="251">
        <f>IF(N611&gt;= 0,N611,0)</f>
        <v>0</v>
      </c>
      <c r="Q611" s="251">
        <f>IF(N611&lt;0,N611,0)</f>
        <v>-0.17</v>
      </c>
      <c r="R6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26991</v>
      </c>
      <c r="T6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27008</v>
      </c>
      <c r="U611" s="253">
        <f ca="1">IF(Tabla33610673[[#This Row],[Equity]]&lt;Tabla33610673[[#This Row],[Equity Peak]],(Tabla33610673[[#This Row],[Equity Peak]]-Tabla33610673[[#This Row],[Equity]])/Tabla33610673[[#This Row],[Equity Peak]],"")</f>
        <v>6.294431279620853E-4</v>
      </c>
      <c r="V611" s="254">
        <f>IF(B611="FX",N611,0)</f>
        <v>0</v>
      </c>
      <c r="W611" s="254">
        <f>IF(D611="O",IF(V611&lt;0,V611,0),0)</f>
        <v>0</v>
      </c>
      <c r="X611" s="254">
        <f>IF(B611="COM",N611,0)</f>
        <v>0</v>
      </c>
      <c r="Y611" s="254">
        <f>IF(D611="O",IF(X611&lt;0,X611,0),0)</f>
        <v>0</v>
      </c>
      <c r="Z611" s="254">
        <f>IF(B611="IND",N611,0)</f>
        <v>-0.17</v>
      </c>
      <c r="AA611" s="250">
        <f>IF(D611="O",IF(Z611&lt;0,Z611,0),0)</f>
        <v>0</v>
      </c>
      <c r="AB611" s="254">
        <f>IF(B611="CRYPTO",N611,0)</f>
        <v>0</v>
      </c>
      <c r="AC611" s="250">
        <f>IF(D611="O",IF(AB611&lt;0,AB611,0),0)</f>
        <v>0</v>
      </c>
      <c r="AD611" s="255">
        <f>IF(K611&lt;&gt;"",K611-E611,0)</f>
        <v>0.16527777777810115</v>
      </c>
      <c r="AE611" s="255">
        <f>IF(N611&gt;0,AD611,0)</f>
        <v>0</v>
      </c>
      <c r="AF611" s="255">
        <f>IF(N611&lt;0,AD611,0)</f>
        <v>0.16527777777810115</v>
      </c>
      <c r="AG611" s="255">
        <f>IF(N611=0,AD611,0)</f>
        <v>0</v>
      </c>
    </row>
    <row r="612" spans="2:33" ht="15" customHeight="1" x14ac:dyDescent="0.3">
      <c r="B612" s="196" t="s">
        <v>5</v>
      </c>
      <c r="C612" s="197" t="s">
        <v>13</v>
      </c>
      <c r="D612" s="246" t="str">
        <f>IF(E612&lt;&gt;"",IF(K612&lt;&gt;"","C","O"),"")</f>
        <v>C</v>
      </c>
      <c r="E612" s="199">
        <v>44657.447916666664</v>
      </c>
      <c r="F612" s="200" t="s">
        <v>93</v>
      </c>
      <c r="G612" s="235">
        <v>14752.66</v>
      </c>
      <c r="H612" s="235">
        <v>14788.77</v>
      </c>
      <c r="I612" s="247">
        <f>ABS(G612-H612)</f>
        <v>36.110000000000582</v>
      </c>
      <c r="J612" s="235">
        <v>14367.49</v>
      </c>
      <c r="K612" s="199">
        <v>44657.861805555556</v>
      </c>
      <c r="L612" s="235">
        <v>14515.81</v>
      </c>
      <c r="M612" s="248">
        <f>ROUND(IF(C612="L",(L612-G612),(G612-L612)),4)</f>
        <v>236.85</v>
      </c>
      <c r="N612" s="249">
        <f>IFERROR(ROUND((M612/I612),2),"")</f>
        <v>6.56</v>
      </c>
      <c r="O612" s="250">
        <f>IF(D612="O",IF(N612&lt;0,N612,0),0)</f>
        <v>0</v>
      </c>
      <c r="P612" s="251">
        <f>IF(N612&gt;= 0,N612,0)</f>
        <v>6.56</v>
      </c>
      <c r="Q612" s="251">
        <f>IF(N612&lt;0,N612,0)</f>
        <v>0</v>
      </c>
      <c r="R6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27008</v>
      </c>
      <c r="T6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27008</v>
      </c>
      <c r="U61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12" s="254">
        <f>IF(B612="FX",N612,0)</f>
        <v>0</v>
      </c>
      <c r="W612" s="254">
        <f>IF(D612="O",IF(V612&lt;0,V612,0),0)</f>
        <v>0</v>
      </c>
      <c r="X612" s="254">
        <f>IF(B612="COM",N612,0)</f>
        <v>0</v>
      </c>
      <c r="Y612" s="254">
        <f>IF(D612="O",IF(X612&lt;0,X612,0),0)</f>
        <v>0</v>
      </c>
      <c r="Z612" s="254">
        <f>IF(B612="IND",N612,0)</f>
        <v>6.56</v>
      </c>
      <c r="AA612" s="250">
        <f>IF(D612="O",IF(Z612&lt;0,Z612,0),0)</f>
        <v>0</v>
      </c>
      <c r="AB612" s="254">
        <f>IF(B612="CRYPTO",N612,0)</f>
        <v>0</v>
      </c>
      <c r="AC612" s="250">
        <f>IF(D612="O",IF(AB612&lt;0,AB612,0),0)</f>
        <v>0</v>
      </c>
      <c r="AD612" s="255">
        <f>IF(K612&lt;&gt;"",K612-E612,0)</f>
        <v>0.41388888889196096</v>
      </c>
      <c r="AE612" s="255">
        <f>IF(N612&gt;0,AD612,0)</f>
        <v>0.41388888889196096</v>
      </c>
      <c r="AF612" s="255">
        <f>IF(N612&lt;0,AD612,0)</f>
        <v>0</v>
      </c>
      <c r="AG612" s="255">
        <f>IF(N612=0,AD612,0)</f>
        <v>0</v>
      </c>
    </row>
    <row r="613" spans="2:33" ht="15" customHeight="1" x14ac:dyDescent="0.3">
      <c r="B613" s="196" t="s">
        <v>7</v>
      </c>
      <c r="C613" s="197" t="s">
        <v>13</v>
      </c>
      <c r="D613" s="246" t="str">
        <f>IF(E613&lt;&gt;"",IF(K613&lt;&gt;"","C","O"),"")</f>
        <v>C</v>
      </c>
      <c r="E613" s="199">
        <v>44656.71875</v>
      </c>
      <c r="F613" s="200" t="s">
        <v>114</v>
      </c>
      <c r="G613" s="235">
        <v>1.0951900000000001</v>
      </c>
      <c r="H613" s="235">
        <v>1.09693</v>
      </c>
      <c r="I613" s="247">
        <f>ABS(G613-H613)</f>
        <v>1.7399999999998528E-3</v>
      </c>
      <c r="J613" s="235">
        <v>1.0794999999999999</v>
      </c>
      <c r="K613" s="199">
        <v>44657.475694444445</v>
      </c>
      <c r="L613" s="235">
        <v>1.0903400000000001</v>
      </c>
      <c r="M613" s="248">
        <f>ROUND(IF(C613="L",(L613-G613),(G613-L613)),4)</f>
        <v>4.8999999999999998E-3</v>
      </c>
      <c r="N613" s="249">
        <f>IFERROR(ROUND((M613/I613),2),"")</f>
        <v>2.82</v>
      </c>
      <c r="O613" s="250">
        <f>IF(D613="O",IF(N613&lt;0,N613,0),0)</f>
        <v>0</v>
      </c>
      <c r="P613" s="251">
        <f>IF(N613&gt;= 0,N613,0)</f>
        <v>2.82</v>
      </c>
      <c r="Q613" s="251">
        <f>IF(N613&lt;0,N613,0)</f>
        <v>0</v>
      </c>
      <c r="R6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26352</v>
      </c>
      <c r="T6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3" s="253">
        <f ca="1">IF(Tabla33610673[[#This Row],[Equity]]&lt;Tabla33610673[[#This Row],[Equity Peak]],(Tabla33610673[[#This Row],[Equity Peak]]-Tabla33610673[[#This Row],[Equity]])/Tabla33610673[[#This Row],[Equity Peak]],"")</f>
        <v>1.5393812584068151E-2</v>
      </c>
      <c r="V613" s="254">
        <f>IF(B613="FX",N613,0)</f>
        <v>2.82</v>
      </c>
      <c r="W613" s="254">
        <f>IF(D613="O",IF(V613&lt;0,V613,0),0)</f>
        <v>0</v>
      </c>
      <c r="X613" s="254">
        <f>IF(B613="COM",N613,0)</f>
        <v>0</v>
      </c>
      <c r="Y613" s="254">
        <f>IF(D613="O",IF(X613&lt;0,X613,0),0)</f>
        <v>0</v>
      </c>
      <c r="Z613" s="254">
        <f>IF(B613="IND",N613,0)</f>
        <v>0</v>
      </c>
      <c r="AA613" s="250">
        <f>IF(D613="O",IF(Z613&lt;0,Z613,0),0)</f>
        <v>0</v>
      </c>
      <c r="AB613" s="254">
        <f>IF(B613="CRYPTO",N613,0)</f>
        <v>0</v>
      </c>
      <c r="AC613" s="250">
        <f>IF(D613="O",IF(AB613&lt;0,AB613,0),0)</f>
        <v>0</v>
      </c>
      <c r="AD613" s="255">
        <f>IF(K613&lt;&gt;"",K613-E613,0)</f>
        <v>0.75694444444525288</v>
      </c>
      <c r="AE613" s="255">
        <f>IF(N613&gt;0,AD613,0)</f>
        <v>0.75694444444525288</v>
      </c>
      <c r="AF613" s="255">
        <f>IF(N613&lt;0,AD613,0)</f>
        <v>0</v>
      </c>
      <c r="AG613" s="255">
        <f>IF(N613=0,AD613,0)</f>
        <v>0</v>
      </c>
    </row>
    <row r="614" spans="2:33" ht="15" customHeight="1" x14ac:dyDescent="0.3">
      <c r="B614" s="196" t="s">
        <v>5</v>
      </c>
      <c r="C614" s="197" t="s">
        <v>13</v>
      </c>
      <c r="D614" s="246" t="str">
        <f>IF(E614&lt;&gt;"",IF(K614&lt;&gt;"","C","O"),"")</f>
        <v>C</v>
      </c>
      <c r="E614" s="199">
        <v>44657.208333333336</v>
      </c>
      <c r="F614" s="200" t="s">
        <v>91</v>
      </c>
      <c r="G614" s="235">
        <v>14317.97</v>
      </c>
      <c r="H614" s="235">
        <v>14357.8</v>
      </c>
      <c r="I614" s="247">
        <f>ABS(G614-H614)</f>
        <v>39.829999999999927</v>
      </c>
      <c r="J614" s="235">
        <v>13574.52</v>
      </c>
      <c r="K614" s="199">
        <v>44657.350694444445</v>
      </c>
      <c r="L614" s="235">
        <v>14357.8</v>
      </c>
      <c r="M614" s="248">
        <f>ROUND(IF(C614="L",(L614-G614),(G614-L614)),4)</f>
        <v>-39.83</v>
      </c>
      <c r="N614" s="249">
        <f>IFERROR(ROUND((M614/I614),2),"")</f>
        <v>-1</v>
      </c>
      <c r="O614" s="250">
        <f>IF(D614="O",IF(N614&lt;0,N614,0),0)</f>
        <v>0</v>
      </c>
      <c r="P614" s="251">
        <f>IF(N614&gt;= 0,N614,0)</f>
        <v>0</v>
      </c>
      <c r="Q614" s="251">
        <f>IF(N614&lt;0,N614,0)</f>
        <v>-1</v>
      </c>
      <c r="R6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26070</v>
      </c>
      <c r="T6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4" s="253">
        <f ca="1">IF(Tabla33610673[[#This Row],[Equity]]&lt;Tabla33610673[[#This Row],[Equity Peak]],(Tabla33610673[[#This Row],[Equity Peak]]-Tabla33610673[[#This Row],[Equity]])/Tabla33610673[[#This Row],[Equity Peak]],"")</f>
        <v>2.5930354207143926E-2</v>
      </c>
      <c r="V614" s="254">
        <f>IF(B614="FX",N614,0)</f>
        <v>0</v>
      </c>
      <c r="W614" s="254">
        <f>IF(D614="O",IF(V614&lt;0,V614,0),0)</f>
        <v>0</v>
      </c>
      <c r="X614" s="254">
        <f>IF(B614="COM",N614,0)</f>
        <v>0</v>
      </c>
      <c r="Y614" s="254">
        <f>IF(D614="O",IF(X614&lt;0,X614,0),0)</f>
        <v>0</v>
      </c>
      <c r="Z614" s="254">
        <f>IF(B614="IND",N614,0)</f>
        <v>-1</v>
      </c>
      <c r="AA614" s="250">
        <f>IF(D614="O",IF(Z614&lt;0,Z614,0),0)</f>
        <v>0</v>
      </c>
      <c r="AB614" s="254">
        <f>IF(B614="CRYPTO",N614,0)</f>
        <v>0</v>
      </c>
      <c r="AC614" s="250">
        <f>IF(D614="O",IF(AB614&lt;0,AB614,0),0)</f>
        <v>0</v>
      </c>
      <c r="AD614" s="255">
        <f>IF(K614&lt;&gt;"",K614-E614,0)</f>
        <v>0.14236111110949423</v>
      </c>
      <c r="AE614" s="255">
        <f>IF(N614&gt;0,AD614,0)</f>
        <v>0</v>
      </c>
      <c r="AF614" s="255">
        <f>IF(N614&lt;0,AD614,0)</f>
        <v>0.14236111110949423</v>
      </c>
      <c r="AG614" s="255">
        <f>IF(N614=0,AD614,0)</f>
        <v>0</v>
      </c>
    </row>
    <row r="615" spans="2:33" ht="15" customHeight="1" x14ac:dyDescent="0.3">
      <c r="B615" s="196" t="s">
        <v>7</v>
      </c>
      <c r="C615" s="197" t="s">
        <v>13</v>
      </c>
      <c r="D615" s="246" t="str">
        <f>IF(E615&lt;&gt;"",IF(K615&lt;&gt;"","C","O"),"")</f>
        <v>C</v>
      </c>
      <c r="E615" s="199">
        <v>44656.572916666664</v>
      </c>
      <c r="F615" s="200" t="s">
        <v>114</v>
      </c>
      <c r="G615" s="235">
        <v>1.0958399999999999</v>
      </c>
      <c r="H615" s="235">
        <v>1.09758</v>
      </c>
      <c r="I615" s="247">
        <f>ABS(G615-H615)</f>
        <v>1.7400000000000748E-3</v>
      </c>
      <c r="J615" s="235">
        <v>1.0801799999999999</v>
      </c>
      <c r="K615" s="199">
        <v>44656.592361111114</v>
      </c>
      <c r="L615" s="235">
        <v>1.09758</v>
      </c>
      <c r="M615" s="248">
        <f>ROUND(IF(C615="L",(L615-G615),(G615-L615)),4)</f>
        <v>-1.6999999999999999E-3</v>
      </c>
      <c r="N615" s="249">
        <f>IFERROR(ROUND((M615/I615),2),"")</f>
        <v>-0.98</v>
      </c>
      <c r="O615" s="250">
        <f>IF(D615="O",IF(N615&lt;0,N615,0),0)</f>
        <v>0</v>
      </c>
      <c r="P615" s="251">
        <f>IF(N615&gt;= 0,N615,0)</f>
        <v>0</v>
      </c>
      <c r="Q615" s="251">
        <f>IF(N615&lt;0,N615,0)</f>
        <v>-0.98</v>
      </c>
      <c r="R6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26170</v>
      </c>
      <c r="T6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5" s="253">
        <f ca="1">IF(Tabla33610673[[#This Row],[Equity]]&lt;Tabla33610673[[#This Row],[Equity Peak]],(Tabla33610673[[#This Row],[Equity Peak]]-Tabla33610673[[#This Row],[Equity]])/Tabla33610673[[#This Row],[Equity Peak]],"")</f>
        <v>2.2193991929457479E-2</v>
      </c>
      <c r="V615" s="254">
        <f>IF(B615="FX",N615,0)</f>
        <v>-0.98</v>
      </c>
      <c r="W615" s="254">
        <f>IF(D615="O",IF(V615&lt;0,V615,0),0)</f>
        <v>0</v>
      </c>
      <c r="X615" s="254">
        <f>IF(B615="COM",N615,0)</f>
        <v>0</v>
      </c>
      <c r="Y615" s="254">
        <f>IF(D615="O",IF(X615&lt;0,X615,0),0)</f>
        <v>0</v>
      </c>
      <c r="Z615" s="254">
        <f>IF(B615="IND",N615,0)</f>
        <v>0</v>
      </c>
      <c r="AA615" s="250">
        <f>IF(D615="O",IF(Z615&lt;0,Z615,0),0)</f>
        <v>0</v>
      </c>
      <c r="AB615" s="254">
        <f>IF(B615="CRYPTO",N615,0)</f>
        <v>0</v>
      </c>
      <c r="AC615" s="250">
        <f>IF(D615="O",IF(AB615&lt;0,AB615,0),0)</f>
        <v>0</v>
      </c>
      <c r="AD615" s="255">
        <f>IF(K615&lt;&gt;"",K615-E615,0)</f>
        <v>1.9444444449618459E-2</v>
      </c>
      <c r="AE615" s="255">
        <f>IF(N615&gt;0,AD615,0)</f>
        <v>0</v>
      </c>
      <c r="AF615" s="255">
        <f>IF(N615&lt;0,AD615,0)</f>
        <v>1.9444444449618459E-2</v>
      </c>
      <c r="AG615" s="255">
        <f>IF(N615=0,AD615,0)</f>
        <v>0</v>
      </c>
    </row>
    <row r="616" spans="2:33" ht="15" customHeight="1" x14ac:dyDescent="0.3">
      <c r="B616" s="196" t="s">
        <v>5</v>
      </c>
      <c r="C616" s="197" t="s">
        <v>15</v>
      </c>
      <c r="D616" s="246" t="str">
        <f>IF(E616&lt;&gt;"",IF(K616&lt;&gt;"","C","O"),"")</f>
        <v>C</v>
      </c>
      <c r="E616" s="199">
        <v>44655.958333333336</v>
      </c>
      <c r="F616" s="200" t="s">
        <v>92</v>
      </c>
      <c r="G616" s="235">
        <v>15160.79</v>
      </c>
      <c r="H616" s="235">
        <v>15129.1</v>
      </c>
      <c r="I616" s="247">
        <f>ABS(G616-H616)</f>
        <v>31.690000000000509</v>
      </c>
      <c r="J616" s="235">
        <v>15752.28</v>
      </c>
      <c r="K616" s="199">
        <v>44656.531944444447</v>
      </c>
      <c r="L616" s="235">
        <v>15129.1</v>
      </c>
      <c r="M616" s="248">
        <f>ROUND(IF(C616="L",(L616-G616),(G616-L616)),4)</f>
        <v>-31.69</v>
      </c>
      <c r="N616" s="249">
        <f>IFERROR(ROUND((M616/I616),2),"")</f>
        <v>-1</v>
      </c>
      <c r="O616" s="250">
        <f>IF(D616="O",IF(N616&lt;0,N616,0),0)</f>
        <v>0</v>
      </c>
      <c r="P616" s="251">
        <f>IF(N616&gt;= 0,N616,0)</f>
        <v>0</v>
      </c>
      <c r="Q616" s="251">
        <f>IF(N616&lt;0,N616,0)</f>
        <v>-1</v>
      </c>
      <c r="R6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26268</v>
      </c>
      <c r="T6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6" s="253">
        <f ca="1">IF(Tabla33610673[[#This Row],[Equity]]&lt;Tabla33610673[[#This Row],[Equity Peak]],(Tabla33610673[[#This Row],[Equity Peak]]-Tabla33610673[[#This Row],[Equity]])/Tabla33610673[[#This Row],[Equity Peak]],"")</f>
        <v>1.8532356897324763E-2</v>
      </c>
      <c r="V616" s="254">
        <f>IF(B616="FX",N616,0)</f>
        <v>0</v>
      </c>
      <c r="W616" s="254">
        <f>IF(D616="O",IF(V616&lt;0,V616,0),0)</f>
        <v>0</v>
      </c>
      <c r="X616" s="254">
        <f>IF(B616="COM",N616,0)</f>
        <v>0</v>
      </c>
      <c r="Y616" s="254">
        <f>IF(D616="O",IF(X616&lt;0,X616,0),0)</f>
        <v>0</v>
      </c>
      <c r="Z616" s="254">
        <f>IF(B616="IND",N616,0)</f>
        <v>-1</v>
      </c>
      <c r="AA616" s="250">
        <f>IF(D616="O",IF(Z616&lt;0,Z616,0),0)</f>
        <v>0</v>
      </c>
      <c r="AB616" s="254">
        <f>IF(B616="CRYPTO",N616,0)</f>
        <v>0</v>
      </c>
      <c r="AC616" s="250">
        <f>IF(D616="O",IF(AB616&lt;0,AB616,0),0)</f>
        <v>0</v>
      </c>
      <c r="AD616" s="255">
        <f>IF(K616&lt;&gt;"",K616-E616,0)</f>
        <v>0.57361111111094942</v>
      </c>
      <c r="AE616" s="255">
        <f>IF(N616&gt;0,AD616,0)</f>
        <v>0</v>
      </c>
      <c r="AF616" s="255">
        <f>IF(N616&lt;0,AD616,0)</f>
        <v>0.57361111111094942</v>
      </c>
      <c r="AG616" s="255">
        <f>IF(N616=0,AD616,0)</f>
        <v>0</v>
      </c>
    </row>
    <row r="617" spans="2:33" ht="15" customHeight="1" x14ac:dyDescent="0.3">
      <c r="B617" s="196" t="s">
        <v>5</v>
      </c>
      <c r="C617" s="197" t="s">
        <v>15</v>
      </c>
      <c r="D617" s="246" t="str">
        <f>IF(E617&lt;&gt;"",IF(K617&lt;&gt;"","C","O"),"")</f>
        <v>C</v>
      </c>
      <c r="E617" s="199">
        <v>44656.447916666664</v>
      </c>
      <c r="F617" s="200" t="s">
        <v>93</v>
      </c>
      <c r="G617" s="235">
        <v>15185.88</v>
      </c>
      <c r="H617" s="235">
        <v>15158.59</v>
      </c>
      <c r="I617" s="247">
        <f>ABS(G617-H617)</f>
        <v>27.289999999999054</v>
      </c>
      <c r="J617" s="235">
        <v>15476.98</v>
      </c>
      <c r="K617" s="199">
        <v>44656.495138888888</v>
      </c>
      <c r="L617" s="235">
        <v>15158.59</v>
      </c>
      <c r="M617" s="248">
        <f>ROUND(IF(C617="L",(L617-G617),(G617-L617)),4)</f>
        <v>-27.29</v>
      </c>
      <c r="N617" s="249">
        <f>IFERROR(ROUND((M617/I617),2),"")</f>
        <v>-1</v>
      </c>
      <c r="O617" s="250">
        <f>IF(D617="O",IF(N617&lt;0,N617,0),0)</f>
        <v>0</v>
      </c>
      <c r="P617" s="251">
        <f>IF(N617&gt;= 0,N617,0)</f>
        <v>0</v>
      </c>
      <c r="Q617" s="251">
        <f>IF(N617&lt;0,N617,0)</f>
        <v>-1</v>
      </c>
      <c r="R6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26368</v>
      </c>
      <c r="T6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7" s="253">
        <f ca="1">IF(Tabla33610673[[#This Row],[Equity]]&lt;Tabla33610673[[#This Row],[Equity Peak]],(Tabla33610673[[#This Row],[Equity Peak]]-Tabla33610673[[#This Row],[Equity]])/Tabla33610673[[#This Row],[Equity Peak]],"")</f>
        <v>1.479599461963832E-2</v>
      </c>
      <c r="V617" s="254">
        <f>IF(B617="FX",N617,0)</f>
        <v>0</v>
      </c>
      <c r="W617" s="254">
        <f>IF(D617="O",IF(V617&lt;0,V617,0),0)</f>
        <v>0</v>
      </c>
      <c r="X617" s="254">
        <f>IF(B617="COM",N617,0)</f>
        <v>0</v>
      </c>
      <c r="Y617" s="254">
        <f>IF(D617="O",IF(X617&lt;0,X617,0),0)</f>
        <v>0</v>
      </c>
      <c r="Z617" s="254">
        <f>IF(B617="IND",N617,0)</f>
        <v>-1</v>
      </c>
      <c r="AA617" s="250">
        <f>IF(D617="O",IF(Z617&lt;0,Z617,0),0)</f>
        <v>0</v>
      </c>
      <c r="AB617" s="254">
        <f>IF(B617="CRYPTO",N617,0)</f>
        <v>0</v>
      </c>
      <c r="AC617" s="250">
        <f>IF(D617="O",IF(AB617&lt;0,AB617,0),0)</f>
        <v>0</v>
      </c>
      <c r="AD617" s="255">
        <f>IF(K617&lt;&gt;"",K617-E617,0)</f>
        <v>4.7222222223354038E-2</v>
      </c>
      <c r="AE617" s="255">
        <f>IF(N617&gt;0,AD617,0)</f>
        <v>0</v>
      </c>
      <c r="AF617" s="255">
        <f>IF(N617&lt;0,AD617,0)</f>
        <v>4.7222222223354038E-2</v>
      </c>
      <c r="AG617" s="255">
        <f>IF(N617=0,AD617,0)</f>
        <v>0</v>
      </c>
    </row>
    <row r="618" spans="2:33" ht="15" customHeight="1" x14ac:dyDescent="0.3">
      <c r="B618" s="196" t="s">
        <v>5</v>
      </c>
      <c r="C618" s="197" t="s">
        <v>15</v>
      </c>
      <c r="D618" s="246" t="str">
        <f>IF(E618&lt;&gt;"",IF(K618&lt;&gt;"","C","O"),"")</f>
        <v>C</v>
      </c>
      <c r="E618" s="199">
        <v>44655.958333333336</v>
      </c>
      <c r="F618" s="200" t="s">
        <v>93</v>
      </c>
      <c r="G618" s="235">
        <v>15160.79</v>
      </c>
      <c r="H618" s="235">
        <v>15130.43</v>
      </c>
      <c r="I618" s="247">
        <f>ABS(G618-H618)</f>
        <v>30.360000000000582</v>
      </c>
      <c r="J618" s="235">
        <v>15484.67</v>
      </c>
      <c r="K618" s="199">
        <v>44656.390277777777</v>
      </c>
      <c r="L618" s="235">
        <v>15130.43</v>
      </c>
      <c r="M618" s="248">
        <f>ROUND(IF(C618="L",(L618-G618),(G618-L618)),4)</f>
        <v>-30.36</v>
      </c>
      <c r="N618" s="249">
        <f>IFERROR(ROUND((M618/I618),2),"")</f>
        <v>-1</v>
      </c>
      <c r="O618" s="250">
        <f>IF(D618="O",IF(N618&lt;0,N618,0),0)</f>
        <v>0</v>
      </c>
      <c r="P618" s="251">
        <f>IF(N618&gt;= 0,N618,0)</f>
        <v>0</v>
      </c>
      <c r="Q618" s="251">
        <f>IF(N618&lt;0,N618,0)</f>
        <v>-1</v>
      </c>
      <c r="R6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26468</v>
      </c>
      <c r="T6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8" s="253">
        <f ca="1">IF(Tabla33610673[[#This Row],[Equity]]&lt;Tabla33610673[[#This Row],[Equity Peak]],(Tabla33610673[[#This Row],[Equity Peak]]-Tabla33610673[[#This Row],[Equity]])/Tabla33610673[[#This Row],[Equity Peak]],"")</f>
        <v>1.1059632341951876E-2</v>
      </c>
      <c r="V618" s="254">
        <f>IF(B618="FX",N618,0)</f>
        <v>0</v>
      </c>
      <c r="W618" s="254">
        <f>IF(D618="O",IF(V618&lt;0,V618,0),0)</f>
        <v>0</v>
      </c>
      <c r="X618" s="254">
        <f>IF(B618="COM",N618,0)</f>
        <v>0</v>
      </c>
      <c r="Y618" s="254">
        <f>IF(D618="O",IF(X618&lt;0,X618,0),0)</f>
        <v>0</v>
      </c>
      <c r="Z618" s="254">
        <f>IF(B618="IND",N618,0)</f>
        <v>-1</v>
      </c>
      <c r="AA618" s="250">
        <f>IF(D618="O",IF(Z618&lt;0,Z618,0),0)</f>
        <v>0</v>
      </c>
      <c r="AB618" s="254">
        <f>IF(B618="CRYPTO",N618,0)</f>
        <v>0</v>
      </c>
      <c r="AC618" s="250">
        <f>IF(D618="O",IF(AB618&lt;0,AB618,0),0)</f>
        <v>0</v>
      </c>
      <c r="AD618" s="255">
        <f>IF(K618&lt;&gt;"",K618-E618,0)</f>
        <v>0.43194444444088731</v>
      </c>
      <c r="AE618" s="255">
        <f>IF(N618&gt;0,AD618,0)</f>
        <v>0</v>
      </c>
      <c r="AF618" s="255">
        <f>IF(N618&lt;0,AD618,0)</f>
        <v>0.43194444444088731</v>
      </c>
      <c r="AG618" s="255">
        <f>IF(N618=0,AD618,0)</f>
        <v>0</v>
      </c>
    </row>
    <row r="619" spans="2:33" ht="15" customHeight="1" x14ac:dyDescent="0.3">
      <c r="B619" s="196" t="s">
        <v>7</v>
      </c>
      <c r="C619" s="197" t="s">
        <v>15</v>
      </c>
      <c r="D619" s="246" t="str">
        <f>IF(E619&lt;&gt;"",IF(K619&lt;&gt;"","C","O"),"")</f>
        <v>C</v>
      </c>
      <c r="E619" s="199">
        <v>44655.71875</v>
      </c>
      <c r="F619" s="200" t="s">
        <v>115</v>
      </c>
      <c r="G619" s="235">
        <v>161.215</v>
      </c>
      <c r="H619" s="235">
        <v>160.708</v>
      </c>
      <c r="I619" s="247">
        <f>ABS(G619-H619)</f>
        <v>0.507000000000005</v>
      </c>
      <c r="J619" s="235">
        <v>162.66300000000001</v>
      </c>
      <c r="K619" s="199">
        <v>44656.156944444447</v>
      </c>
      <c r="L619" s="235">
        <v>160.708</v>
      </c>
      <c r="M619" s="248">
        <f>ROUND(IF(C619="L",(L619-G619),(G619-L619)),4)</f>
        <v>-0.50700000000000001</v>
      </c>
      <c r="N619" s="249">
        <f>IFERROR(ROUND((M619/I619),2),"")</f>
        <v>-1</v>
      </c>
      <c r="O619" s="250">
        <f>IF(D619="O",IF(N619&lt;0,N619,0),0)</f>
        <v>0</v>
      </c>
      <c r="P619" s="251">
        <f>IF(N619&gt;= 0,N619,0)</f>
        <v>0</v>
      </c>
      <c r="Q619" s="251">
        <f>IF(N619&lt;0,N619,0)</f>
        <v>-1</v>
      </c>
      <c r="R6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26568</v>
      </c>
      <c r="T6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19" s="253">
        <f ca="1">IF(Tabla33610673[[#This Row],[Equity]]&lt;Tabla33610673[[#This Row],[Equity Peak]],(Tabla33610673[[#This Row],[Equity Peak]]-Tabla33610673[[#This Row],[Equity]])/Tabla33610673[[#This Row],[Equity Peak]],"")</f>
        <v>7.3232700642654313E-3</v>
      </c>
      <c r="V619" s="254">
        <f>IF(B619="FX",N619,0)</f>
        <v>-1</v>
      </c>
      <c r="W619" s="254">
        <f>IF(D619="O",IF(V619&lt;0,V619,0),0)</f>
        <v>0</v>
      </c>
      <c r="X619" s="254">
        <f>IF(B619="COM",N619,0)</f>
        <v>0</v>
      </c>
      <c r="Y619" s="254">
        <f>IF(D619="O",IF(X619&lt;0,X619,0),0)</f>
        <v>0</v>
      </c>
      <c r="Z619" s="254">
        <f>IF(B619="IND",N619,0)</f>
        <v>0</v>
      </c>
      <c r="AA619" s="250">
        <f>IF(D619="O",IF(Z619&lt;0,Z619,0),0)</f>
        <v>0</v>
      </c>
      <c r="AB619" s="254">
        <f>IF(B619="CRYPTO",N619,0)</f>
        <v>0</v>
      </c>
      <c r="AC619" s="250">
        <f>IF(D619="O",IF(AB619&lt;0,AB619,0),0)</f>
        <v>0</v>
      </c>
      <c r="AD619" s="255">
        <f>IF(K619&lt;&gt;"",K619-E619,0)</f>
        <v>0.43819444444670808</v>
      </c>
      <c r="AE619" s="255">
        <f>IF(N619&gt;0,AD619,0)</f>
        <v>0</v>
      </c>
      <c r="AF619" s="255">
        <f>IF(N619&lt;0,AD619,0)</f>
        <v>0.43819444444670808</v>
      </c>
      <c r="AG619" s="255">
        <f>IF(N619=0,AD619,0)</f>
        <v>0</v>
      </c>
    </row>
    <row r="620" spans="2:33" ht="15" customHeight="1" x14ac:dyDescent="0.3">
      <c r="B620" s="196" t="s">
        <v>7</v>
      </c>
      <c r="C620" s="197" t="s">
        <v>15</v>
      </c>
      <c r="D620" s="246" t="str">
        <f>IF(E620&lt;&gt;"",IF(K620&lt;&gt;"","C","O"),"")</f>
        <v>C</v>
      </c>
      <c r="E620" s="199">
        <v>44652.25</v>
      </c>
      <c r="F620" s="200" t="s">
        <v>115</v>
      </c>
      <c r="G620" s="235">
        <v>160.983</v>
      </c>
      <c r="H620" s="235">
        <v>160.375</v>
      </c>
      <c r="I620" s="247">
        <f>ABS(G620-H620)</f>
        <v>0.60800000000000409</v>
      </c>
      <c r="J620" s="235">
        <v>162.71899999999999</v>
      </c>
      <c r="K620" s="199">
        <v>44652.850694444445</v>
      </c>
      <c r="L620" s="235">
        <v>160.39699999999999</v>
      </c>
      <c r="M620" s="248">
        <f>ROUND(IF(C620="L",(L620-G620),(G620-L620)),4)</f>
        <v>-0.58599999999999997</v>
      </c>
      <c r="N620" s="249">
        <f>IFERROR(ROUND((M620/I620),2),"")</f>
        <v>-0.96</v>
      </c>
      <c r="O620" s="250">
        <f>IF(D620="O",IF(N620&lt;0,N620,0),0)</f>
        <v>0</v>
      </c>
      <c r="P620" s="251">
        <f>IF(N620&gt;= 0,N620,0)</f>
        <v>0</v>
      </c>
      <c r="Q620" s="251">
        <f>IF(N620&lt;0,N620,0)</f>
        <v>-0.96</v>
      </c>
      <c r="R6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26668</v>
      </c>
      <c r="T6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20" s="253">
        <f ca="1">IF(Tabla33610673[[#This Row],[Equity]]&lt;Tabla33610673[[#This Row],[Equity Peak]],(Tabla33610673[[#This Row],[Equity Peak]]-Tabla33610673[[#This Row],[Equity]])/Tabla33610673[[#This Row],[Equity Peak]],"")</f>
        <v>3.5869077865789867E-3</v>
      </c>
      <c r="V620" s="254">
        <f>IF(B620="FX",N620,0)</f>
        <v>-0.96</v>
      </c>
      <c r="W620" s="254">
        <f>IF(D620="O",IF(V620&lt;0,V620,0),0)</f>
        <v>0</v>
      </c>
      <c r="X620" s="254">
        <f>IF(B620="COM",N620,0)</f>
        <v>0</v>
      </c>
      <c r="Y620" s="254">
        <f>IF(D620="O",IF(X620&lt;0,X620,0),0)</f>
        <v>0</v>
      </c>
      <c r="Z620" s="254">
        <f>IF(B620="IND",N620,0)</f>
        <v>0</v>
      </c>
      <c r="AA620" s="250">
        <f>IF(D620="O",IF(Z620&lt;0,Z620,0),0)</f>
        <v>0</v>
      </c>
      <c r="AB620" s="254">
        <f>IF(B620="CRYPTO",N620,0)</f>
        <v>0</v>
      </c>
      <c r="AC620" s="250">
        <f>IF(D620="O",IF(AB620&lt;0,AB620,0),0)</f>
        <v>0</v>
      </c>
      <c r="AD620" s="255">
        <f>IF(K620&lt;&gt;"",K620-E620,0)</f>
        <v>0.60069444444525288</v>
      </c>
      <c r="AE620" s="255">
        <f>IF(N620&gt;0,AD620,0)</f>
        <v>0</v>
      </c>
      <c r="AF620" s="255">
        <f>IF(N620&lt;0,AD620,0)</f>
        <v>0.60069444444525288</v>
      </c>
      <c r="AG620" s="255">
        <f>IF(N620=0,AD620,0)</f>
        <v>0</v>
      </c>
    </row>
    <row r="621" spans="2:33" ht="15" customHeight="1" x14ac:dyDescent="0.3">
      <c r="B621" s="196" t="s">
        <v>7</v>
      </c>
      <c r="C621" s="197" t="s">
        <v>15</v>
      </c>
      <c r="D621" s="246" t="str">
        <f>IF(E621&lt;&gt;"",IF(K621&lt;&gt;"","C","O"),"")</f>
        <v>C</v>
      </c>
      <c r="E621" s="199">
        <v>44649.5625</v>
      </c>
      <c r="F621" s="200" t="s">
        <v>114</v>
      </c>
      <c r="G621" s="235">
        <v>1.10511</v>
      </c>
      <c r="H621" s="235">
        <v>1.1025100000000001</v>
      </c>
      <c r="I621" s="247">
        <f>ABS(G621-H621)</f>
        <v>2.5999999999999357E-3</v>
      </c>
      <c r="J621" s="235">
        <v>1.1284799999999999</v>
      </c>
      <c r="K621" s="199">
        <v>44651.313888888886</v>
      </c>
      <c r="L621" s="235">
        <v>1.1158399999999999</v>
      </c>
      <c r="M621" s="248">
        <f>ROUND(IF(C621="L",(L621-G621),(G621-L621)),4)</f>
        <v>1.0699999999999999E-2</v>
      </c>
      <c r="N621" s="249">
        <f>IFERROR(ROUND((M621/I621),2),"")</f>
        <v>4.12</v>
      </c>
      <c r="O621" s="250">
        <f>IF(D621="O",IF(N621&lt;0,N621,0),0)</f>
        <v>0</v>
      </c>
      <c r="P621" s="251">
        <f>IF(N621&gt;= 0,N621,0)</f>
        <v>4.12</v>
      </c>
      <c r="Q621" s="251">
        <f>IF(N621&lt;0,N621,0)</f>
        <v>0</v>
      </c>
      <c r="R6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26764</v>
      </c>
      <c r="T6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26764</v>
      </c>
      <c r="U62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21" s="254">
        <f>IF(B621="FX",N621,0)</f>
        <v>4.12</v>
      </c>
      <c r="W621" s="254">
        <f>IF(D621="O",IF(V621&lt;0,V621,0),0)</f>
        <v>0</v>
      </c>
      <c r="X621" s="254">
        <f>IF(B621="COM",N621,0)</f>
        <v>0</v>
      </c>
      <c r="Y621" s="254">
        <f>IF(D621="O",IF(X621&lt;0,X621,0),0)</f>
        <v>0</v>
      </c>
      <c r="Z621" s="254">
        <f>IF(B621="IND",N621,0)</f>
        <v>0</v>
      </c>
      <c r="AA621" s="250">
        <f>IF(D621="O",IF(Z621&lt;0,Z621,0),0)</f>
        <v>0</v>
      </c>
      <c r="AB621" s="254">
        <f>IF(B621="CRYPTO",N621,0)</f>
        <v>0</v>
      </c>
      <c r="AC621" s="250">
        <f>IF(D621="O",IF(AB621&lt;0,AB621,0),0)</f>
        <v>0</v>
      </c>
      <c r="AD621" s="255">
        <f>IF(K621&lt;&gt;"",K621-E621,0)</f>
        <v>1.7513888888861402</v>
      </c>
      <c r="AE621" s="255">
        <f>IF(N621&gt;0,AD621,0)</f>
        <v>1.7513888888861402</v>
      </c>
      <c r="AF621" s="255">
        <f>IF(N621&lt;0,AD621,0)</f>
        <v>0</v>
      </c>
      <c r="AG621" s="255">
        <f>IF(N621=0,AD621,0)</f>
        <v>0</v>
      </c>
    </row>
    <row r="622" spans="2:33" ht="15" customHeight="1" x14ac:dyDescent="0.3">
      <c r="B622" s="196" t="s">
        <v>7</v>
      </c>
      <c r="C622" s="197" t="s">
        <v>13</v>
      </c>
      <c r="D622" s="246" t="str">
        <f>IF(E622&lt;&gt;"",IF(K622&lt;&gt;"","C","O"),"")</f>
        <v>C</v>
      </c>
      <c r="E622" s="199">
        <v>44649.708333333336</v>
      </c>
      <c r="F622" s="200" t="s">
        <v>115</v>
      </c>
      <c r="G622" s="235">
        <v>160.577</v>
      </c>
      <c r="H622" s="235">
        <v>161.524</v>
      </c>
      <c r="I622" s="247">
        <f>ABS(G622-H622)</f>
        <v>0.94700000000000273</v>
      </c>
      <c r="J622" s="235">
        <v>157.87200000000001</v>
      </c>
      <c r="K622" s="199">
        <v>44650.681250000001</v>
      </c>
      <c r="L622" s="235">
        <v>160.62700000000001</v>
      </c>
      <c r="M622" s="248">
        <f>ROUND(IF(C622="L",(L622-G622),(G622-L622)),4)</f>
        <v>-0.05</v>
      </c>
      <c r="N622" s="249">
        <f>IFERROR(ROUND((M622/I622),2),"")</f>
        <v>-0.05</v>
      </c>
      <c r="O622" s="250">
        <f>IF(D622="O",IF(N622&lt;0,N622,0),0)</f>
        <v>0</v>
      </c>
      <c r="P622" s="251">
        <f>IF(N622&gt;= 0,N622,0)</f>
        <v>0</v>
      </c>
      <c r="Q622" s="251">
        <f>IF(N622&lt;0,N622,0)</f>
        <v>-0.05</v>
      </c>
      <c r="R6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26352</v>
      </c>
      <c r="T6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2" s="253">
        <f ca="1">IF(Tabla33610673[[#This Row],[Equity]]&lt;Tabla33610673[[#This Row],[Equity Peak]],(Tabla33610673[[#This Row],[Equity Peak]]-Tabla33610673[[#This Row],[Equity]])/Tabla33610673[[#This Row],[Equity Peak]],"")</f>
        <v>6.8259385665529011E-4</v>
      </c>
      <c r="V622" s="254">
        <f>IF(B622="FX",N622,0)</f>
        <v>-0.05</v>
      </c>
      <c r="W622" s="254">
        <f>IF(D622="O",IF(V622&lt;0,V622,0),0)</f>
        <v>0</v>
      </c>
      <c r="X622" s="254">
        <f>IF(B622="COM",N622,0)</f>
        <v>0</v>
      </c>
      <c r="Y622" s="254">
        <f>IF(D622="O",IF(X622&lt;0,X622,0),0)</f>
        <v>0</v>
      </c>
      <c r="Z622" s="254">
        <f>IF(B622="IND",N622,0)</f>
        <v>0</v>
      </c>
      <c r="AA622" s="250">
        <f>IF(D622="O",IF(Z622&lt;0,Z622,0),0)</f>
        <v>0</v>
      </c>
      <c r="AB622" s="254">
        <f>IF(B622="CRYPTO",N622,0)</f>
        <v>0</v>
      </c>
      <c r="AC622" s="250">
        <f>IF(D622="O",IF(AB622&lt;0,AB622,0),0)</f>
        <v>0</v>
      </c>
      <c r="AD622" s="255">
        <f>IF(K622&lt;&gt;"",K622-E622,0)</f>
        <v>0.97291666666569654</v>
      </c>
      <c r="AE622" s="255">
        <f>IF(N622&gt;0,AD622,0)</f>
        <v>0</v>
      </c>
      <c r="AF622" s="255">
        <f>IF(N622&lt;0,AD622,0)</f>
        <v>0.97291666666569654</v>
      </c>
      <c r="AG622" s="255">
        <f>IF(N622=0,AD622,0)</f>
        <v>0</v>
      </c>
    </row>
    <row r="623" spans="2:33" ht="15" customHeight="1" x14ac:dyDescent="0.3">
      <c r="B623" s="196" t="s">
        <v>5</v>
      </c>
      <c r="C623" s="197" t="s">
        <v>15</v>
      </c>
      <c r="D623" s="246" t="str">
        <f>IF(E623&lt;&gt;"",IF(K623&lt;&gt;"","C","O"),"")</f>
        <v>C</v>
      </c>
      <c r="E623" s="199">
        <v>44649.625</v>
      </c>
      <c r="F623" s="200" t="s">
        <v>91</v>
      </c>
      <c r="G623" s="235">
        <v>14798.77</v>
      </c>
      <c r="H623" s="235">
        <v>14752.04</v>
      </c>
      <c r="I623" s="247">
        <f>ABS(G623-H623)</f>
        <v>46.729999999999563</v>
      </c>
      <c r="J623" s="235">
        <v>15671.01</v>
      </c>
      <c r="K623" s="199">
        <v>44649.717361111114</v>
      </c>
      <c r="L623" s="235">
        <v>14798.65</v>
      </c>
      <c r="M623" s="248">
        <f>ROUND(IF(C623="L",(L623-G623),(G623-L623)),4)</f>
        <v>-0.12</v>
      </c>
      <c r="N623" s="249">
        <f>IFERROR(ROUND((M623/I623),2),"")</f>
        <v>0</v>
      </c>
      <c r="O623" s="250">
        <f>IF(D623="O",IF(N623&lt;0,N623,0),0)</f>
        <v>0</v>
      </c>
      <c r="P623" s="251">
        <f>IF(N623&gt;= 0,N623,0)</f>
        <v>0</v>
      </c>
      <c r="Q623" s="251">
        <f>IF(N623&lt;0,N623,0)</f>
        <v>0</v>
      </c>
      <c r="R6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26357</v>
      </c>
      <c r="T6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3" s="253">
        <f ca="1">IF(Tabla33610673[[#This Row],[Equity]]&lt;Tabla33610673[[#This Row],[Equity Peak]],(Tabla33610673[[#This Row],[Equity Peak]]-Tabla33610673[[#This Row],[Equity]])/Tabla33610673[[#This Row],[Equity Peak]],"")</f>
        <v>4.9298445202882065E-4</v>
      </c>
      <c r="V623" s="254">
        <f>IF(B623="FX",N623,0)</f>
        <v>0</v>
      </c>
      <c r="W623" s="254">
        <f>IF(D623="O",IF(V623&lt;0,V623,0),0)</f>
        <v>0</v>
      </c>
      <c r="X623" s="254">
        <f>IF(B623="COM",N623,0)</f>
        <v>0</v>
      </c>
      <c r="Y623" s="254">
        <f>IF(D623="O",IF(X623&lt;0,X623,0),0)</f>
        <v>0</v>
      </c>
      <c r="Z623" s="254">
        <f>IF(B623="IND",N623,0)</f>
        <v>0</v>
      </c>
      <c r="AA623" s="250">
        <f>IF(D623="O",IF(Z623&lt;0,Z623,0),0)</f>
        <v>0</v>
      </c>
      <c r="AB623" s="254">
        <f>IF(B623="CRYPTO",N623,0)</f>
        <v>0</v>
      </c>
      <c r="AC623" s="250">
        <f>IF(D623="O",IF(AB623&lt;0,AB623,0),0)</f>
        <v>0</v>
      </c>
      <c r="AD623" s="255">
        <f>IF(K623&lt;&gt;"",K623-E623,0)</f>
        <v>9.2361111113859806E-2</v>
      </c>
      <c r="AE623" s="255">
        <f>IF(N623&gt;0,AD623,0)</f>
        <v>0</v>
      </c>
      <c r="AF623" s="255">
        <f>IF(N623&lt;0,AD623,0)</f>
        <v>0</v>
      </c>
      <c r="AG623" s="255">
        <f>IF(N623=0,AD623,0)</f>
        <v>9.2361111113859806E-2</v>
      </c>
    </row>
    <row r="624" spans="2:33" ht="15" customHeight="1" x14ac:dyDescent="0.3">
      <c r="B624" s="196" t="s">
        <v>5</v>
      </c>
      <c r="C624" s="197" t="s">
        <v>15</v>
      </c>
      <c r="D624" s="246" t="str">
        <f>IF(E624&lt;&gt;"",IF(K624&lt;&gt;"","C","O"),"")</f>
        <v>C</v>
      </c>
      <c r="E624" s="199">
        <v>44648.916666666664</v>
      </c>
      <c r="F624" s="200" t="s">
        <v>92</v>
      </c>
      <c r="G624" s="235">
        <v>14935.78</v>
      </c>
      <c r="H624" s="235">
        <v>14891.38</v>
      </c>
      <c r="I624" s="247">
        <f>ABS(G624-H624)</f>
        <v>44.400000000001455</v>
      </c>
      <c r="J624" s="235">
        <v>15764.59</v>
      </c>
      <c r="K624" s="199">
        <v>44649.717361111114</v>
      </c>
      <c r="L624" s="235">
        <v>15049.94</v>
      </c>
      <c r="M624" s="248">
        <f>ROUND(IF(C624="L",(L624-G624),(G624-L624)),4)</f>
        <v>114.16</v>
      </c>
      <c r="N624" s="249">
        <f>IFERROR(ROUND((M624/I624),2),"")</f>
        <v>2.57</v>
      </c>
      <c r="O624" s="250">
        <f>IF(D624="O",IF(N624&lt;0,N624,0),0)</f>
        <v>0</v>
      </c>
      <c r="P624" s="251">
        <f>IF(N624&gt;= 0,N624,0)</f>
        <v>2.57</v>
      </c>
      <c r="Q624" s="251">
        <f>IF(N624&lt;0,N624,0)</f>
        <v>0</v>
      </c>
      <c r="R6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26357</v>
      </c>
      <c r="T6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4" s="253">
        <f ca="1">IF(Tabla33610673[[#This Row],[Equity]]&lt;Tabla33610673[[#This Row],[Equity Peak]],(Tabla33610673[[#This Row],[Equity Peak]]-Tabla33610673[[#This Row],[Equity]])/Tabla33610673[[#This Row],[Equity Peak]],"")</f>
        <v>4.9298445202882065E-4</v>
      </c>
      <c r="V624" s="254">
        <f>IF(B624="FX",N624,0)</f>
        <v>0</v>
      </c>
      <c r="W624" s="254">
        <f>IF(D624="O",IF(V624&lt;0,V624,0),0)</f>
        <v>0</v>
      </c>
      <c r="X624" s="254">
        <f>IF(B624="COM",N624,0)</f>
        <v>0</v>
      </c>
      <c r="Y624" s="254">
        <f>IF(D624="O",IF(X624&lt;0,X624,0),0)</f>
        <v>0</v>
      </c>
      <c r="Z624" s="254">
        <f>IF(B624="IND",N624,0)</f>
        <v>2.57</v>
      </c>
      <c r="AA624" s="250">
        <f>IF(D624="O",IF(Z624&lt;0,Z624,0),0)</f>
        <v>0</v>
      </c>
      <c r="AB624" s="254">
        <f>IF(B624="CRYPTO",N624,0)</f>
        <v>0</v>
      </c>
      <c r="AC624" s="250">
        <f>IF(D624="O",IF(AB624&lt;0,AB624,0),0)</f>
        <v>0</v>
      </c>
      <c r="AD624" s="255">
        <f>IF(K624&lt;&gt;"",K624-E624,0)</f>
        <v>0.80069444444961846</v>
      </c>
      <c r="AE624" s="255">
        <f>IF(N624&gt;0,AD624,0)</f>
        <v>0.80069444444961846</v>
      </c>
      <c r="AF624" s="255">
        <f>IF(N624&lt;0,AD624,0)</f>
        <v>0</v>
      </c>
      <c r="AG624" s="255">
        <f>IF(N624=0,AD624,0)</f>
        <v>0</v>
      </c>
    </row>
    <row r="625" spans="2:33" ht="15" customHeight="1" x14ac:dyDescent="0.3">
      <c r="B625" s="196" t="s">
        <v>5</v>
      </c>
      <c r="C625" s="197" t="s">
        <v>15</v>
      </c>
      <c r="D625" s="246" t="str">
        <f>IF(E625&lt;&gt;"",IF(K625&lt;&gt;"","C","O"),"")</f>
        <v>C</v>
      </c>
      <c r="E625" s="199">
        <v>44648.916666666664</v>
      </c>
      <c r="F625" s="200" t="s">
        <v>93</v>
      </c>
      <c r="G625" s="235">
        <v>14935.78</v>
      </c>
      <c r="H625" s="235">
        <v>14891.78</v>
      </c>
      <c r="I625" s="247">
        <f>ABS(G625-H625)</f>
        <v>44</v>
      </c>
      <c r="J625" s="235">
        <v>15405.12</v>
      </c>
      <c r="K625" s="199">
        <v>44649.716666666667</v>
      </c>
      <c r="L625" s="235">
        <v>15067.82</v>
      </c>
      <c r="M625" s="248">
        <f>ROUND(IF(C625="L",(L625-G625),(G625-L625)),4)</f>
        <v>132.04</v>
      </c>
      <c r="N625" s="249">
        <f>IFERROR(ROUND((M625/I625),2),"")</f>
        <v>3</v>
      </c>
      <c r="O625" s="250">
        <f>IF(D625="O",IF(N625&lt;0,N625,0),0)</f>
        <v>0</v>
      </c>
      <c r="P625" s="251">
        <f>IF(N625&gt;= 0,N625,0)</f>
        <v>3</v>
      </c>
      <c r="Q625" s="251">
        <f>IF(N625&lt;0,N625,0)</f>
        <v>0</v>
      </c>
      <c r="R6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26100</v>
      </c>
      <c r="T6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5" s="253">
        <f ca="1">IF(Tabla33610673[[#This Row],[Equity]]&lt;Tabla33610673[[#This Row],[Equity Peak]],(Tabla33610673[[#This Row],[Equity Peak]]-Tabla33610673[[#This Row],[Equity]])/Tabla33610673[[#This Row],[Equity Peak]],"")</f>
        <v>1.0238907849829351E-2</v>
      </c>
      <c r="V625" s="254">
        <f>IF(B625="FX",N625,0)</f>
        <v>0</v>
      </c>
      <c r="W625" s="254">
        <f>IF(D625="O",IF(V625&lt;0,V625,0),0)</f>
        <v>0</v>
      </c>
      <c r="X625" s="254">
        <f>IF(B625="COM",N625,0)</f>
        <v>0</v>
      </c>
      <c r="Y625" s="254">
        <f>IF(D625="O",IF(X625&lt;0,X625,0),0)</f>
        <v>0</v>
      </c>
      <c r="Z625" s="254">
        <f>IF(B625="IND",N625,0)</f>
        <v>3</v>
      </c>
      <c r="AA625" s="250">
        <f>IF(D625="O",IF(Z625&lt;0,Z625,0),0)</f>
        <v>0</v>
      </c>
      <c r="AB625" s="254">
        <f>IF(B625="CRYPTO",N625,0)</f>
        <v>0</v>
      </c>
      <c r="AC625" s="250">
        <f>IF(D625="O",IF(AB625&lt;0,AB625,0),0)</f>
        <v>0</v>
      </c>
      <c r="AD625" s="255">
        <f>IF(K625&lt;&gt;"",K625-E625,0)</f>
        <v>0.80000000000291038</v>
      </c>
      <c r="AE625" s="255">
        <f>IF(N625&gt;0,AD625,0)</f>
        <v>0.80000000000291038</v>
      </c>
      <c r="AF625" s="255">
        <f>IF(N625&lt;0,AD625,0)</f>
        <v>0</v>
      </c>
      <c r="AG625" s="255">
        <f>IF(N625=0,AD625,0)</f>
        <v>0</v>
      </c>
    </row>
    <row r="626" spans="2:33" ht="15" customHeight="1" x14ac:dyDescent="0.3">
      <c r="B626" s="196" t="s">
        <v>19</v>
      </c>
      <c r="C626" s="197" t="s">
        <v>13</v>
      </c>
      <c r="D626" s="246" t="str">
        <f>IF(E626&lt;&gt;"",IF(K626&lt;&gt;"","C","O"),"")</f>
        <v>C</v>
      </c>
      <c r="E626" s="199">
        <v>44649.65625</v>
      </c>
      <c r="F626" s="200" t="s">
        <v>88</v>
      </c>
      <c r="G626" s="235">
        <v>1891.53</v>
      </c>
      <c r="H626" s="235">
        <v>1895.94</v>
      </c>
      <c r="I626" s="247">
        <f>ABS(G626-H626)</f>
        <v>4.4100000000000819</v>
      </c>
      <c r="J626" s="235">
        <v>1838.67</v>
      </c>
      <c r="K626" s="199">
        <v>44649.661111111112</v>
      </c>
      <c r="L626" s="235">
        <v>1895.94</v>
      </c>
      <c r="M626" s="248">
        <f>ROUND(IF(C626="L",(L626-G626),(G626-L626)),4)</f>
        <v>-4.41</v>
      </c>
      <c r="N626" s="249">
        <f>IFERROR(ROUND((M626/I626),2),"")</f>
        <v>-1</v>
      </c>
      <c r="O626" s="250">
        <f>IF(D626="O",IF(N626&lt;0,N626,0),0)</f>
        <v>0</v>
      </c>
      <c r="P626" s="251">
        <f>IF(N626&gt;= 0,N626,0)</f>
        <v>0</v>
      </c>
      <c r="Q626" s="251">
        <f>IF(N626&lt;0,N626,0)</f>
        <v>-1</v>
      </c>
      <c r="R6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25800</v>
      </c>
      <c r="T6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6" s="253">
        <f ca="1">IF(Tabla33610673[[#This Row],[Equity]]&lt;Tabla33610673[[#This Row],[Equity Peak]],(Tabla33610673[[#This Row],[Equity Peak]]-Tabla33610673[[#This Row],[Equity]])/Tabla33610673[[#This Row],[Equity Peak]],"")</f>
        <v>2.1615472127417521E-2</v>
      </c>
      <c r="V626" s="254">
        <f>IF(B626="FX",N626,0)</f>
        <v>0</v>
      </c>
      <c r="W626" s="254">
        <f>IF(D626="O",IF(V626&lt;0,V626,0),0)</f>
        <v>0</v>
      </c>
      <c r="X626" s="254">
        <f>IF(B626="COM",N626,0)</f>
        <v>-1</v>
      </c>
      <c r="Y626" s="254">
        <f>IF(D626="O",IF(X626&lt;0,X626,0),0)</f>
        <v>0</v>
      </c>
      <c r="Z626" s="254">
        <f>IF(B626="IND",N626,0)</f>
        <v>0</v>
      </c>
      <c r="AA626" s="250">
        <f>IF(D626="O",IF(Z626&lt;0,Z626,0),0)</f>
        <v>0</v>
      </c>
      <c r="AB626" s="254">
        <f>IF(B626="CRYPTO",N626,0)</f>
        <v>0</v>
      </c>
      <c r="AC626" s="250">
        <f>IF(D626="O",IF(AB626&lt;0,AB626,0),0)</f>
        <v>0</v>
      </c>
      <c r="AD626" s="255">
        <f>IF(K626&lt;&gt;"",K626-E626,0)</f>
        <v>4.8611111124046147E-3</v>
      </c>
      <c r="AE626" s="255">
        <f>IF(N626&gt;0,AD626,0)</f>
        <v>0</v>
      </c>
      <c r="AF626" s="255">
        <f>IF(N626&lt;0,AD626,0)</f>
        <v>4.8611111124046147E-3</v>
      </c>
      <c r="AG626" s="255">
        <f>IF(N626=0,AD626,0)</f>
        <v>0</v>
      </c>
    </row>
    <row r="627" spans="2:33" ht="15" customHeight="1" x14ac:dyDescent="0.3">
      <c r="B627" s="196" t="s">
        <v>5</v>
      </c>
      <c r="C627" s="197" t="s">
        <v>15</v>
      </c>
      <c r="D627" s="246" t="str">
        <f>IF(E627&lt;&gt;"",IF(K627&lt;&gt;"","C","O"),"")</f>
        <v>C</v>
      </c>
      <c r="E627" s="199">
        <v>44649.510416666664</v>
      </c>
      <c r="F627" s="200" t="s">
        <v>91</v>
      </c>
      <c r="G627" s="235">
        <v>14676.27</v>
      </c>
      <c r="H627" s="235">
        <v>14631.9</v>
      </c>
      <c r="I627" s="247">
        <f>ABS(G627-H627)</f>
        <v>44.3700000000008</v>
      </c>
      <c r="J627" s="235">
        <v>15504.51</v>
      </c>
      <c r="K627" s="199">
        <v>44649.605555555558</v>
      </c>
      <c r="L627" s="235">
        <v>14639.86</v>
      </c>
      <c r="M627" s="248">
        <f>ROUND(IF(C627="L",(L627-G627),(G627-L627)),4)</f>
        <v>-36.409999999999997</v>
      </c>
      <c r="N627" s="249">
        <f>IFERROR(ROUND((M627/I627),2),"")</f>
        <v>-0.82</v>
      </c>
      <c r="O627" s="250">
        <f>IF(D627="O",IF(N627&lt;0,N627,0),0)</f>
        <v>0</v>
      </c>
      <c r="P627" s="251">
        <f>IF(N627&gt;= 0,N627,0)</f>
        <v>0</v>
      </c>
      <c r="Q627" s="251">
        <f>IF(N627&lt;0,N627,0)</f>
        <v>-0.82</v>
      </c>
      <c r="R6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25900</v>
      </c>
      <c r="T6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7" s="253">
        <f ca="1">IF(Tabla33610673[[#This Row],[Equity]]&lt;Tabla33610673[[#This Row],[Equity Peak]],(Tabla33610673[[#This Row],[Equity Peak]]-Tabla33610673[[#This Row],[Equity]])/Tabla33610673[[#This Row],[Equity Peak]],"")</f>
        <v>1.7823284034888129E-2</v>
      </c>
      <c r="V627" s="254">
        <f>IF(B627="FX",N627,0)</f>
        <v>0</v>
      </c>
      <c r="W627" s="254">
        <f>IF(D627="O",IF(V627&lt;0,V627,0),0)</f>
        <v>0</v>
      </c>
      <c r="X627" s="254">
        <f>IF(B627="COM",N627,0)</f>
        <v>0</v>
      </c>
      <c r="Y627" s="254">
        <f>IF(D627="O",IF(X627&lt;0,X627,0),0)</f>
        <v>0</v>
      </c>
      <c r="Z627" s="254">
        <f>IF(B627="IND",N627,0)</f>
        <v>-0.82</v>
      </c>
      <c r="AA627" s="250">
        <f>IF(D627="O",IF(Z627&lt;0,Z627,0),0)</f>
        <v>0</v>
      </c>
      <c r="AB627" s="254">
        <f>IF(B627="CRYPTO",N627,0)</f>
        <v>0</v>
      </c>
      <c r="AC627" s="250">
        <f>IF(D627="O",IF(AB627&lt;0,AB627,0),0)</f>
        <v>0</v>
      </c>
      <c r="AD627" s="255">
        <f>IF(K627&lt;&gt;"",K627-E627,0)</f>
        <v>9.5138888893416151E-2</v>
      </c>
      <c r="AE627" s="255">
        <f>IF(N627&gt;0,AD627,0)</f>
        <v>0</v>
      </c>
      <c r="AF627" s="255">
        <f>IF(N627&lt;0,AD627,0)</f>
        <v>9.5138888893416151E-2</v>
      </c>
      <c r="AG627" s="255">
        <f>IF(N627=0,AD627,0)</f>
        <v>0</v>
      </c>
    </row>
    <row r="628" spans="2:33" ht="15" customHeight="1" x14ac:dyDescent="0.3">
      <c r="B628" s="196" t="s">
        <v>5</v>
      </c>
      <c r="C628" s="197" t="s">
        <v>15</v>
      </c>
      <c r="D628" s="246" t="str">
        <f>IF(E628&lt;&gt;"",IF(K628&lt;&gt;"","C","O"),"")</f>
        <v>C</v>
      </c>
      <c r="E628" s="199">
        <v>44649.4375</v>
      </c>
      <c r="F628" s="200" t="s">
        <v>91</v>
      </c>
      <c r="G628" s="235">
        <v>14661.27</v>
      </c>
      <c r="H628" s="235">
        <v>14617.75</v>
      </c>
      <c r="I628" s="247">
        <f>ABS(G628-H628)</f>
        <v>43.520000000000437</v>
      </c>
      <c r="J628" s="235">
        <v>15473.67</v>
      </c>
      <c r="K628" s="199">
        <v>44649.442361111112</v>
      </c>
      <c r="L628" s="235">
        <v>14617.75</v>
      </c>
      <c r="M628" s="248">
        <f>ROUND(IF(C628="L",(L628-G628),(G628-L628)),4)</f>
        <v>-43.52</v>
      </c>
      <c r="N628" s="249">
        <f>IFERROR(ROUND((M628/I628),2),"")</f>
        <v>-1</v>
      </c>
      <c r="O628" s="250">
        <f>IF(D628="O",IF(N628&lt;0,N628,0),0)</f>
        <v>0</v>
      </c>
      <c r="P628" s="251">
        <f>IF(N628&gt;= 0,N628,0)</f>
        <v>0</v>
      </c>
      <c r="Q628" s="251">
        <f>IF(N628&lt;0,N628,0)</f>
        <v>-1</v>
      </c>
      <c r="R6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25982</v>
      </c>
      <c r="T6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8" s="253">
        <f ca="1">IF(Tabla33610673[[#This Row],[Equity]]&lt;Tabla33610673[[#This Row],[Equity Peak]],(Tabla33610673[[#This Row],[Equity Peak]]-Tabla33610673[[#This Row],[Equity]])/Tabla33610673[[#This Row],[Equity Peak]],"")</f>
        <v>1.4713689799014031E-2</v>
      </c>
      <c r="V628" s="254">
        <f>IF(B628="FX",N628,0)</f>
        <v>0</v>
      </c>
      <c r="W628" s="254">
        <f>IF(D628="O",IF(V628&lt;0,V628,0),0)</f>
        <v>0</v>
      </c>
      <c r="X628" s="254">
        <f>IF(B628="COM",N628,0)</f>
        <v>0</v>
      </c>
      <c r="Y628" s="254">
        <f>IF(D628="O",IF(X628&lt;0,X628,0),0)</f>
        <v>0</v>
      </c>
      <c r="Z628" s="254">
        <f>IF(B628="IND",N628,0)</f>
        <v>-1</v>
      </c>
      <c r="AA628" s="250">
        <f>IF(D628="O",IF(Z628&lt;0,Z628,0),0)</f>
        <v>0</v>
      </c>
      <c r="AB628" s="254">
        <f>IF(B628="CRYPTO",N628,0)</f>
        <v>0</v>
      </c>
      <c r="AC628" s="250">
        <f>IF(D628="O",IF(AB628&lt;0,AB628,0),0)</f>
        <v>0</v>
      </c>
      <c r="AD628" s="255">
        <f>IF(K628&lt;&gt;"",K628-E628,0)</f>
        <v>4.8611111124046147E-3</v>
      </c>
      <c r="AE628" s="255">
        <f>IF(N628&gt;0,AD628,0)</f>
        <v>0</v>
      </c>
      <c r="AF628" s="255">
        <f>IF(N628&lt;0,AD628,0)</f>
        <v>4.8611111124046147E-3</v>
      </c>
      <c r="AG628" s="255">
        <f>IF(N628=0,AD628,0)</f>
        <v>0</v>
      </c>
    </row>
    <row r="629" spans="2:33" ht="15" customHeight="1" x14ac:dyDescent="0.3">
      <c r="B629" s="196" t="s">
        <v>5</v>
      </c>
      <c r="C629" s="197" t="s">
        <v>15</v>
      </c>
      <c r="D629" s="246" t="str">
        <f>IF(E629&lt;&gt;"",IF(K629&lt;&gt;"","C","O"),"")</f>
        <v>C</v>
      </c>
      <c r="E629" s="199">
        <v>44648.697916666664</v>
      </c>
      <c r="F629" s="200" t="s">
        <v>93</v>
      </c>
      <c r="G629" s="235">
        <v>14852.65</v>
      </c>
      <c r="H629" s="235">
        <v>14807.13</v>
      </c>
      <c r="I629" s="247">
        <f>ABS(G629-H629)</f>
        <v>45.520000000000437</v>
      </c>
      <c r="J629" s="235">
        <v>15338.15</v>
      </c>
      <c r="K629" s="199">
        <v>44648.720833333333</v>
      </c>
      <c r="L629" s="235">
        <v>14807.13</v>
      </c>
      <c r="M629" s="248">
        <f>ROUND(IF(C629="L",(L629-G629),(G629-L629)),4)</f>
        <v>-45.52</v>
      </c>
      <c r="N629" s="249">
        <f>IFERROR(ROUND((M629/I629),2),"")</f>
        <v>-1</v>
      </c>
      <c r="O629" s="250">
        <f>IF(D629="O",IF(N629&lt;0,N629,0),0)</f>
        <v>0</v>
      </c>
      <c r="P629" s="251">
        <f>IF(N629&gt;= 0,N629,0)</f>
        <v>0</v>
      </c>
      <c r="Q629" s="251">
        <f>IF(N629&lt;0,N629,0)</f>
        <v>-1</v>
      </c>
      <c r="R6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26082</v>
      </c>
      <c r="T6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29" s="253">
        <f ca="1">IF(Tabla33610673[[#This Row],[Equity]]&lt;Tabla33610673[[#This Row],[Equity Peak]],(Tabla33610673[[#This Row],[Equity Peak]]-Tabla33610673[[#This Row],[Equity]])/Tabla33610673[[#This Row],[Equity Peak]],"")</f>
        <v>1.0921501706484642E-2</v>
      </c>
      <c r="V629" s="254">
        <f>IF(B629="FX",N629,0)</f>
        <v>0</v>
      </c>
      <c r="W629" s="254">
        <f>IF(D629="O",IF(V629&lt;0,V629,0),0)</f>
        <v>0</v>
      </c>
      <c r="X629" s="254">
        <f>IF(B629="COM",N629,0)</f>
        <v>0</v>
      </c>
      <c r="Y629" s="254">
        <f>IF(D629="O",IF(X629&lt;0,X629,0),0)</f>
        <v>0</v>
      </c>
      <c r="Z629" s="254">
        <f>IF(B629="IND",N629,0)</f>
        <v>-1</v>
      </c>
      <c r="AA629" s="250">
        <f>IF(D629="O",IF(Z629&lt;0,Z629,0),0)</f>
        <v>0</v>
      </c>
      <c r="AB629" s="254">
        <f>IF(B629="CRYPTO",N629,0)</f>
        <v>0</v>
      </c>
      <c r="AC629" s="250">
        <f>IF(D629="O",IF(AB629&lt;0,AB629,0),0)</f>
        <v>0</v>
      </c>
      <c r="AD629" s="255">
        <f>IF(K629&lt;&gt;"",K629-E629,0)</f>
        <v>2.2916666668606922E-2</v>
      </c>
      <c r="AE629" s="255">
        <f>IF(N629&gt;0,AD629,0)</f>
        <v>0</v>
      </c>
      <c r="AF629" s="255">
        <f>IF(N629&lt;0,AD629,0)</f>
        <v>2.2916666668606922E-2</v>
      </c>
      <c r="AG629" s="255">
        <f>IF(N629=0,AD629,0)</f>
        <v>0</v>
      </c>
    </row>
    <row r="630" spans="2:33" ht="15" customHeight="1" x14ac:dyDescent="0.3">
      <c r="B630" s="196" t="s">
        <v>5</v>
      </c>
      <c r="C630" s="197" t="s">
        <v>15</v>
      </c>
      <c r="D630" s="246" t="str">
        <f>IF(E630&lt;&gt;"",IF(K630&lt;&gt;"","C","O"),"")</f>
        <v>C</v>
      </c>
      <c r="E630" s="199">
        <v>44648.697916666664</v>
      </c>
      <c r="F630" s="200" t="s">
        <v>92</v>
      </c>
      <c r="G630" s="235">
        <v>14852.65</v>
      </c>
      <c r="H630" s="235">
        <v>14814.24</v>
      </c>
      <c r="I630" s="247">
        <f>ABS(G630-H630)</f>
        <v>38.409999999999854</v>
      </c>
      <c r="J630" s="235">
        <v>15569.57</v>
      </c>
      <c r="K630" s="199">
        <v>44648.720138888886</v>
      </c>
      <c r="L630" s="235">
        <v>14814.24</v>
      </c>
      <c r="M630" s="248">
        <f>ROUND(IF(C630="L",(L630-G630),(G630-L630)),4)</f>
        <v>-38.409999999999997</v>
      </c>
      <c r="N630" s="249">
        <f>IFERROR(ROUND((M630/I630),2),"")</f>
        <v>-1</v>
      </c>
      <c r="O630" s="250">
        <f>IF(D630="O",IF(N630&lt;0,N630,0),0)</f>
        <v>0</v>
      </c>
      <c r="P630" s="251">
        <f>IF(N630&gt;= 0,N630,0)</f>
        <v>0</v>
      </c>
      <c r="Q630" s="251">
        <f>IF(N630&lt;0,N630,0)</f>
        <v>-1</v>
      </c>
      <c r="R6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26182</v>
      </c>
      <c r="T6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30" s="253">
        <f ca="1">IF(Tabla33610673[[#This Row],[Equity]]&lt;Tabla33610673[[#This Row],[Equity Peak]],(Tabla33610673[[#This Row],[Equity Peak]]-Tabla33610673[[#This Row],[Equity]])/Tabla33610673[[#This Row],[Equity Peak]],"")</f>
        <v>7.1293136139552521E-3</v>
      </c>
      <c r="V630" s="254">
        <f>IF(B630="FX",N630,0)</f>
        <v>0</v>
      </c>
      <c r="W630" s="254">
        <f>IF(D630="O",IF(V630&lt;0,V630,0),0)</f>
        <v>0</v>
      </c>
      <c r="X630" s="254">
        <f>IF(B630="COM",N630,0)</f>
        <v>0</v>
      </c>
      <c r="Y630" s="254">
        <f>IF(D630="O",IF(X630&lt;0,X630,0),0)</f>
        <v>0</v>
      </c>
      <c r="Z630" s="254">
        <f>IF(B630="IND",N630,0)</f>
        <v>-1</v>
      </c>
      <c r="AA630" s="250">
        <f>IF(D630="O",IF(Z630&lt;0,Z630,0),0)</f>
        <v>0</v>
      </c>
      <c r="AB630" s="254">
        <f>IF(B630="CRYPTO",N630,0)</f>
        <v>0</v>
      </c>
      <c r="AC630" s="250">
        <f>IF(D630="O",IF(AB630&lt;0,AB630,0),0)</f>
        <v>0</v>
      </c>
      <c r="AD630" s="255">
        <f>IF(K630&lt;&gt;"",K630-E630,0)</f>
        <v>2.2222222221898846E-2</v>
      </c>
      <c r="AE630" s="255">
        <f>IF(N630&gt;0,AD630,0)</f>
        <v>0</v>
      </c>
      <c r="AF630" s="255">
        <f>IF(N630&lt;0,AD630,0)</f>
        <v>2.2222222221898846E-2</v>
      </c>
      <c r="AG630" s="255">
        <f>IF(N630=0,AD630,0)</f>
        <v>0</v>
      </c>
    </row>
    <row r="631" spans="2:33" ht="15" customHeight="1" x14ac:dyDescent="0.3">
      <c r="B631" s="196" t="s">
        <v>5</v>
      </c>
      <c r="C631" s="197" t="s">
        <v>15</v>
      </c>
      <c r="D631" s="246" t="str">
        <f>IF(E631&lt;&gt;"",IF(K631&lt;&gt;"","C","O"),"")</f>
        <v>C</v>
      </c>
      <c r="E631" s="199">
        <v>44648.59375</v>
      </c>
      <c r="F631" s="200" t="s">
        <v>91</v>
      </c>
      <c r="G631" s="235">
        <v>14582.94</v>
      </c>
      <c r="H631" s="235">
        <v>14539.28</v>
      </c>
      <c r="I631" s="247">
        <f>ABS(G631-H631)</f>
        <v>43.659999999999854</v>
      </c>
      <c r="J631" s="235">
        <v>15397.93</v>
      </c>
      <c r="K631" s="199">
        <v>44648.65</v>
      </c>
      <c r="L631" s="235">
        <v>14544.62</v>
      </c>
      <c r="M631" s="248">
        <f>ROUND(IF(C631="L",(L631-G631),(G631-L631)),4)</f>
        <v>-38.32</v>
      </c>
      <c r="N631" s="249">
        <f>IFERROR(ROUND((M631/I631),2),"")</f>
        <v>-0.88</v>
      </c>
      <c r="O631" s="250">
        <f>IF(D631="O",IF(N631&lt;0,N631,0),0)</f>
        <v>0</v>
      </c>
      <c r="P631" s="251">
        <f>IF(N631&gt;= 0,N631,0)</f>
        <v>0</v>
      </c>
      <c r="Q631" s="251">
        <f>IF(N631&lt;0,N631,0)</f>
        <v>-0.88</v>
      </c>
      <c r="R6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26282</v>
      </c>
      <c r="T6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31" s="253">
        <f ca="1">IF(Tabla33610673[[#This Row],[Equity]]&lt;Tabla33610673[[#This Row],[Equity Peak]],(Tabla33610673[[#This Row],[Equity Peak]]-Tabla33610673[[#This Row],[Equity]])/Tabla33610673[[#This Row],[Equity Peak]],"")</f>
        <v>3.3371255214258628E-3</v>
      </c>
      <c r="V631" s="254">
        <f>IF(B631="FX",N631,0)</f>
        <v>0</v>
      </c>
      <c r="W631" s="254">
        <f>IF(D631="O",IF(V631&lt;0,V631,0),0)</f>
        <v>0</v>
      </c>
      <c r="X631" s="254">
        <f>IF(B631="COM",N631,0)</f>
        <v>0</v>
      </c>
      <c r="Y631" s="254">
        <f>IF(D631="O",IF(X631&lt;0,X631,0),0)</f>
        <v>0</v>
      </c>
      <c r="Z631" s="254">
        <f>IF(B631="IND",N631,0)</f>
        <v>-0.88</v>
      </c>
      <c r="AA631" s="250">
        <f>IF(D631="O",IF(Z631&lt;0,Z631,0),0)</f>
        <v>0</v>
      </c>
      <c r="AB631" s="254">
        <f>IF(B631="CRYPTO",N631,0)</f>
        <v>0</v>
      </c>
      <c r="AC631" s="250">
        <f>IF(D631="O",IF(AB631&lt;0,AB631,0),0)</f>
        <v>0</v>
      </c>
      <c r="AD631" s="255">
        <f>IF(K631&lt;&gt;"",K631-E631,0)</f>
        <v>5.6250000001455192E-2</v>
      </c>
      <c r="AE631" s="255">
        <f>IF(N631&gt;0,AD631,0)</f>
        <v>0</v>
      </c>
      <c r="AF631" s="255">
        <f>IF(N631&lt;0,AD631,0)</f>
        <v>5.6250000001455192E-2</v>
      </c>
      <c r="AG631" s="255">
        <f>IF(N631=0,AD631,0)</f>
        <v>0</v>
      </c>
    </row>
    <row r="632" spans="2:33" ht="15" customHeight="1" x14ac:dyDescent="0.3">
      <c r="B632" s="196" t="s">
        <v>7</v>
      </c>
      <c r="C632" s="197" t="s">
        <v>15</v>
      </c>
      <c r="D632" s="246" t="str">
        <f>IF(E632&lt;&gt;"",IF(K632&lt;&gt;"","C","O"),"")</f>
        <v>C</v>
      </c>
      <c r="E632" s="199">
        <v>44648.177083333336</v>
      </c>
      <c r="F632" s="200" t="s">
        <v>116</v>
      </c>
      <c r="G632" s="235">
        <v>122.592</v>
      </c>
      <c r="H632" s="235">
        <v>122.36</v>
      </c>
      <c r="I632" s="247">
        <f>ABS(G632-H632)</f>
        <v>0.23199999999999932</v>
      </c>
      <c r="J632" s="235">
        <v>125.002</v>
      </c>
      <c r="K632" s="199">
        <v>44648.493055555555</v>
      </c>
      <c r="L632" s="235">
        <v>125.002</v>
      </c>
      <c r="M632" s="248">
        <f>ROUND(IF(C632="L",(L632-G632),(G632-L632)),4)</f>
        <v>2.41</v>
      </c>
      <c r="N632" s="249">
        <f>IFERROR(ROUND((M632/I632),2),"")</f>
        <v>10.39</v>
      </c>
      <c r="O632" s="250">
        <f>IF(D632="O",IF(N632&lt;0,N632,0),0)</f>
        <v>0</v>
      </c>
      <c r="P632" s="251">
        <f>IF(N632&gt;= 0,N632,0)</f>
        <v>10.39</v>
      </c>
      <c r="Q632" s="251">
        <f>IF(N632&lt;0,N632,0)</f>
        <v>0</v>
      </c>
      <c r="R6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26370</v>
      </c>
      <c r="T6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26370</v>
      </c>
      <c r="U63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32" s="254">
        <f>IF(B632="FX",N632,0)</f>
        <v>10.39</v>
      </c>
      <c r="W632" s="254">
        <f>IF(D632="O",IF(V632&lt;0,V632,0),0)</f>
        <v>0</v>
      </c>
      <c r="X632" s="254">
        <f>IF(B632="COM",N632,0)</f>
        <v>0</v>
      </c>
      <c r="Y632" s="254">
        <f>IF(D632="O",IF(X632&lt;0,X632,0),0)</f>
        <v>0</v>
      </c>
      <c r="Z632" s="254">
        <f>IF(B632="IND",N632,0)</f>
        <v>0</v>
      </c>
      <c r="AA632" s="250">
        <f>IF(D632="O",IF(Z632&lt;0,Z632,0),0)</f>
        <v>0</v>
      </c>
      <c r="AB632" s="254">
        <f>IF(B632="CRYPTO",N632,0)</f>
        <v>0</v>
      </c>
      <c r="AC632" s="250">
        <f>IF(D632="O",IF(AB632&lt;0,AB632,0),0)</f>
        <v>0</v>
      </c>
      <c r="AD632" s="255">
        <f>IF(K632&lt;&gt;"",K632-E632,0)</f>
        <v>0.31597222221898846</v>
      </c>
      <c r="AE632" s="255">
        <f>IF(N632&gt;0,AD632,0)</f>
        <v>0.31597222221898846</v>
      </c>
      <c r="AF632" s="255">
        <f>IF(N632&lt;0,AD632,0)</f>
        <v>0</v>
      </c>
      <c r="AG632" s="255">
        <f>IF(N632=0,AD632,0)</f>
        <v>0</v>
      </c>
    </row>
    <row r="633" spans="2:33" ht="15" customHeight="1" x14ac:dyDescent="0.3">
      <c r="B633" s="196" t="s">
        <v>7</v>
      </c>
      <c r="C633" s="197" t="s">
        <v>15</v>
      </c>
      <c r="D633" s="246" t="str">
        <f>IF(E633&lt;&gt;"",IF(K633&lt;&gt;"","C","O"),"")</f>
        <v>C</v>
      </c>
      <c r="E633" s="199">
        <v>44648.1875</v>
      </c>
      <c r="F633" s="200" t="s">
        <v>115</v>
      </c>
      <c r="G633" s="235">
        <v>161.53700000000001</v>
      </c>
      <c r="H633" s="235">
        <v>160.94900000000001</v>
      </c>
      <c r="I633" s="247">
        <f>ABS(G633-H633)</f>
        <v>0.58799999999999386</v>
      </c>
      <c r="J633" s="235">
        <v>163.21799999999999</v>
      </c>
      <c r="K633" s="199">
        <v>44648.474305555559</v>
      </c>
      <c r="L633" s="235">
        <v>163.21799999999999</v>
      </c>
      <c r="M633" s="248">
        <f>ROUND(IF(C633="L",(L633-G633),(G633-L633)),4)</f>
        <v>1.681</v>
      </c>
      <c r="N633" s="249">
        <f>IFERROR(ROUND((M633/I633),2),"")</f>
        <v>2.86</v>
      </c>
      <c r="O633" s="250">
        <f>IF(D633="O",IF(N633&lt;0,N633,0),0)</f>
        <v>0</v>
      </c>
      <c r="P633" s="251">
        <f>IF(N633&gt;= 0,N633,0)</f>
        <v>2.86</v>
      </c>
      <c r="Q633" s="251">
        <f>IF(N633&lt;0,N633,0)</f>
        <v>0</v>
      </c>
      <c r="R6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25331</v>
      </c>
      <c r="T6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25331</v>
      </c>
      <c r="U63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33" s="254">
        <f>IF(B633="FX",N633,0)</f>
        <v>2.86</v>
      </c>
      <c r="W633" s="254">
        <f>IF(D633="O",IF(V633&lt;0,V633,0),0)</f>
        <v>0</v>
      </c>
      <c r="X633" s="254">
        <f>IF(B633="COM",N633,0)</f>
        <v>0</v>
      </c>
      <c r="Y633" s="254">
        <f>IF(D633="O",IF(X633&lt;0,X633,0),0)</f>
        <v>0</v>
      </c>
      <c r="Z633" s="254">
        <f>IF(B633="IND",N633,0)</f>
        <v>0</v>
      </c>
      <c r="AA633" s="250">
        <f>IF(D633="O",IF(Z633&lt;0,Z633,0),0)</f>
        <v>0</v>
      </c>
      <c r="AB633" s="254">
        <f>IF(B633="CRYPTO",N633,0)</f>
        <v>0</v>
      </c>
      <c r="AC633" s="250">
        <f>IF(D633="O",IF(AB633&lt;0,AB633,0),0)</f>
        <v>0</v>
      </c>
      <c r="AD633" s="255">
        <f>IF(K633&lt;&gt;"",K633-E633,0)</f>
        <v>0.28680555555911269</v>
      </c>
      <c r="AE633" s="255">
        <f>IF(N633&gt;0,AD633,0)</f>
        <v>0.28680555555911269</v>
      </c>
      <c r="AF633" s="255">
        <f>IF(N633&lt;0,AD633,0)</f>
        <v>0</v>
      </c>
      <c r="AG633" s="255">
        <f>IF(N633=0,AD633,0)</f>
        <v>0</v>
      </c>
    </row>
    <row r="634" spans="2:33" ht="15" customHeight="1" x14ac:dyDescent="0.3">
      <c r="B634" s="196" t="s">
        <v>7</v>
      </c>
      <c r="C634" s="197" t="s">
        <v>13</v>
      </c>
      <c r="D634" s="246" t="str">
        <f>IF(E634&lt;&gt;"",IF(K634&lt;&gt;"","C","O"),"")</f>
        <v>C</v>
      </c>
      <c r="E634" s="199">
        <v>44648.1875</v>
      </c>
      <c r="F634" s="200" t="s">
        <v>114</v>
      </c>
      <c r="G634" s="235">
        <v>1.09595</v>
      </c>
      <c r="H634" s="235">
        <v>1.09683</v>
      </c>
      <c r="I634" s="247">
        <f>ABS(G634-H634)</f>
        <v>8.799999999999919E-4</v>
      </c>
      <c r="J634" s="235">
        <v>1.0880700000000001</v>
      </c>
      <c r="K634" s="199">
        <v>44648.397916666669</v>
      </c>
      <c r="L634" s="235">
        <v>1.09615</v>
      </c>
      <c r="M634" s="248">
        <f>ROUND(IF(C634="L",(L634-G634),(G634-L634)),4)</f>
        <v>-2.0000000000000001E-4</v>
      </c>
      <c r="N634" s="249">
        <f>IFERROR(ROUND((M634/I634),2),"")</f>
        <v>-0.23</v>
      </c>
      <c r="O634" s="250">
        <f>IF(D634="O",IF(N634&lt;0,N634,0),0)</f>
        <v>0</v>
      </c>
      <c r="P634" s="251">
        <f>IF(N634&gt;= 0,N634,0)</f>
        <v>0</v>
      </c>
      <c r="Q634" s="251">
        <f>IF(N634&lt;0,N634,0)</f>
        <v>-0.23</v>
      </c>
      <c r="R6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25045</v>
      </c>
      <c r="T6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25268</v>
      </c>
      <c r="U634" s="253">
        <f ca="1">IF(Tabla33610673[[#This Row],[Equity]]&lt;Tabla33610673[[#This Row],[Equity Peak]],(Tabla33610673[[#This Row],[Equity Peak]]-Tabla33610673[[#This Row],[Equity]])/Tabla33610673[[#This Row],[Equity Peak]],"")</f>
        <v>8.8253917999050174E-3</v>
      </c>
      <c r="V634" s="254">
        <f>IF(B634="FX",N634,0)</f>
        <v>-0.23</v>
      </c>
      <c r="W634" s="254">
        <f>IF(D634="O",IF(V634&lt;0,V634,0),0)</f>
        <v>0</v>
      </c>
      <c r="X634" s="254">
        <f>IF(B634="COM",N634,0)</f>
        <v>0</v>
      </c>
      <c r="Y634" s="254">
        <f>IF(D634="O",IF(X634&lt;0,X634,0),0)</f>
        <v>0</v>
      </c>
      <c r="Z634" s="254">
        <f>IF(B634="IND",N634,0)</f>
        <v>0</v>
      </c>
      <c r="AA634" s="250">
        <f>IF(D634="O",IF(Z634&lt;0,Z634,0),0)</f>
        <v>0</v>
      </c>
      <c r="AB634" s="254">
        <f>IF(B634="CRYPTO",N634,0)</f>
        <v>0</v>
      </c>
      <c r="AC634" s="250">
        <f>IF(D634="O",IF(AB634&lt;0,AB634,0),0)</f>
        <v>0</v>
      </c>
      <c r="AD634" s="255">
        <f>IF(K634&lt;&gt;"",K634-E634,0)</f>
        <v>0.21041666666860692</v>
      </c>
      <c r="AE634" s="255">
        <f>IF(N634&gt;0,AD634,0)</f>
        <v>0</v>
      </c>
      <c r="AF634" s="255">
        <f>IF(N634&lt;0,AD634,0)</f>
        <v>0.21041666666860692</v>
      </c>
      <c r="AG634" s="255">
        <f>IF(N634=0,AD634,0)</f>
        <v>0</v>
      </c>
    </row>
    <row r="635" spans="2:33" ht="15" customHeight="1" x14ac:dyDescent="0.3">
      <c r="B635" s="196" t="s">
        <v>5</v>
      </c>
      <c r="C635" s="197" t="s">
        <v>15</v>
      </c>
      <c r="D635" s="246" t="str">
        <f>IF(E635&lt;&gt;"",IF(K635&lt;&gt;"","C","O"),"")</f>
        <v>C</v>
      </c>
      <c r="E635" s="199">
        <v>44644.9375</v>
      </c>
      <c r="F635" s="200" t="s">
        <v>92</v>
      </c>
      <c r="G635" s="235">
        <v>14721.19</v>
      </c>
      <c r="H635" s="235">
        <v>14679.53</v>
      </c>
      <c r="I635" s="247">
        <f>ABS(G635-H635)</f>
        <v>41.659999999999854</v>
      </c>
      <c r="J635" s="235">
        <v>15498.77</v>
      </c>
      <c r="K635" s="199">
        <v>44645.693055555559</v>
      </c>
      <c r="L635" s="235">
        <v>14718.69</v>
      </c>
      <c r="M635" s="248">
        <f>ROUND(IF(C635="L",(L635-G635),(G635-L635)),4)</f>
        <v>-2.5</v>
      </c>
      <c r="N635" s="249">
        <f>IFERROR(ROUND((M635/I635),2),"")</f>
        <v>-0.06</v>
      </c>
      <c r="O635" s="250">
        <f>IF(D635="O",IF(N635&lt;0,N635,0),0)</f>
        <v>0</v>
      </c>
      <c r="P635" s="251">
        <f>IF(N635&gt;= 0,N635,0)</f>
        <v>0</v>
      </c>
      <c r="Q635" s="251">
        <f>IF(N635&lt;0,N635,0)</f>
        <v>-0.06</v>
      </c>
      <c r="R6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25068</v>
      </c>
      <c r="T6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25268</v>
      </c>
      <c r="U635" s="253">
        <f ca="1">IF(Tabla33610673[[#This Row],[Equity]]&lt;Tabla33610673[[#This Row],[Equity Peak]],(Tabla33610673[[#This Row],[Equity Peak]]-Tabla33610673[[#This Row],[Equity]])/Tabla33610673[[#This Row],[Equity Peak]],"")</f>
        <v>7.915149596327371E-3</v>
      </c>
      <c r="V635" s="254">
        <f>IF(B635="FX",N635,0)</f>
        <v>0</v>
      </c>
      <c r="W635" s="254">
        <f>IF(D635="O",IF(V635&lt;0,V635,0),0)</f>
        <v>0</v>
      </c>
      <c r="X635" s="254">
        <f>IF(B635="COM",N635,0)</f>
        <v>0</v>
      </c>
      <c r="Y635" s="254">
        <f>IF(D635="O",IF(X635&lt;0,X635,0),0)</f>
        <v>0</v>
      </c>
      <c r="Z635" s="254">
        <f>IF(B635="IND",N635,0)</f>
        <v>-0.06</v>
      </c>
      <c r="AA635" s="250">
        <f>IF(D635="O",IF(Z635&lt;0,Z635,0),0)</f>
        <v>0</v>
      </c>
      <c r="AB635" s="254">
        <f>IF(B635="CRYPTO",N635,0)</f>
        <v>0</v>
      </c>
      <c r="AC635" s="250">
        <f>IF(D635="O",IF(AB635&lt;0,AB635,0),0)</f>
        <v>0</v>
      </c>
      <c r="AD635" s="255">
        <f>IF(K635&lt;&gt;"",K635-E635,0)</f>
        <v>0.75555555555911269</v>
      </c>
      <c r="AE635" s="255">
        <f>IF(N635&gt;0,AD635,0)</f>
        <v>0</v>
      </c>
      <c r="AF635" s="255">
        <f>IF(N635&lt;0,AD635,0)</f>
        <v>0.75555555555911269</v>
      </c>
      <c r="AG635" s="255">
        <f>IF(N635=0,AD635,0)</f>
        <v>0</v>
      </c>
    </row>
    <row r="636" spans="2:33" ht="15" customHeight="1" x14ac:dyDescent="0.3">
      <c r="B636" s="196" t="s">
        <v>5</v>
      </c>
      <c r="C636" s="197" t="s">
        <v>15</v>
      </c>
      <c r="D636" s="246" t="str">
        <f>IF(E636&lt;&gt;"",IF(K636&lt;&gt;"","C","O"),"")</f>
        <v>C</v>
      </c>
      <c r="E636" s="199">
        <v>44645.604166666664</v>
      </c>
      <c r="F636" s="200" t="s">
        <v>93</v>
      </c>
      <c r="G636" s="235">
        <v>14826.45</v>
      </c>
      <c r="H636" s="235">
        <v>14785.62</v>
      </c>
      <c r="I636" s="247">
        <f>ABS(G636-H636)</f>
        <v>40.829999999999927</v>
      </c>
      <c r="J636" s="235">
        <v>15261.93</v>
      </c>
      <c r="K636" s="199">
        <v>44645.675694444442</v>
      </c>
      <c r="L636" s="235">
        <v>14785.62</v>
      </c>
      <c r="M636" s="248">
        <f>ROUND(IF(C636="L",(L636-G636),(G636-L636)),4)</f>
        <v>-40.83</v>
      </c>
      <c r="N636" s="249">
        <f>IFERROR(ROUND((M636/I636),2),"")</f>
        <v>-1</v>
      </c>
      <c r="O636" s="250">
        <f>IF(D636="O",IF(N636&lt;0,N636,0),0)</f>
        <v>0</v>
      </c>
      <c r="P636" s="251">
        <f>IF(N636&gt;= 0,N636,0)</f>
        <v>0</v>
      </c>
      <c r="Q636" s="251">
        <f>IF(N636&lt;0,N636,0)</f>
        <v>-1</v>
      </c>
      <c r="R6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25074</v>
      </c>
      <c r="T6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25268</v>
      </c>
      <c r="U636" s="253">
        <f ca="1">IF(Tabla33610673[[#This Row],[Equity]]&lt;Tabla33610673[[#This Row],[Equity Peak]],(Tabla33610673[[#This Row],[Equity Peak]]-Tabla33610673[[#This Row],[Equity]])/Tabla33610673[[#This Row],[Equity Peak]],"")</f>
        <v>7.6776951084375497E-3</v>
      </c>
      <c r="V636" s="254">
        <f>IF(B636="FX",N636,0)</f>
        <v>0</v>
      </c>
      <c r="W636" s="254">
        <f>IF(D636="O",IF(V636&lt;0,V636,0),0)</f>
        <v>0</v>
      </c>
      <c r="X636" s="254">
        <f>IF(B636="COM",N636,0)</f>
        <v>0</v>
      </c>
      <c r="Y636" s="254">
        <f>IF(D636="O",IF(X636&lt;0,X636,0),0)</f>
        <v>0</v>
      </c>
      <c r="Z636" s="254">
        <f>IF(B636="IND",N636,0)</f>
        <v>-1</v>
      </c>
      <c r="AA636" s="250">
        <f>IF(D636="O",IF(Z636&lt;0,Z636,0),0)</f>
        <v>0</v>
      </c>
      <c r="AB636" s="254">
        <f>IF(B636="CRYPTO",N636,0)</f>
        <v>0</v>
      </c>
      <c r="AC636" s="250">
        <f>IF(D636="O",IF(AB636&lt;0,AB636,0),0)</f>
        <v>0</v>
      </c>
      <c r="AD636" s="255">
        <f>IF(K636&lt;&gt;"",K636-E636,0)</f>
        <v>7.1527777778101154E-2</v>
      </c>
      <c r="AE636" s="255">
        <f>IF(N636&gt;0,AD636,0)</f>
        <v>0</v>
      </c>
      <c r="AF636" s="255">
        <f>IF(N636&lt;0,AD636,0)</f>
        <v>7.1527777778101154E-2</v>
      </c>
      <c r="AG636" s="255">
        <f>IF(N636=0,AD636,0)</f>
        <v>0</v>
      </c>
    </row>
    <row r="637" spans="2:33" ht="15" customHeight="1" x14ac:dyDescent="0.3">
      <c r="B637" s="196" t="s">
        <v>5</v>
      </c>
      <c r="C637" s="197" t="s">
        <v>15</v>
      </c>
      <c r="D637" s="246" t="str">
        <f>IF(E637&lt;&gt;"",IF(K637&lt;&gt;"","C","O"),"")</f>
        <v>C</v>
      </c>
      <c r="E637" s="199">
        <v>44644.9375</v>
      </c>
      <c r="F637" s="200" t="s">
        <v>93</v>
      </c>
      <c r="G637" s="235">
        <v>14721.19</v>
      </c>
      <c r="H637" s="235">
        <v>14682.69</v>
      </c>
      <c r="I637" s="247">
        <f>ABS(G637-H637)</f>
        <v>38.5</v>
      </c>
      <c r="J637" s="235">
        <v>15131.86</v>
      </c>
      <c r="K637" s="199">
        <v>44645.467361111114</v>
      </c>
      <c r="L637" s="235">
        <v>14702</v>
      </c>
      <c r="M637" s="248">
        <f>ROUND(IF(C637="L",(L637-G637),(G637-L637)),4)</f>
        <v>-19.190000000000001</v>
      </c>
      <c r="N637" s="249">
        <f>IFERROR(ROUND((M637/I637),2),"")</f>
        <v>-0.5</v>
      </c>
      <c r="O637" s="250">
        <f>IF(D637="O",IF(N637&lt;0,N637,0),0)</f>
        <v>0</v>
      </c>
      <c r="P637" s="251">
        <f>IF(N637&gt;= 0,N637,0)</f>
        <v>0</v>
      </c>
      <c r="Q637" s="251">
        <f>IF(N637&lt;0,N637,0)</f>
        <v>-0.5</v>
      </c>
      <c r="R6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25174</v>
      </c>
      <c r="T6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25268</v>
      </c>
      <c r="U637" s="253">
        <f ca="1">IF(Tabla33610673[[#This Row],[Equity]]&lt;Tabla33610673[[#This Row],[Equity Peak]],(Tabla33610673[[#This Row],[Equity Peak]]-Tabla33610673[[#This Row],[Equity]])/Tabla33610673[[#This Row],[Equity Peak]],"")</f>
        <v>3.7201203102738643E-3</v>
      </c>
      <c r="V637" s="254">
        <f>IF(B637="FX",N637,0)</f>
        <v>0</v>
      </c>
      <c r="W637" s="254">
        <f>IF(D637="O",IF(V637&lt;0,V637,0),0)</f>
        <v>0</v>
      </c>
      <c r="X637" s="254">
        <f>IF(B637="COM",N637,0)</f>
        <v>0</v>
      </c>
      <c r="Y637" s="254">
        <f>IF(D637="O",IF(X637&lt;0,X637,0),0)</f>
        <v>0</v>
      </c>
      <c r="Z637" s="254">
        <f>IF(B637="IND",N637,0)</f>
        <v>-0.5</v>
      </c>
      <c r="AA637" s="250">
        <f>IF(D637="O",IF(Z637&lt;0,Z637,0),0)</f>
        <v>0</v>
      </c>
      <c r="AB637" s="254">
        <f>IF(B637="CRYPTO",N637,0)</f>
        <v>0</v>
      </c>
      <c r="AC637" s="250">
        <f>IF(D637="O",IF(AB637&lt;0,AB637,0),0)</f>
        <v>0</v>
      </c>
      <c r="AD637" s="255">
        <f>IF(K637&lt;&gt;"",K637-E637,0)</f>
        <v>0.52986111111385981</v>
      </c>
      <c r="AE637" s="255">
        <f>IF(N637&gt;0,AD637,0)</f>
        <v>0</v>
      </c>
      <c r="AF637" s="255">
        <f>IF(N637&lt;0,AD637,0)</f>
        <v>0.52986111111385981</v>
      </c>
      <c r="AG637" s="255">
        <f>IF(N637=0,AD637,0)</f>
        <v>0</v>
      </c>
    </row>
    <row r="638" spans="2:33" ht="15" customHeight="1" x14ac:dyDescent="0.3">
      <c r="B638" s="196" t="s">
        <v>7</v>
      </c>
      <c r="C638" s="197" t="s">
        <v>15</v>
      </c>
      <c r="D638" s="246" t="str">
        <f>IF(E638&lt;&gt;"",IF(K638&lt;&gt;"","C","O"),"")</f>
        <v>C</v>
      </c>
      <c r="E638" s="199">
        <v>44644.8125</v>
      </c>
      <c r="F638" s="200" t="s">
        <v>115</v>
      </c>
      <c r="G638" s="235">
        <v>161.09299999999999</v>
      </c>
      <c r="H638" s="235">
        <v>160.559</v>
      </c>
      <c r="I638" s="247">
        <f>ABS(G638-H638)</f>
        <v>0.53399999999999181</v>
      </c>
      <c r="J638" s="235">
        <v>162.62</v>
      </c>
      <c r="K638" s="199">
        <v>44645.181250000001</v>
      </c>
      <c r="L638" s="235">
        <v>160.858</v>
      </c>
      <c r="M638" s="248">
        <f>ROUND(IF(C638="L",(L638-G638),(G638-L638)),4)</f>
        <v>-0.23499999999999999</v>
      </c>
      <c r="N638" s="249">
        <f>IFERROR(ROUND((M638/I638),2),"")</f>
        <v>-0.44</v>
      </c>
      <c r="O638" s="250">
        <f>IF(D638="O",IF(N638&lt;0,N638,0),0)</f>
        <v>0</v>
      </c>
      <c r="P638" s="251">
        <f>IF(N638&gt;= 0,N638,0)</f>
        <v>0</v>
      </c>
      <c r="Q638" s="251">
        <f>IF(N638&lt;0,N638,0)</f>
        <v>-0.44</v>
      </c>
      <c r="R6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25224</v>
      </c>
      <c r="T6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25268</v>
      </c>
      <c r="U638" s="253">
        <f ca="1">IF(Tabla33610673[[#This Row],[Equity]]&lt;Tabla33610673[[#This Row],[Equity Peak]],(Tabla33610673[[#This Row],[Equity Peak]]-Tabla33610673[[#This Row],[Equity]])/Tabla33610673[[#This Row],[Equity Peak]],"")</f>
        <v>1.7413329111920215E-3</v>
      </c>
      <c r="V638" s="254">
        <f>IF(B638="FX",N638,0)</f>
        <v>-0.44</v>
      </c>
      <c r="W638" s="254">
        <f>IF(D638="O",IF(V638&lt;0,V638,0),0)</f>
        <v>0</v>
      </c>
      <c r="X638" s="254">
        <f>IF(B638="COM",N638,0)</f>
        <v>0</v>
      </c>
      <c r="Y638" s="254">
        <f>IF(D638="O",IF(X638&lt;0,X638,0),0)</f>
        <v>0</v>
      </c>
      <c r="Z638" s="254">
        <f>IF(B638="IND",N638,0)</f>
        <v>0</v>
      </c>
      <c r="AA638" s="250">
        <f>IF(D638="O",IF(Z638&lt;0,Z638,0),0)</f>
        <v>0</v>
      </c>
      <c r="AB638" s="254">
        <f>IF(B638="CRYPTO",N638,0)</f>
        <v>0</v>
      </c>
      <c r="AC638" s="250">
        <f>IF(D638="O",IF(AB638&lt;0,AB638,0),0)</f>
        <v>0</v>
      </c>
      <c r="AD638" s="255">
        <f>IF(K638&lt;&gt;"",K638-E638,0)</f>
        <v>0.36875000000145519</v>
      </c>
      <c r="AE638" s="255">
        <f>IF(N638&gt;0,AD638,0)</f>
        <v>0</v>
      </c>
      <c r="AF638" s="255">
        <f>IF(N638&lt;0,AD638,0)</f>
        <v>0.36875000000145519</v>
      </c>
      <c r="AG638" s="255">
        <f>IF(N638=0,AD638,0)</f>
        <v>0</v>
      </c>
    </row>
    <row r="639" spans="2:33" ht="15" customHeight="1" x14ac:dyDescent="0.3">
      <c r="B639" s="196" t="s">
        <v>7</v>
      </c>
      <c r="C639" s="197" t="s">
        <v>15</v>
      </c>
      <c r="D639" s="246" t="str">
        <f>IF(E639&lt;&gt;"",IF(K639&lt;&gt;"","C","O"),"")</f>
        <v>C</v>
      </c>
      <c r="E639" s="199">
        <v>44644.375</v>
      </c>
      <c r="F639" s="200" t="s">
        <v>116</v>
      </c>
      <c r="G639" s="235">
        <v>121.44199999999999</v>
      </c>
      <c r="H639" s="235">
        <v>121.262</v>
      </c>
      <c r="I639" s="247">
        <f>ABS(G639-H639)</f>
        <v>0.17999999999999261</v>
      </c>
      <c r="J639" s="235">
        <v>123.31399999999999</v>
      </c>
      <c r="K639" s="199">
        <v>44645.133333333331</v>
      </c>
      <c r="L639" s="235">
        <v>122.077</v>
      </c>
      <c r="M639" s="248">
        <f>ROUND(IF(C639="L",(L639-G639),(G639-L639)),4)</f>
        <v>0.63500000000000001</v>
      </c>
      <c r="N639" s="249">
        <f>IFERROR(ROUND((M639/I639),2),"")</f>
        <v>3.53</v>
      </c>
      <c r="O639" s="250">
        <f>IF(D639="O",IF(N639&lt;0,N639,0),0)</f>
        <v>0</v>
      </c>
      <c r="P639" s="251">
        <f>IF(N639&gt;= 0,N639,0)</f>
        <v>3.53</v>
      </c>
      <c r="Q639" s="251">
        <f>IF(N639&lt;0,N639,0)</f>
        <v>0</v>
      </c>
      <c r="R6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25268</v>
      </c>
      <c r="T6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25268</v>
      </c>
      <c r="U63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39" s="254">
        <f>IF(B639="FX",N639,0)</f>
        <v>3.53</v>
      </c>
      <c r="W639" s="254">
        <f>IF(D639="O",IF(V639&lt;0,V639,0),0)</f>
        <v>0</v>
      </c>
      <c r="X639" s="254">
        <f>IF(B639="COM",N639,0)</f>
        <v>0</v>
      </c>
      <c r="Y639" s="254">
        <f>IF(D639="O",IF(X639&lt;0,X639,0),0)</f>
        <v>0</v>
      </c>
      <c r="Z639" s="254">
        <f>IF(B639="IND",N639,0)</f>
        <v>0</v>
      </c>
      <c r="AA639" s="250">
        <f>IF(D639="O",IF(Z639&lt;0,Z639,0),0)</f>
        <v>0</v>
      </c>
      <c r="AB639" s="254">
        <f>IF(B639="CRYPTO",N639,0)</f>
        <v>0</v>
      </c>
      <c r="AC639" s="250">
        <f>IF(D639="O",IF(AB639&lt;0,AB639,0),0)</f>
        <v>0</v>
      </c>
      <c r="AD639" s="255">
        <f>IF(K639&lt;&gt;"",K639-E639,0)</f>
        <v>0.75833333333139308</v>
      </c>
      <c r="AE639" s="255">
        <f>IF(N639&gt;0,AD639,0)</f>
        <v>0.75833333333139308</v>
      </c>
      <c r="AF639" s="255">
        <f>IF(N639&lt;0,AD639,0)</f>
        <v>0</v>
      </c>
      <c r="AG639" s="255">
        <f>IF(N639=0,AD639,0)</f>
        <v>0</v>
      </c>
    </row>
    <row r="640" spans="2:33" ht="15" customHeight="1" x14ac:dyDescent="0.3">
      <c r="B640" s="196" t="s">
        <v>5</v>
      </c>
      <c r="C640" s="197" t="s">
        <v>15</v>
      </c>
      <c r="D640" s="246" t="str">
        <f>IF(E640&lt;&gt;"",IF(K640&lt;&gt;"","C","O"),"")</f>
        <v>C</v>
      </c>
      <c r="E640" s="199">
        <v>44642.71875</v>
      </c>
      <c r="F640" s="200" t="s">
        <v>92</v>
      </c>
      <c r="G640" s="235">
        <v>14538.84</v>
      </c>
      <c r="H640" s="235">
        <v>14498.81</v>
      </c>
      <c r="I640" s="247">
        <f>ABS(G640-H640)</f>
        <v>40.030000000000655</v>
      </c>
      <c r="J640" s="235">
        <v>15286.13</v>
      </c>
      <c r="K640" s="199">
        <v>44643.612500000003</v>
      </c>
      <c r="L640" s="235">
        <v>14540.77</v>
      </c>
      <c r="M640" s="248">
        <f>ROUND(IF(C640="L",(L640-G640),(G640-L640)),4)</f>
        <v>1.93</v>
      </c>
      <c r="N640" s="249">
        <f>IFERROR(ROUND((M640/I640),2),"")</f>
        <v>0.05</v>
      </c>
      <c r="O640" s="250">
        <f>IF(D640="O",IF(N640&lt;0,N640,0),0)</f>
        <v>0</v>
      </c>
      <c r="P640" s="251">
        <f>IF(N640&gt;= 0,N640,0)</f>
        <v>0.05</v>
      </c>
      <c r="Q640" s="251">
        <f>IF(N640&lt;0,N640,0)</f>
        <v>0</v>
      </c>
      <c r="R6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24915</v>
      </c>
      <c r="T6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25134</v>
      </c>
      <c r="U640" s="253">
        <f ca="1">IF(Tabla33610673[[#This Row],[Equity]]&lt;Tabla33610673[[#This Row],[Equity Peak]],(Tabla33610673[[#This Row],[Equity Peak]]-Tabla33610673[[#This Row],[Equity]])/Tabla33610673[[#This Row],[Equity Peak]],"")</f>
        <v>8.7132967295297202E-3</v>
      </c>
      <c r="V640" s="254">
        <f>IF(B640="FX",N640,0)</f>
        <v>0</v>
      </c>
      <c r="W640" s="254">
        <f>IF(D640="O",IF(V640&lt;0,V640,0),0)</f>
        <v>0</v>
      </c>
      <c r="X640" s="254">
        <f>IF(B640="COM",N640,0)</f>
        <v>0</v>
      </c>
      <c r="Y640" s="254">
        <f>IF(D640="O",IF(X640&lt;0,X640,0),0)</f>
        <v>0</v>
      </c>
      <c r="Z640" s="254">
        <f>IF(B640="IND",N640,0)</f>
        <v>0.05</v>
      </c>
      <c r="AA640" s="250">
        <f>IF(D640="O",IF(Z640&lt;0,Z640,0),0)</f>
        <v>0</v>
      </c>
      <c r="AB640" s="254">
        <f>IF(B640="CRYPTO",N640,0)</f>
        <v>0</v>
      </c>
      <c r="AC640" s="250">
        <f>IF(D640="O",IF(AB640&lt;0,AB640,0),0)</f>
        <v>0</v>
      </c>
      <c r="AD640" s="255">
        <f>IF(K640&lt;&gt;"",K640-E640,0)</f>
        <v>0.89375000000291038</v>
      </c>
      <c r="AE640" s="255">
        <f>IF(N640&gt;0,AD640,0)</f>
        <v>0.89375000000291038</v>
      </c>
      <c r="AF640" s="255">
        <f>IF(N640&lt;0,AD640,0)</f>
        <v>0</v>
      </c>
      <c r="AG640" s="255">
        <f>IF(N640=0,AD640,0)</f>
        <v>0</v>
      </c>
    </row>
    <row r="641" spans="2:33" ht="15" customHeight="1" x14ac:dyDescent="0.3">
      <c r="B641" s="196" t="s">
        <v>5</v>
      </c>
      <c r="C641" s="197" t="s">
        <v>15</v>
      </c>
      <c r="D641" s="246" t="str">
        <f>IF(E641&lt;&gt;"",IF(K641&lt;&gt;"","C","O"),"")</f>
        <v>C</v>
      </c>
      <c r="E641" s="199">
        <v>44642.71875</v>
      </c>
      <c r="F641" s="200" t="s">
        <v>93</v>
      </c>
      <c r="G641" s="235">
        <v>14538.84</v>
      </c>
      <c r="H641" s="235">
        <v>14490.99</v>
      </c>
      <c r="I641" s="247">
        <f>ABS(G641-H641)</f>
        <v>47.850000000000364</v>
      </c>
      <c r="J641" s="235">
        <v>15049.19</v>
      </c>
      <c r="K641" s="199">
        <v>44643.557638888888</v>
      </c>
      <c r="L641" s="235">
        <v>14575.32</v>
      </c>
      <c r="M641" s="248">
        <f>ROUND(IF(C641="L",(L641-G641),(G641-L641)),4)</f>
        <v>36.479999999999997</v>
      </c>
      <c r="N641" s="249">
        <f>IFERROR(ROUND((M641/I641),2),"")</f>
        <v>0.76</v>
      </c>
      <c r="O641" s="250">
        <f>IF(D641="O",IF(N641&lt;0,N641,0),0)</f>
        <v>0</v>
      </c>
      <c r="P641" s="251">
        <f>IF(N641&gt;= 0,N641,0)</f>
        <v>0.76</v>
      </c>
      <c r="Q641" s="251">
        <f>IF(N641&lt;0,N641,0)</f>
        <v>0</v>
      </c>
      <c r="R6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24910</v>
      </c>
      <c r="T6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25134</v>
      </c>
      <c r="U641" s="253">
        <f ca="1">IF(Tabla33610673[[#This Row],[Equity]]&lt;Tabla33610673[[#This Row],[Equity Peak]],(Tabla33610673[[#This Row],[Equity Peak]]-Tabla33610673[[#This Row],[Equity]])/Tabla33610673[[#This Row],[Equity Peak]],"")</f>
        <v>8.9122304448157868E-3</v>
      </c>
      <c r="V641" s="254">
        <f>IF(B641="FX",N641,0)</f>
        <v>0</v>
      </c>
      <c r="W641" s="254">
        <f>IF(D641="O",IF(V641&lt;0,V641,0),0)</f>
        <v>0</v>
      </c>
      <c r="X641" s="254">
        <f>IF(B641="COM",N641,0)</f>
        <v>0</v>
      </c>
      <c r="Y641" s="254">
        <f>IF(D641="O",IF(X641&lt;0,X641,0),0)</f>
        <v>0</v>
      </c>
      <c r="Z641" s="254">
        <f>IF(B641="IND",N641,0)</f>
        <v>0.76</v>
      </c>
      <c r="AA641" s="250">
        <f>IF(D641="O",IF(Z641&lt;0,Z641,0),0)</f>
        <v>0</v>
      </c>
      <c r="AB641" s="254">
        <f>IF(B641="CRYPTO",N641,0)</f>
        <v>0</v>
      </c>
      <c r="AC641" s="250">
        <f>IF(D641="O",IF(AB641&lt;0,AB641,0),0)</f>
        <v>0</v>
      </c>
      <c r="AD641" s="255">
        <f>IF(K641&lt;&gt;"",K641-E641,0)</f>
        <v>0.83888888888759539</v>
      </c>
      <c r="AE641" s="255">
        <f>IF(N641&gt;0,AD641,0)</f>
        <v>0.83888888888759539</v>
      </c>
      <c r="AF641" s="255">
        <f>IF(N641&lt;0,AD641,0)</f>
        <v>0</v>
      </c>
      <c r="AG641" s="255">
        <f>IF(N641=0,AD641,0)</f>
        <v>0</v>
      </c>
    </row>
    <row r="642" spans="2:33" ht="15" customHeight="1" x14ac:dyDescent="0.3">
      <c r="B642" s="196" t="s">
        <v>5</v>
      </c>
      <c r="C642" s="197" t="s">
        <v>15</v>
      </c>
      <c r="D642" s="246" t="str">
        <f>IF(E642&lt;&gt;"",IF(K642&lt;&gt;"","C","O"),"")</f>
        <v>C</v>
      </c>
      <c r="E642" s="199">
        <v>44643.239583333336</v>
      </c>
      <c r="F642" s="200" t="s">
        <v>91</v>
      </c>
      <c r="G642" s="235">
        <v>14563.49</v>
      </c>
      <c r="H642" s="235">
        <v>14515.77</v>
      </c>
      <c r="I642" s="247">
        <f>ABS(G642-H642)</f>
        <v>47.719999999999345</v>
      </c>
      <c r="J642" s="235">
        <v>15454.29</v>
      </c>
      <c r="K642" s="199">
        <v>44643.453472222223</v>
      </c>
      <c r="L642" s="235">
        <v>14515.77</v>
      </c>
      <c r="M642" s="248">
        <f>ROUND(IF(C642="L",(L642-G642),(G642-L642)),4)</f>
        <v>-47.72</v>
      </c>
      <c r="N642" s="249">
        <f>IFERROR(ROUND((M642/I642),2),"")</f>
        <v>-1</v>
      </c>
      <c r="O642" s="250">
        <f>IF(D642="O",IF(N642&lt;0,N642,0),0)</f>
        <v>0</v>
      </c>
      <c r="P642" s="251">
        <f>IF(N642&gt;= 0,N642,0)</f>
        <v>0</v>
      </c>
      <c r="Q642" s="251">
        <f>IF(N642&lt;0,N642,0)</f>
        <v>-1</v>
      </c>
      <c r="R6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24834</v>
      </c>
      <c r="T6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25134</v>
      </c>
      <c r="U642" s="253">
        <f ca="1">IF(Tabla33610673[[#This Row],[Equity]]&lt;Tabla33610673[[#This Row],[Equity Peak]],(Tabla33610673[[#This Row],[Equity Peak]]-Tabla33610673[[#This Row],[Equity]])/Tabla33610673[[#This Row],[Equity Peak]],"")</f>
        <v>1.1936022917164E-2</v>
      </c>
      <c r="V642" s="254">
        <f>IF(B642="FX",N642,0)</f>
        <v>0</v>
      </c>
      <c r="W642" s="254">
        <f>IF(D642="O",IF(V642&lt;0,V642,0),0)</f>
        <v>0</v>
      </c>
      <c r="X642" s="254">
        <f>IF(B642="COM",N642,0)</f>
        <v>0</v>
      </c>
      <c r="Y642" s="254">
        <f>IF(D642="O",IF(X642&lt;0,X642,0),0)</f>
        <v>0</v>
      </c>
      <c r="Z642" s="254">
        <f>IF(B642="IND",N642,0)</f>
        <v>-1</v>
      </c>
      <c r="AA642" s="250">
        <f>IF(D642="O",IF(Z642&lt;0,Z642,0),0)</f>
        <v>0</v>
      </c>
      <c r="AB642" s="254">
        <f>IF(B642="CRYPTO",N642,0)</f>
        <v>0</v>
      </c>
      <c r="AC642" s="250">
        <f>IF(D642="O",IF(AB642&lt;0,AB642,0),0)</f>
        <v>0</v>
      </c>
      <c r="AD642" s="255">
        <f>IF(K642&lt;&gt;"",K642-E642,0)</f>
        <v>0.21388888888759539</v>
      </c>
      <c r="AE642" s="255">
        <f>IF(N642&gt;0,AD642,0)</f>
        <v>0</v>
      </c>
      <c r="AF642" s="255">
        <f>IF(N642&lt;0,AD642,0)</f>
        <v>0.21388888888759539</v>
      </c>
      <c r="AG642" s="255">
        <f>IF(N642=0,AD642,0)</f>
        <v>0</v>
      </c>
    </row>
    <row r="643" spans="2:33" ht="15" customHeight="1" x14ac:dyDescent="0.3">
      <c r="B643" s="196" t="s">
        <v>5</v>
      </c>
      <c r="C643" s="197" t="s">
        <v>15</v>
      </c>
      <c r="D643" s="246" t="str">
        <f>IF(E643&lt;&gt;"",IF(K643&lt;&gt;"","C","O"),"")</f>
        <v>C</v>
      </c>
      <c r="E643" s="199">
        <v>44642.697916666664</v>
      </c>
      <c r="F643" s="200" t="s">
        <v>92</v>
      </c>
      <c r="G643" s="235">
        <v>14468.96</v>
      </c>
      <c r="H643" s="235">
        <v>14429.22</v>
      </c>
      <c r="I643" s="247">
        <f>ABS(G643-H643)</f>
        <v>39.739999999999782</v>
      </c>
      <c r="J643" s="235">
        <v>15210.73</v>
      </c>
      <c r="K643" s="199">
        <v>44642.7</v>
      </c>
      <c r="L643" s="235">
        <v>14429.22</v>
      </c>
      <c r="M643" s="248">
        <f>ROUND(IF(C643="L",(L643-G643),(G643-L643)),4)</f>
        <v>-39.74</v>
      </c>
      <c r="N643" s="249">
        <f>IFERROR(ROUND((M643/I643),2),"")</f>
        <v>-1</v>
      </c>
      <c r="O643" s="250">
        <f>IF(D643="O",IF(N643&lt;0,N643,0),0)</f>
        <v>0</v>
      </c>
      <c r="P643" s="251">
        <f>IF(N643&gt;= 0,N643,0)</f>
        <v>0</v>
      </c>
      <c r="Q643" s="251">
        <f>IF(N643&lt;0,N643,0)</f>
        <v>-1</v>
      </c>
      <c r="R6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24934</v>
      </c>
      <c r="T6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25134</v>
      </c>
      <c r="U643" s="253">
        <f ca="1">IF(Tabla33610673[[#This Row],[Equity]]&lt;Tabla33610673[[#This Row],[Equity Peak]],(Tabla33610673[[#This Row],[Equity Peak]]-Tabla33610673[[#This Row],[Equity]])/Tabla33610673[[#This Row],[Equity Peak]],"")</f>
        <v>7.9573486114426668E-3</v>
      </c>
      <c r="V643" s="254">
        <f>IF(B643="FX",N643,0)</f>
        <v>0</v>
      </c>
      <c r="W643" s="254">
        <f>IF(D643="O",IF(V643&lt;0,V643,0),0)</f>
        <v>0</v>
      </c>
      <c r="X643" s="254">
        <f>IF(B643="COM",N643,0)</f>
        <v>0</v>
      </c>
      <c r="Y643" s="254">
        <f>IF(D643="O",IF(X643&lt;0,X643,0),0)</f>
        <v>0</v>
      </c>
      <c r="Z643" s="254">
        <f>IF(B643="IND",N643,0)</f>
        <v>-1</v>
      </c>
      <c r="AA643" s="250">
        <f>IF(D643="O",IF(Z643&lt;0,Z643,0),0)</f>
        <v>0</v>
      </c>
      <c r="AB643" s="254">
        <f>IF(B643="CRYPTO",N643,0)</f>
        <v>0</v>
      </c>
      <c r="AC643" s="250">
        <f>IF(D643="O",IF(AB643&lt;0,AB643,0),0)</f>
        <v>0</v>
      </c>
      <c r="AD643" s="255">
        <f>IF(K643&lt;&gt;"",K643-E643,0)</f>
        <v>2.0833333328482695E-3</v>
      </c>
      <c r="AE643" s="255">
        <f>IF(N643&gt;0,AD643,0)</f>
        <v>0</v>
      </c>
      <c r="AF643" s="255">
        <f>IF(N643&lt;0,AD643,0)</f>
        <v>2.0833333328482695E-3</v>
      </c>
      <c r="AG643" s="255">
        <f>IF(N643=0,AD643,0)</f>
        <v>0</v>
      </c>
    </row>
    <row r="644" spans="2:33" ht="15" customHeight="1" x14ac:dyDescent="0.3">
      <c r="B644" s="196" t="s">
        <v>5</v>
      </c>
      <c r="C644" s="197" t="s">
        <v>15</v>
      </c>
      <c r="D644" s="246" t="str">
        <f>IF(E644&lt;&gt;"",IF(K644&lt;&gt;"","C","O"),"")</f>
        <v>C</v>
      </c>
      <c r="E644" s="199">
        <v>44642.697916666664</v>
      </c>
      <c r="F644" s="200" t="s">
        <v>93</v>
      </c>
      <c r="G644" s="235">
        <v>14468.96</v>
      </c>
      <c r="H644" s="235">
        <v>14421.95</v>
      </c>
      <c r="I644" s="247">
        <f>ABS(G644-H644)</f>
        <v>47.009999999998399</v>
      </c>
      <c r="J644" s="235">
        <v>14970.4</v>
      </c>
      <c r="K644" s="199">
        <v>44642.7</v>
      </c>
      <c r="L644" s="235">
        <v>14421.95</v>
      </c>
      <c r="M644" s="248">
        <f>ROUND(IF(C644="L",(L644-G644),(G644-L644)),4)</f>
        <v>-47.01</v>
      </c>
      <c r="N644" s="249">
        <f>IFERROR(ROUND((M644/I644),2),"")</f>
        <v>-1</v>
      </c>
      <c r="O644" s="250">
        <f>IF(D644="O",IF(N644&lt;0,N644,0),0)</f>
        <v>0</v>
      </c>
      <c r="P644" s="251">
        <f>IF(N644&gt;= 0,N644,0)</f>
        <v>0</v>
      </c>
      <c r="Q644" s="251">
        <f>IF(N644&lt;0,N644,0)</f>
        <v>-1</v>
      </c>
      <c r="R6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25034</v>
      </c>
      <c r="T6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25134</v>
      </c>
      <c r="U644" s="253">
        <f ca="1">IF(Tabla33610673[[#This Row],[Equity]]&lt;Tabla33610673[[#This Row],[Equity Peak]],(Tabla33610673[[#This Row],[Equity Peak]]-Tabla33610673[[#This Row],[Equity]])/Tabla33610673[[#This Row],[Equity Peak]],"")</f>
        <v>3.9786743057213334E-3</v>
      </c>
      <c r="V644" s="254">
        <f>IF(B644="FX",N644,0)</f>
        <v>0</v>
      </c>
      <c r="W644" s="254">
        <f>IF(D644="O",IF(V644&lt;0,V644,0),0)</f>
        <v>0</v>
      </c>
      <c r="X644" s="254">
        <f>IF(B644="COM",N644,0)</f>
        <v>0</v>
      </c>
      <c r="Y644" s="254">
        <f>IF(D644="O",IF(X644&lt;0,X644,0),0)</f>
        <v>0</v>
      </c>
      <c r="Z644" s="254">
        <f>IF(B644="IND",N644,0)</f>
        <v>-1</v>
      </c>
      <c r="AA644" s="250">
        <f>IF(D644="O",IF(Z644&lt;0,Z644,0),0)</f>
        <v>0</v>
      </c>
      <c r="AB644" s="254">
        <f>IF(B644="CRYPTO",N644,0)</f>
        <v>0</v>
      </c>
      <c r="AC644" s="250">
        <f>IF(D644="O",IF(AB644&lt;0,AB644,0),0)</f>
        <v>0</v>
      </c>
      <c r="AD644" s="255">
        <f>IF(K644&lt;&gt;"",K644-E644,0)</f>
        <v>2.0833333328482695E-3</v>
      </c>
      <c r="AE644" s="255">
        <f>IF(N644&gt;0,AD644,0)</f>
        <v>0</v>
      </c>
      <c r="AF644" s="255">
        <f>IF(N644&lt;0,AD644,0)</f>
        <v>2.0833333328482695E-3</v>
      </c>
      <c r="AG644" s="255">
        <f>IF(N644=0,AD644,0)</f>
        <v>0</v>
      </c>
    </row>
    <row r="645" spans="2:33" ht="15" customHeight="1" x14ac:dyDescent="0.3">
      <c r="B645" s="196" t="s">
        <v>7</v>
      </c>
      <c r="C645" s="197" t="s">
        <v>15</v>
      </c>
      <c r="D645" s="246" t="str">
        <f>IF(E645&lt;&gt;"",IF(K645&lt;&gt;"","C","O"),"")</f>
        <v>C</v>
      </c>
      <c r="E645" s="199">
        <v>44641.854166666664</v>
      </c>
      <c r="F645" s="200" t="s">
        <v>116</v>
      </c>
      <c r="G645" s="235">
        <v>119.413</v>
      </c>
      <c r="H645" s="235">
        <v>119.244</v>
      </c>
      <c r="I645" s="247">
        <f>ABS(G645-H645)</f>
        <v>0.16899999999999693</v>
      </c>
      <c r="J645" s="235">
        <v>121.167</v>
      </c>
      <c r="K645" s="199">
        <v>44642.60833333333</v>
      </c>
      <c r="L645" s="235">
        <v>120.691</v>
      </c>
      <c r="M645" s="248">
        <f>ROUND(IF(C645="L",(L645-G645),(G645-L645)),4)</f>
        <v>1.278</v>
      </c>
      <c r="N645" s="249">
        <f>IFERROR(ROUND((M645/I645),2),"")</f>
        <v>7.56</v>
      </c>
      <c r="O645" s="250">
        <f>IF(D645="O",IF(N645&lt;0,N645,0),0)</f>
        <v>0</v>
      </c>
      <c r="P645" s="251">
        <f>IF(N645&gt;= 0,N645,0)</f>
        <v>7.56</v>
      </c>
      <c r="Q645" s="251">
        <f>IF(N645&lt;0,N645,0)</f>
        <v>0</v>
      </c>
      <c r="R6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25134</v>
      </c>
      <c r="T6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25134</v>
      </c>
      <c r="U64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45" s="254">
        <f>IF(B645="FX",N645,0)</f>
        <v>7.56</v>
      </c>
      <c r="W645" s="254">
        <f>IF(D645="O",IF(V645&lt;0,V645,0),0)</f>
        <v>0</v>
      </c>
      <c r="X645" s="254">
        <f>IF(B645="COM",N645,0)</f>
        <v>0</v>
      </c>
      <c r="Y645" s="254">
        <f>IF(D645="O",IF(X645&lt;0,X645,0),0)</f>
        <v>0</v>
      </c>
      <c r="Z645" s="254">
        <f>IF(B645="IND",N645,0)</f>
        <v>0</v>
      </c>
      <c r="AA645" s="250">
        <f>IF(D645="O",IF(Z645&lt;0,Z645,0),0)</f>
        <v>0</v>
      </c>
      <c r="AB645" s="254">
        <f>IF(B645="CRYPTO",N645,0)</f>
        <v>0</v>
      </c>
      <c r="AC645" s="250">
        <f>IF(D645="O",IF(AB645&lt;0,AB645,0),0)</f>
        <v>0</v>
      </c>
      <c r="AD645" s="255">
        <f>IF(K645&lt;&gt;"",K645-E645,0)</f>
        <v>0.75416666666569654</v>
      </c>
      <c r="AE645" s="255">
        <f>IF(N645&gt;0,AD645,0)</f>
        <v>0.75416666666569654</v>
      </c>
      <c r="AF645" s="255">
        <f>IF(N645&lt;0,AD645,0)</f>
        <v>0</v>
      </c>
      <c r="AG645" s="255">
        <f>IF(N645=0,AD645,0)</f>
        <v>0</v>
      </c>
    </row>
    <row r="646" spans="2:33" ht="15" customHeight="1" x14ac:dyDescent="0.3">
      <c r="B646" s="196" t="s">
        <v>7</v>
      </c>
      <c r="C646" s="197" t="s">
        <v>15</v>
      </c>
      <c r="D646" s="246" t="str">
        <f>IF(E646&lt;&gt;"",IF(K646&lt;&gt;"","C","O"),"")</f>
        <v>C</v>
      </c>
      <c r="E646" s="199">
        <v>44641.760416666664</v>
      </c>
      <c r="F646" s="200" t="s">
        <v>115</v>
      </c>
      <c r="G646" s="235">
        <v>157.29599999999999</v>
      </c>
      <c r="H646" s="235">
        <v>156.92099999999999</v>
      </c>
      <c r="I646" s="247">
        <f>ABS(G646-H646)</f>
        <v>0.375</v>
      </c>
      <c r="J646" s="235">
        <v>158.369</v>
      </c>
      <c r="K646" s="199">
        <v>44642.466666666667</v>
      </c>
      <c r="L646" s="235">
        <v>158.369</v>
      </c>
      <c r="M646" s="248">
        <f>ROUND(IF(C646="L",(L646-G646),(G646-L646)),4)</f>
        <v>1.073</v>
      </c>
      <c r="N646" s="249">
        <f>IFERROR(ROUND((M646/I646),2),"")</f>
        <v>2.86</v>
      </c>
      <c r="O646" s="250">
        <f>IF(D646="O",IF(N646&lt;0,N646,0),0)</f>
        <v>0</v>
      </c>
      <c r="P646" s="251">
        <f>IF(N646&gt;= 0,N646,0)</f>
        <v>2.86</v>
      </c>
      <c r="Q646" s="251">
        <f>IF(N646&lt;0,N646,0)</f>
        <v>0</v>
      </c>
      <c r="R6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24378</v>
      </c>
      <c r="T6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24378</v>
      </c>
      <c r="U64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46" s="254">
        <f>IF(B646="FX",N646,0)</f>
        <v>2.86</v>
      </c>
      <c r="W646" s="254">
        <f>IF(D646="O",IF(V646&lt;0,V646,0),0)</f>
        <v>0</v>
      </c>
      <c r="X646" s="254">
        <f>IF(B646="COM",N646,0)</f>
        <v>0</v>
      </c>
      <c r="Y646" s="254">
        <f>IF(D646="O",IF(X646&lt;0,X646,0),0)</f>
        <v>0</v>
      </c>
      <c r="Z646" s="254">
        <f>IF(B646="IND",N646,0)</f>
        <v>0</v>
      </c>
      <c r="AA646" s="250">
        <f>IF(D646="O",IF(Z646&lt;0,Z646,0),0)</f>
        <v>0</v>
      </c>
      <c r="AB646" s="254">
        <f>IF(B646="CRYPTO",N646,0)</f>
        <v>0</v>
      </c>
      <c r="AC646" s="250">
        <f>IF(D646="O",IF(AB646&lt;0,AB646,0),0)</f>
        <v>0</v>
      </c>
      <c r="AD646" s="255">
        <f>IF(K646&lt;&gt;"",K646-E646,0)</f>
        <v>0.70625000000291038</v>
      </c>
      <c r="AE646" s="255">
        <f>IF(N646&gt;0,AD646,0)</f>
        <v>0.70625000000291038</v>
      </c>
      <c r="AF646" s="255">
        <f>IF(N646&lt;0,AD646,0)</f>
        <v>0</v>
      </c>
      <c r="AG646" s="255">
        <f>IF(N646=0,AD646,0)</f>
        <v>0</v>
      </c>
    </row>
    <row r="647" spans="2:33" ht="15" customHeight="1" x14ac:dyDescent="0.3">
      <c r="B647" s="196" t="s">
        <v>5</v>
      </c>
      <c r="C647" s="197" t="s">
        <v>15</v>
      </c>
      <c r="D647" s="246" t="str">
        <f>IF(E647&lt;&gt;"",IF(K647&lt;&gt;"","C","O"),"")</f>
        <v>C</v>
      </c>
      <c r="E647" s="199">
        <v>44638.708333333336</v>
      </c>
      <c r="F647" s="200" t="s">
        <v>92</v>
      </c>
      <c r="G647" s="235">
        <v>14151.18</v>
      </c>
      <c r="H647" s="235">
        <v>14110.03</v>
      </c>
      <c r="I647" s="247">
        <f>ABS(G647-H647)</f>
        <v>41.149999999999636</v>
      </c>
      <c r="J647" s="235">
        <v>14919.35</v>
      </c>
      <c r="K647" s="199">
        <v>44641.703472222223</v>
      </c>
      <c r="L647" s="235">
        <v>14325.3</v>
      </c>
      <c r="M647" s="248">
        <f>ROUND(IF(C647="L",(L647-G647),(G647-L647)),4)</f>
        <v>174.12</v>
      </c>
      <c r="N647" s="249">
        <f>IFERROR(ROUND((M647/I647),2),"")</f>
        <v>4.2300000000000004</v>
      </c>
      <c r="O647" s="250">
        <f>IF(D647="O",IF(N647&lt;0,N647,0),0)</f>
        <v>0</v>
      </c>
      <c r="P647" s="251">
        <f>IF(N647&gt;= 0,N647,0)</f>
        <v>4.2300000000000004</v>
      </c>
      <c r="Q647" s="251">
        <f>IF(N647&lt;0,N647,0)</f>
        <v>0</v>
      </c>
      <c r="R6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24092</v>
      </c>
      <c r="T6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24092</v>
      </c>
      <c r="U64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47" s="254">
        <f>IF(B647="FX",N647,0)</f>
        <v>0</v>
      </c>
      <c r="W647" s="254">
        <f>IF(D647="O",IF(V647&lt;0,V647,0),0)</f>
        <v>0</v>
      </c>
      <c r="X647" s="254">
        <f>IF(B647="COM",N647,0)</f>
        <v>0</v>
      </c>
      <c r="Y647" s="254">
        <f>IF(D647="O",IF(X647&lt;0,X647,0),0)</f>
        <v>0</v>
      </c>
      <c r="Z647" s="254">
        <f>IF(B647="IND",N647,0)</f>
        <v>4.2300000000000004</v>
      </c>
      <c r="AA647" s="250">
        <f>IF(D647="O",IF(Z647&lt;0,Z647,0),0)</f>
        <v>0</v>
      </c>
      <c r="AB647" s="254">
        <f>IF(B647="CRYPTO",N647,0)</f>
        <v>0</v>
      </c>
      <c r="AC647" s="250">
        <f>IF(D647="O",IF(AB647&lt;0,AB647,0),0)</f>
        <v>0</v>
      </c>
      <c r="AD647" s="255">
        <f>IF(K647&lt;&gt;"",K647-E647,0)</f>
        <v>2.9951388888875954</v>
      </c>
      <c r="AE647" s="255">
        <f>IF(N647&gt;0,AD647,0)</f>
        <v>2.9951388888875954</v>
      </c>
      <c r="AF647" s="255">
        <f>IF(N647&lt;0,AD647,0)</f>
        <v>0</v>
      </c>
      <c r="AG647" s="255">
        <f>IF(N647=0,AD647,0)</f>
        <v>0</v>
      </c>
    </row>
    <row r="648" spans="2:33" ht="15" customHeight="1" x14ac:dyDescent="0.3">
      <c r="B648" s="196" t="s">
        <v>7</v>
      </c>
      <c r="C648" s="197" t="s">
        <v>15</v>
      </c>
      <c r="D648" s="246" t="str">
        <f>IF(E648&lt;&gt;"",IF(K648&lt;&gt;"","C","O"),"")</f>
        <v>C</v>
      </c>
      <c r="E648" s="199">
        <v>44638.71875</v>
      </c>
      <c r="F648" s="200" t="s">
        <v>115</v>
      </c>
      <c r="G648" s="235">
        <v>156.804</v>
      </c>
      <c r="H648" s="235">
        <v>156.351</v>
      </c>
      <c r="I648" s="247">
        <f>ABS(G648-H648)</f>
        <v>0.45300000000000296</v>
      </c>
      <c r="J648" s="235">
        <v>158.09800000000001</v>
      </c>
      <c r="K648" s="199">
        <v>44641.560416666667</v>
      </c>
      <c r="L648" s="235">
        <v>156.65899999999999</v>
      </c>
      <c r="M648" s="248">
        <f>ROUND(IF(C648="L",(L648-G648),(G648-L648)),4)</f>
        <v>-0.14499999999999999</v>
      </c>
      <c r="N648" s="249">
        <f>IFERROR(ROUND((M648/I648),2),"")</f>
        <v>-0.32</v>
      </c>
      <c r="O648" s="250">
        <f>IF(D648="O",IF(N648&lt;0,N648,0),0)</f>
        <v>0</v>
      </c>
      <c r="P648" s="251">
        <f>IF(N648&gt;= 0,N648,0)</f>
        <v>0</v>
      </c>
      <c r="Q648" s="251">
        <f>IF(N648&lt;0,N648,0)</f>
        <v>-0.32</v>
      </c>
      <c r="R6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23669</v>
      </c>
      <c r="T6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23701</v>
      </c>
      <c r="U648" s="253">
        <f ca="1">IF(Tabla33610673[[#This Row],[Equity]]&lt;Tabla33610673[[#This Row],[Equity Peak]],(Tabla33610673[[#This Row],[Equity Peak]]-Tabla33610673[[#This Row],[Equity]])/Tabla33610673[[#This Row],[Equity Peak]],"")</f>
        <v>1.3501540019408465E-3</v>
      </c>
      <c r="V648" s="254">
        <f>IF(B648="FX",N648,0)</f>
        <v>-0.32</v>
      </c>
      <c r="W648" s="254">
        <f>IF(D648="O",IF(V648&lt;0,V648,0),0)</f>
        <v>0</v>
      </c>
      <c r="X648" s="254">
        <f>IF(B648="COM",N648,0)</f>
        <v>0</v>
      </c>
      <c r="Y648" s="254">
        <f>IF(D648="O",IF(X648&lt;0,X648,0),0)</f>
        <v>0</v>
      </c>
      <c r="Z648" s="254">
        <f>IF(B648="IND",N648,0)</f>
        <v>0</v>
      </c>
      <c r="AA648" s="250">
        <f>IF(D648="O",IF(Z648&lt;0,Z648,0),0)</f>
        <v>0</v>
      </c>
      <c r="AB648" s="254">
        <f>IF(B648="CRYPTO",N648,0)</f>
        <v>0</v>
      </c>
      <c r="AC648" s="250">
        <f>IF(D648="O",IF(AB648&lt;0,AB648,0),0)</f>
        <v>0</v>
      </c>
      <c r="AD648" s="255">
        <f>IF(K648&lt;&gt;"",K648-E648,0)</f>
        <v>2.8416666666671517</v>
      </c>
      <c r="AE648" s="255">
        <f>IF(N648&gt;0,AD648,0)</f>
        <v>0</v>
      </c>
      <c r="AF648" s="255">
        <f>IF(N648&lt;0,AD648,0)</f>
        <v>2.8416666666671517</v>
      </c>
      <c r="AG648" s="255">
        <f>IF(N648=0,AD648,0)</f>
        <v>0</v>
      </c>
    </row>
    <row r="649" spans="2:33" ht="15" customHeight="1" x14ac:dyDescent="0.3">
      <c r="B649" s="196" t="s">
        <v>5</v>
      </c>
      <c r="C649" s="197" t="s">
        <v>15</v>
      </c>
      <c r="D649" s="246" t="str">
        <f>IF(E649&lt;&gt;"",IF(K649&lt;&gt;"","C","O"),"")</f>
        <v>C</v>
      </c>
      <c r="E649" s="199">
        <v>44638.708333333336</v>
      </c>
      <c r="F649" s="200" t="s">
        <v>93</v>
      </c>
      <c r="G649" s="235">
        <v>14151.18</v>
      </c>
      <c r="H649" s="235">
        <v>14105.84</v>
      </c>
      <c r="I649" s="247">
        <f>ABS(G649-H649)</f>
        <v>45.340000000000146</v>
      </c>
      <c r="J649" s="235">
        <v>14634.76</v>
      </c>
      <c r="K649" s="199">
        <v>44641.345138888886</v>
      </c>
      <c r="L649" s="235">
        <v>14335.8</v>
      </c>
      <c r="M649" s="248">
        <f>ROUND(IF(C649="L",(L649-G649),(G649-L649)),4)</f>
        <v>184.62</v>
      </c>
      <c r="N649" s="249">
        <f>IFERROR(ROUND((M649/I649),2),"")</f>
        <v>4.07</v>
      </c>
      <c r="O649" s="250">
        <f>IF(D649="O",IF(N649&lt;0,N649,0),0)</f>
        <v>0</v>
      </c>
      <c r="P649" s="251">
        <f>IF(N649&gt;= 0,N649,0)</f>
        <v>4.07</v>
      </c>
      <c r="Q649" s="251">
        <f>IF(N649&lt;0,N649,0)</f>
        <v>0</v>
      </c>
      <c r="R6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23701</v>
      </c>
      <c r="T6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23701</v>
      </c>
      <c r="U64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49" s="254">
        <f>IF(B649="FX",N649,0)</f>
        <v>0</v>
      </c>
      <c r="W649" s="254">
        <f>IF(D649="O",IF(V649&lt;0,V649,0),0)</f>
        <v>0</v>
      </c>
      <c r="X649" s="254">
        <f>IF(B649="COM",N649,0)</f>
        <v>0</v>
      </c>
      <c r="Y649" s="254">
        <f>IF(D649="O",IF(X649&lt;0,X649,0),0)</f>
        <v>0</v>
      </c>
      <c r="Z649" s="254">
        <f>IF(B649="IND",N649,0)</f>
        <v>4.07</v>
      </c>
      <c r="AA649" s="250">
        <f>IF(D649="O",IF(Z649&lt;0,Z649,0),0)</f>
        <v>0</v>
      </c>
      <c r="AB649" s="254">
        <f>IF(B649="CRYPTO",N649,0)</f>
        <v>0</v>
      </c>
      <c r="AC649" s="250">
        <f>IF(D649="O",IF(AB649&lt;0,AB649,0),0)</f>
        <v>0</v>
      </c>
      <c r="AD649" s="255">
        <f>IF(K649&lt;&gt;"",K649-E649,0)</f>
        <v>2.6368055555503815</v>
      </c>
      <c r="AE649" s="255">
        <f>IF(N649&gt;0,AD649,0)</f>
        <v>2.6368055555503815</v>
      </c>
      <c r="AF649" s="255">
        <f>IF(N649&lt;0,AD649,0)</f>
        <v>0</v>
      </c>
      <c r="AG649" s="255">
        <f>IF(N649=0,AD649,0)</f>
        <v>0</v>
      </c>
    </row>
    <row r="650" spans="2:33" ht="15" customHeight="1" x14ac:dyDescent="0.3">
      <c r="B650" s="196" t="s">
        <v>7</v>
      </c>
      <c r="C650" s="197" t="s">
        <v>15</v>
      </c>
      <c r="D650" s="246" t="str">
        <f>IF(E650&lt;&gt;"",IF(K650&lt;&gt;"","C","O"),"")</f>
        <v>C</v>
      </c>
      <c r="E650" s="199">
        <v>44638.666666666664</v>
      </c>
      <c r="F650" s="200" t="s">
        <v>116</v>
      </c>
      <c r="G650" s="235">
        <v>119.187</v>
      </c>
      <c r="H650" s="235">
        <v>119.009</v>
      </c>
      <c r="I650" s="247">
        <f>ABS(G650-H650)</f>
        <v>0.17799999999999727</v>
      </c>
      <c r="J650" s="235">
        <v>121.03400000000001</v>
      </c>
      <c r="K650" s="199">
        <v>44638.709027777775</v>
      </c>
      <c r="L650" s="235">
        <v>119.181</v>
      </c>
      <c r="M650" s="248">
        <f>ROUND(IF(C650="L",(L650-G650),(G650-L650)),4)</f>
        <v>-6.0000000000000001E-3</v>
      </c>
      <c r="N650" s="249">
        <f>IFERROR(ROUND((M650/I650),2),"")</f>
        <v>-0.03</v>
      </c>
      <c r="O650" s="250">
        <f>IF(D650="O",IF(N650&lt;0,N650,0),0)</f>
        <v>0</v>
      </c>
      <c r="P650" s="251">
        <f>IF(N650&gt;= 0,N650,0)</f>
        <v>0</v>
      </c>
      <c r="Q650" s="251">
        <f>IF(N650&lt;0,N650,0)</f>
        <v>-0.03</v>
      </c>
      <c r="R6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23294</v>
      </c>
      <c r="T6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0" s="253">
        <f ca="1">IF(Tabla33610673[[#This Row],[Equity]]&lt;Tabla33610673[[#This Row],[Equity Peak]],(Tabla33610673[[#This Row],[Equity Peak]]-Tabla33610673[[#This Row],[Equity]])/Tabla33610673[[#This Row],[Equity Peak]],"")</f>
        <v>1.5219413207068572E-2</v>
      </c>
      <c r="V650" s="254">
        <f>IF(B650="FX",N650,0)</f>
        <v>-0.03</v>
      </c>
      <c r="W650" s="254">
        <f>IF(D650="O",IF(V650&lt;0,V650,0),0)</f>
        <v>0</v>
      </c>
      <c r="X650" s="254">
        <f>IF(B650="COM",N650,0)</f>
        <v>0</v>
      </c>
      <c r="Y650" s="254">
        <f>IF(D650="O",IF(X650&lt;0,X650,0),0)</f>
        <v>0</v>
      </c>
      <c r="Z650" s="254">
        <f>IF(B650="IND",N650,0)</f>
        <v>0</v>
      </c>
      <c r="AA650" s="250">
        <f>IF(D650="O",IF(Z650&lt;0,Z650,0),0)</f>
        <v>0</v>
      </c>
      <c r="AB650" s="254">
        <f>IF(B650="CRYPTO",N650,0)</f>
        <v>0</v>
      </c>
      <c r="AC650" s="250">
        <f>IF(D650="O",IF(AB650&lt;0,AB650,0),0)</f>
        <v>0</v>
      </c>
      <c r="AD650" s="255">
        <f>IF(K650&lt;&gt;"",K650-E650,0)</f>
        <v>4.2361111110949423E-2</v>
      </c>
      <c r="AE650" s="255">
        <f>IF(N650&gt;0,AD650,0)</f>
        <v>0</v>
      </c>
      <c r="AF650" s="255">
        <f>IF(N650&lt;0,AD650,0)</f>
        <v>4.2361111110949423E-2</v>
      </c>
      <c r="AG650" s="255">
        <f>IF(N650=0,AD650,0)</f>
        <v>0</v>
      </c>
    </row>
    <row r="651" spans="2:33" ht="15" customHeight="1" x14ac:dyDescent="0.3">
      <c r="B651" s="196" t="s">
        <v>5</v>
      </c>
      <c r="C651" s="197" t="s">
        <v>15</v>
      </c>
      <c r="D651" s="246" t="str">
        <f>IF(E651&lt;&gt;"",IF(K651&lt;&gt;"","C","O"),"")</f>
        <v>C</v>
      </c>
      <c r="E651" s="199">
        <v>44637.854166666664</v>
      </c>
      <c r="F651" s="200" t="s">
        <v>92</v>
      </c>
      <c r="G651" s="235">
        <v>14035.07</v>
      </c>
      <c r="H651" s="235">
        <v>13982.41</v>
      </c>
      <c r="I651" s="247">
        <f>ABS(G651-H651)</f>
        <v>52.659999999999854</v>
      </c>
      <c r="J651" s="235">
        <v>15018.04</v>
      </c>
      <c r="K651" s="199">
        <v>44638.158333333333</v>
      </c>
      <c r="L651" s="235">
        <v>13982.41</v>
      </c>
      <c r="M651" s="248">
        <f>ROUND(IF(C651="L",(L651-G651),(G651-L651)),4)</f>
        <v>-52.66</v>
      </c>
      <c r="N651" s="249">
        <f>IFERROR(ROUND((M651/I651),2),"")</f>
        <v>-1</v>
      </c>
      <c r="O651" s="250">
        <f>IF(D651="O",IF(N651&lt;0,N651,0),0)</f>
        <v>0</v>
      </c>
      <c r="P651" s="251">
        <f>IF(N651&gt;= 0,N651,0)</f>
        <v>0</v>
      </c>
      <c r="Q651" s="251">
        <f>IF(N651&lt;0,N651,0)</f>
        <v>-1</v>
      </c>
      <c r="R6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23297</v>
      </c>
      <c r="T6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1" s="253">
        <f ca="1">IF(Tabla33610673[[#This Row],[Equity]]&lt;Tabla33610673[[#This Row],[Equity Peak]],(Tabla33610673[[#This Row],[Equity Peak]]-Tabla33610673[[#This Row],[Equity]])/Tabla33610673[[#This Row],[Equity Peak]],"")</f>
        <v>1.5092584763676333E-2</v>
      </c>
      <c r="V651" s="254">
        <f>IF(B651="FX",N651,0)</f>
        <v>0</v>
      </c>
      <c r="W651" s="254">
        <f>IF(D651="O",IF(V651&lt;0,V651,0),0)</f>
        <v>0</v>
      </c>
      <c r="X651" s="254">
        <f>IF(B651="COM",N651,0)</f>
        <v>0</v>
      </c>
      <c r="Y651" s="254">
        <f>IF(D651="O",IF(X651&lt;0,X651,0),0)</f>
        <v>0</v>
      </c>
      <c r="Z651" s="254">
        <f>IF(B651="IND",N651,0)</f>
        <v>-1</v>
      </c>
      <c r="AA651" s="250">
        <f>IF(D651="O",IF(Z651&lt;0,Z651,0),0)</f>
        <v>0</v>
      </c>
      <c r="AB651" s="254">
        <f>IF(B651="CRYPTO",N651,0)</f>
        <v>0</v>
      </c>
      <c r="AC651" s="250">
        <f>IF(D651="O",IF(AB651&lt;0,AB651,0),0)</f>
        <v>0</v>
      </c>
      <c r="AD651" s="255">
        <f>IF(K651&lt;&gt;"",K651-E651,0)</f>
        <v>0.30416666666860692</v>
      </c>
      <c r="AE651" s="255">
        <f>IF(N651&gt;0,AD651,0)</f>
        <v>0</v>
      </c>
      <c r="AF651" s="255">
        <f>IF(N651&lt;0,AD651,0)</f>
        <v>0.30416666666860692</v>
      </c>
      <c r="AG651" s="255">
        <f>IF(N651=0,AD651,0)</f>
        <v>0</v>
      </c>
    </row>
    <row r="652" spans="2:33" ht="15" customHeight="1" x14ac:dyDescent="0.3">
      <c r="B652" s="196" t="s">
        <v>5</v>
      </c>
      <c r="C652" s="197" t="s">
        <v>15</v>
      </c>
      <c r="D652" s="246" t="str">
        <f>IF(E652&lt;&gt;"",IF(K652&lt;&gt;"","C","O"),"")</f>
        <v>C</v>
      </c>
      <c r="E652" s="199">
        <v>44637.854166666664</v>
      </c>
      <c r="F652" s="200" t="s">
        <v>93</v>
      </c>
      <c r="G652" s="235">
        <v>14035.07</v>
      </c>
      <c r="H652" s="235">
        <v>13969.82</v>
      </c>
      <c r="I652" s="247">
        <f>ABS(G652-H652)</f>
        <v>65.25</v>
      </c>
      <c r="J652" s="235">
        <v>14731.1</v>
      </c>
      <c r="K652" s="199">
        <v>44638.158333333333</v>
      </c>
      <c r="L652" s="235">
        <v>13984.15</v>
      </c>
      <c r="M652" s="248">
        <f>ROUND(IF(C652="L",(L652-G652),(G652-L652)),4)</f>
        <v>-50.92</v>
      </c>
      <c r="N652" s="249">
        <f>IFERROR(ROUND((M652/I652),2),"")</f>
        <v>-0.78</v>
      </c>
      <c r="O652" s="250">
        <f>IF(D652="O",IF(N652&lt;0,N652,0),0)</f>
        <v>0</v>
      </c>
      <c r="P652" s="251">
        <f>IF(N652&gt;= 0,N652,0)</f>
        <v>0</v>
      </c>
      <c r="Q652" s="251">
        <f>IF(N652&lt;0,N652,0)</f>
        <v>-0.78</v>
      </c>
      <c r="R6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23397</v>
      </c>
      <c r="T6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2" s="253">
        <f ca="1">IF(Tabla33610673[[#This Row],[Equity]]&lt;Tabla33610673[[#This Row],[Equity Peak]],(Tabla33610673[[#This Row],[Equity Peak]]-Tabla33610673[[#This Row],[Equity]])/Tabla33610673[[#This Row],[Equity Peak]],"")</f>
        <v>1.0864969983935064E-2</v>
      </c>
      <c r="V652" s="254">
        <f>IF(B652="FX",N652,0)</f>
        <v>0</v>
      </c>
      <c r="W652" s="254">
        <f>IF(D652="O",IF(V652&lt;0,V652,0),0)</f>
        <v>0</v>
      </c>
      <c r="X652" s="254">
        <f>IF(B652="COM",N652,0)</f>
        <v>0</v>
      </c>
      <c r="Y652" s="254">
        <f>IF(D652="O",IF(X652&lt;0,X652,0),0)</f>
        <v>0</v>
      </c>
      <c r="Z652" s="254">
        <f>IF(B652="IND",N652,0)</f>
        <v>-0.78</v>
      </c>
      <c r="AA652" s="250">
        <f>IF(D652="O",IF(Z652&lt;0,Z652,0),0)</f>
        <v>0</v>
      </c>
      <c r="AB652" s="254">
        <f>IF(B652="CRYPTO",N652,0)</f>
        <v>0</v>
      </c>
      <c r="AC652" s="250">
        <f>IF(D652="O",IF(AB652&lt;0,AB652,0),0)</f>
        <v>0</v>
      </c>
      <c r="AD652" s="255">
        <f>IF(K652&lt;&gt;"",K652-E652,0)</f>
        <v>0.30416666666860692</v>
      </c>
      <c r="AE652" s="255">
        <f>IF(N652&gt;0,AD652,0)</f>
        <v>0</v>
      </c>
      <c r="AF652" s="255">
        <f>IF(N652&lt;0,AD652,0)</f>
        <v>0.30416666666860692</v>
      </c>
      <c r="AG652" s="255">
        <f>IF(N652=0,AD652,0)</f>
        <v>0</v>
      </c>
    </row>
    <row r="653" spans="2:33" ht="15" customHeight="1" x14ac:dyDescent="0.3">
      <c r="B653" s="196" t="s">
        <v>7</v>
      </c>
      <c r="C653" s="197" t="s">
        <v>15</v>
      </c>
      <c r="D653" s="246" t="str">
        <f>IF(E653&lt;&gt;"",IF(K653&lt;&gt;"","C","O"),"")</f>
        <v>C</v>
      </c>
      <c r="E653" s="199">
        <v>44637.833333333336</v>
      </c>
      <c r="F653" s="200" t="s">
        <v>114</v>
      </c>
      <c r="G653" s="235">
        <v>1.1131200000000001</v>
      </c>
      <c r="H653" s="235">
        <v>1.1108</v>
      </c>
      <c r="I653" s="247">
        <f>ABS(G653-H653)</f>
        <v>2.3200000000000998E-3</v>
      </c>
      <c r="J653" s="235">
        <v>1.1339900000000001</v>
      </c>
      <c r="K653" s="199">
        <v>44637.894444444442</v>
      </c>
      <c r="L653" s="235">
        <v>1.1108</v>
      </c>
      <c r="M653" s="248">
        <f>ROUND(IF(C653="L",(L653-G653),(G653-L653)),4)</f>
        <v>-2.3E-3</v>
      </c>
      <c r="N653" s="249">
        <f>IFERROR(ROUND((M653/I653),2),"")</f>
        <v>-0.99</v>
      </c>
      <c r="O653" s="250">
        <f>IF(D653="O",IF(N653&lt;0,N653,0),0)</f>
        <v>0</v>
      </c>
      <c r="P653" s="251">
        <f>IF(N653&gt;= 0,N653,0)</f>
        <v>0</v>
      </c>
      <c r="Q653" s="251">
        <f>IF(N653&lt;0,N653,0)</f>
        <v>-0.99</v>
      </c>
      <c r="R6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23475</v>
      </c>
      <c r="T6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3" s="253">
        <f ca="1">IF(Tabla33610673[[#This Row],[Equity]]&lt;Tabla33610673[[#This Row],[Equity Peak]],(Tabla33610673[[#This Row],[Equity Peak]]-Tabla33610673[[#This Row],[Equity]])/Tabla33610673[[#This Row],[Equity Peak]],"")</f>
        <v>7.5674304557368736E-3</v>
      </c>
      <c r="V653" s="254">
        <f>IF(B653="FX",N653,0)</f>
        <v>-0.99</v>
      </c>
      <c r="W653" s="254">
        <f>IF(D653="O",IF(V653&lt;0,V653,0),0)</f>
        <v>0</v>
      </c>
      <c r="X653" s="254">
        <f>IF(B653="COM",N653,0)</f>
        <v>0</v>
      </c>
      <c r="Y653" s="254">
        <f>IF(D653="O",IF(X653&lt;0,X653,0),0)</f>
        <v>0</v>
      </c>
      <c r="Z653" s="254">
        <f>IF(B653="IND",N653,0)</f>
        <v>0</v>
      </c>
      <c r="AA653" s="250">
        <f>IF(D653="O",IF(Z653&lt;0,Z653,0),0)</f>
        <v>0</v>
      </c>
      <c r="AB653" s="254">
        <f>IF(B653="CRYPTO",N653,0)</f>
        <v>0</v>
      </c>
      <c r="AC653" s="250">
        <f>IF(D653="O",IF(AB653&lt;0,AB653,0),0)</f>
        <v>0</v>
      </c>
      <c r="AD653" s="255">
        <f>IF(K653&lt;&gt;"",K653-E653,0)</f>
        <v>6.1111111106583849E-2</v>
      </c>
      <c r="AE653" s="255">
        <f>IF(N653&gt;0,AD653,0)</f>
        <v>0</v>
      </c>
      <c r="AF653" s="255">
        <f>IF(N653&lt;0,AD653,0)</f>
        <v>6.1111111106583849E-2</v>
      </c>
      <c r="AG653" s="255">
        <f>IF(N653=0,AD653,0)</f>
        <v>0</v>
      </c>
    </row>
    <row r="654" spans="2:33" ht="15" customHeight="1" x14ac:dyDescent="0.3">
      <c r="B654" s="196" t="s">
        <v>5</v>
      </c>
      <c r="C654" s="197" t="s">
        <v>15</v>
      </c>
      <c r="D654" s="246" t="str">
        <f>IF(E654&lt;&gt;"",IF(K654&lt;&gt;"","C","O"),"")</f>
        <v>C</v>
      </c>
      <c r="E654" s="199">
        <v>44636.40625</v>
      </c>
      <c r="F654" s="200" t="s">
        <v>91</v>
      </c>
      <c r="G654" s="235">
        <v>14181.38</v>
      </c>
      <c r="H654" s="235">
        <v>14104.45</v>
      </c>
      <c r="I654" s="247">
        <f>ABS(G654-H654)</f>
        <v>76.929999999998472</v>
      </c>
      <c r="J654" s="235">
        <v>15617.5</v>
      </c>
      <c r="K654" s="199">
        <v>44637.546527777777</v>
      </c>
      <c r="L654" s="235">
        <v>14273.73</v>
      </c>
      <c r="M654" s="248">
        <f>ROUND(IF(C654="L",(L654-G654),(G654-L654)),4)</f>
        <v>92.35</v>
      </c>
      <c r="N654" s="249">
        <f>IFERROR(ROUND((M654/I654),2),"")</f>
        <v>1.2</v>
      </c>
      <c r="O654" s="250">
        <f>IF(D654="O",IF(N654&lt;0,N654,0),0)</f>
        <v>0</v>
      </c>
      <c r="P654" s="251">
        <f>IF(N654&gt;= 0,N654,0)</f>
        <v>1.2</v>
      </c>
      <c r="Q654" s="251">
        <f>IF(N654&lt;0,N654,0)</f>
        <v>0</v>
      </c>
      <c r="R6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23574</v>
      </c>
      <c r="T6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4" s="253">
        <f ca="1">IF(Tabla33610673[[#This Row],[Equity]]&lt;Tabla33610673[[#This Row],[Equity Peak]],(Tabla33610673[[#This Row],[Equity Peak]]-Tabla33610673[[#This Row],[Equity]])/Tabla33610673[[#This Row],[Equity Peak]],"")</f>
        <v>3.3820918237930158E-3</v>
      </c>
      <c r="V654" s="254">
        <f>IF(B654="FX",N654,0)</f>
        <v>0</v>
      </c>
      <c r="W654" s="254">
        <f>IF(D654="O",IF(V654&lt;0,V654,0),0)</f>
        <v>0</v>
      </c>
      <c r="X654" s="254">
        <f>IF(B654="COM",N654,0)</f>
        <v>0</v>
      </c>
      <c r="Y654" s="254">
        <f>IF(D654="O",IF(X654&lt;0,X654,0),0)</f>
        <v>0</v>
      </c>
      <c r="Z654" s="254">
        <f>IF(B654="IND",N654,0)</f>
        <v>1.2</v>
      </c>
      <c r="AA654" s="250">
        <f>IF(D654="O",IF(Z654&lt;0,Z654,0),0)</f>
        <v>0</v>
      </c>
      <c r="AB654" s="254">
        <f>IF(B654="CRYPTO",N654,0)</f>
        <v>0</v>
      </c>
      <c r="AC654" s="250">
        <f>IF(D654="O",IF(AB654&lt;0,AB654,0),0)</f>
        <v>0</v>
      </c>
      <c r="AD654" s="255">
        <f>IF(K654&lt;&gt;"",K654-E654,0)</f>
        <v>1.140277777776646</v>
      </c>
      <c r="AE654" s="255">
        <f>IF(N654&gt;0,AD654,0)</f>
        <v>1.140277777776646</v>
      </c>
      <c r="AF654" s="255">
        <f>IF(N654&lt;0,AD654,0)</f>
        <v>0</v>
      </c>
      <c r="AG654" s="255">
        <f>IF(N654=0,AD654,0)</f>
        <v>0</v>
      </c>
    </row>
    <row r="655" spans="2:33" ht="15" customHeight="1" x14ac:dyDescent="0.3">
      <c r="B655" s="196" t="s">
        <v>5</v>
      </c>
      <c r="C655" s="197" t="s">
        <v>15</v>
      </c>
      <c r="D655" s="246" t="str">
        <f>IF(E655&lt;&gt;"",IF(K655&lt;&gt;"","C","O"),"")</f>
        <v>C</v>
      </c>
      <c r="E655" s="199">
        <v>44636.958333333336</v>
      </c>
      <c r="F655" s="200" t="s">
        <v>92</v>
      </c>
      <c r="G655" s="235">
        <v>13956.67</v>
      </c>
      <c r="H655" s="235">
        <v>13893.5</v>
      </c>
      <c r="I655" s="247">
        <f>ABS(G655-H655)</f>
        <v>63.170000000000073</v>
      </c>
      <c r="J655" s="235">
        <v>15135.89</v>
      </c>
      <c r="K655" s="199">
        <v>44637.542361111111</v>
      </c>
      <c r="L655" s="235">
        <v>13893.5</v>
      </c>
      <c r="M655" s="248">
        <f>ROUND(IF(C655="L",(L655-G655),(G655-L655)),4)</f>
        <v>-63.17</v>
      </c>
      <c r="N655" s="249">
        <f>IFERROR(ROUND((M655/I655),2),"")</f>
        <v>-1</v>
      </c>
      <c r="O655" s="250">
        <f>IF(D655="O",IF(N655&lt;0,N655,0),0)</f>
        <v>0</v>
      </c>
      <c r="P655" s="251">
        <f>IF(N655&gt;= 0,N655,0)</f>
        <v>0</v>
      </c>
      <c r="Q655" s="251">
        <f>IF(N655&lt;0,N655,0)</f>
        <v>-1</v>
      </c>
      <c r="R6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23454</v>
      </c>
      <c r="T6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5" s="253">
        <f ca="1">IF(Tabla33610673[[#This Row],[Equity]]&lt;Tabla33610673[[#This Row],[Equity Peak]],(Tabla33610673[[#This Row],[Equity Peak]]-Tabla33610673[[#This Row],[Equity]])/Tabla33610673[[#This Row],[Equity Peak]],"")</f>
        <v>8.45522955948254E-3</v>
      </c>
      <c r="V655" s="254">
        <f>IF(B655="FX",N655,0)</f>
        <v>0</v>
      </c>
      <c r="W655" s="254">
        <f>IF(D655="O",IF(V655&lt;0,V655,0),0)</f>
        <v>0</v>
      </c>
      <c r="X655" s="254">
        <f>IF(B655="COM",N655,0)</f>
        <v>0</v>
      </c>
      <c r="Y655" s="254">
        <f>IF(D655="O",IF(X655&lt;0,X655,0),0)</f>
        <v>0</v>
      </c>
      <c r="Z655" s="254">
        <f>IF(B655="IND",N655,0)</f>
        <v>-1</v>
      </c>
      <c r="AA655" s="250">
        <f>IF(D655="O",IF(Z655&lt;0,Z655,0),0)</f>
        <v>0</v>
      </c>
      <c r="AB655" s="254">
        <f>IF(B655="CRYPTO",N655,0)</f>
        <v>0</v>
      </c>
      <c r="AC655" s="250">
        <f>IF(D655="O",IF(AB655&lt;0,AB655,0),0)</f>
        <v>0</v>
      </c>
      <c r="AD655" s="255">
        <f>IF(K655&lt;&gt;"",K655-E655,0)</f>
        <v>0.58402777777519077</v>
      </c>
      <c r="AE655" s="255">
        <f>IF(N655&gt;0,AD655,0)</f>
        <v>0</v>
      </c>
      <c r="AF655" s="255">
        <f>IF(N655&lt;0,AD655,0)</f>
        <v>0.58402777777519077</v>
      </c>
      <c r="AG655" s="255">
        <f>IF(N655=0,AD655,0)</f>
        <v>0</v>
      </c>
    </row>
    <row r="656" spans="2:33" ht="15" customHeight="1" x14ac:dyDescent="0.3">
      <c r="B656" s="196" t="s">
        <v>5</v>
      </c>
      <c r="C656" s="197" t="s">
        <v>15</v>
      </c>
      <c r="D656" s="246" t="str">
        <f>IF(E656&lt;&gt;"",IF(K656&lt;&gt;"","C","O"),"")</f>
        <v>C</v>
      </c>
      <c r="E656" s="199">
        <v>44636.958333333336</v>
      </c>
      <c r="F656" s="200" t="s">
        <v>93</v>
      </c>
      <c r="G656" s="235">
        <v>13956.67</v>
      </c>
      <c r="H656" s="235">
        <v>13897.61</v>
      </c>
      <c r="I656" s="247">
        <f>ABS(G656-H656)</f>
        <v>59.059999999999491</v>
      </c>
      <c r="J656" s="235">
        <v>14586.64</v>
      </c>
      <c r="K656" s="199">
        <v>44637.513888888891</v>
      </c>
      <c r="L656" s="235">
        <v>13897.61</v>
      </c>
      <c r="M656" s="248">
        <f>ROUND(IF(C656="L",(L656-G656),(G656-L656)),4)</f>
        <v>-59.06</v>
      </c>
      <c r="N656" s="249">
        <f>IFERROR(ROUND((M656/I656),2),"")</f>
        <v>-1</v>
      </c>
      <c r="O656" s="250">
        <f>IF(D656="O",IF(N656&lt;0,N656,0),0)</f>
        <v>0</v>
      </c>
      <c r="P656" s="251">
        <f>IF(N656&gt;= 0,N656,0)</f>
        <v>0</v>
      </c>
      <c r="Q656" s="251">
        <f>IF(N656&lt;0,N656,0)</f>
        <v>-1</v>
      </c>
      <c r="R6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23554</v>
      </c>
      <c r="T6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6" s="253">
        <f ca="1">IF(Tabla33610673[[#This Row],[Equity]]&lt;Tabla33610673[[#This Row],[Equity Peak]],(Tabla33610673[[#This Row],[Equity Peak]]-Tabla33610673[[#This Row],[Equity]])/Tabla33610673[[#This Row],[Equity Peak]],"")</f>
        <v>4.22761477974127E-3</v>
      </c>
      <c r="V656" s="254">
        <f>IF(B656="FX",N656,0)</f>
        <v>0</v>
      </c>
      <c r="W656" s="254">
        <f>IF(D656="O",IF(V656&lt;0,V656,0),0)</f>
        <v>0</v>
      </c>
      <c r="X656" s="254">
        <f>IF(B656="COM",N656,0)</f>
        <v>0</v>
      </c>
      <c r="Y656" s="254">
        <f>IF(D656="O",IF(X656&lt;0,X656,0),0)</f>
        <v>0</v>
      </c>
      <c r="Z656" s="254">
        <f>IF(B656="IND",N656,0)</f>
        <v>-1</v>
      </c>
      <c r="AA656" s="250">
        <f>IF(D656="O",IF(Z656&lt;0,Z656,0),0)</f>
        <v>0</v>
      </c>
      <c r="AB656" s="254">
        <f>IF(B656="CRYPTO",N656,0)</f>
        <v>0</v>
      </c>
      <c r="AC656" s="250">
        <f>IF(D656="O",IF(AB656&lt;0,AB656,0),0)</f>
        <v>0</v>
      </c>
      <c r="AD656" s="255">
        <f>IF(K656&lt;&gt;"",K656-E656,0)</f>
        <v>0.55555555555474712</v>
      </c>
      <c r="AE656" s="255">
        <f>IF(N656&gt;0,AD656,0)</f>
        <v>0</v>
      </c>
      <c r="AF656" s="255">
        <f>IF(N656&lt;0,AD656,0)</f>
        <v>0.55555555555474712</v>
      </c>
      <c r="AG656" s="255">
        <f>IF(N656=0,AD656,0)</f>
        <v>0</v>
      </c>
    </row>
    <row r="657" spans="2:33" ht="15" customHeight="1" x14ac:dyDescent="0.3">
      <c r="B657" s="196" t="s">
        <v>7</v>
      </c>
      <c r="C657" s="197" t="s">
        <v>15</v>
      </c>
      <c r="D657" s="246" t="str">
        <f>IF(E657&lt;&gt;"",IF(K657&lt;&gt;"","C","O"),"")</f>
        <v>C</v>
      </c>
      <c r="E657" s="199">
        <v>44635.78125</v>
      </c>
      <c r="F657" s="200" t="s">
        <v>115</v>
      </c>
      <c r="G657" s="235">
        <v>154.517</v>
      </c>
      <c r="H657" s="235">
        <v>154.066</v>
      </c>
      <c r="I657" s="247">
        <f>ABS(G657-H657)</f>
        <v>0.45099999999999341</v>
      </c>
      <c r="J657" s="235">
        <v>155.80500000000001</v>
      </c>
      <c r="K657" s="199">
        <v>44636.929166666669</v>
      </c>
      <c r="L657" s="235">
        <v>155.80500000000001</v>
      </c>
      <c r="M657" s="248">
        <f>ROUND(IF(C657="L",(L657-G657),(G657-L657)),4)</f>
        <v>1.288</v>
      </c>
      <c r="N657" s="249">
        <f>IFERROR(ROUND((M657/I657),2),"")</f>
        <v>2.86</v>
      </c>
      <c r="O657" s="250">
        <f>IF(D657="O",IF(N657&lt;0,N657,0),0)</f>
        <v>0</v>
      </c>
      <c r="P657" s="251">
        <f>IF(N657&gt;= 0,N657,0)</f>
        <v>2.86</v>
      </c>
      <c r="Q657" s="251">
        <f>IF(N657&lt;0,N657,0)</f>
        <v>0</v>
      </c>
      <c r="R6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23654</v>
      </c>
      <c r="T6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23654</v>
      </c>
      <c r="U65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57" s="254">
        <f>IF(B657="FX",N657,0)</f>
        <v>2.86</v>
      </c>
      <c r="W657" s="254">
        <f>IF(D657="O",IF(V657&lt;0,V657,0),0)</f>
        <v>0</v>
      </c>
      <c r="X657" s="254">
        <f>IF(B657="COM",N657,0)</f>
        <v>0</v>
      </c>
      <c r="Y657" s="254">
        <f>IF(D657="O",IF(X657&lt;0,X657,0),0)</f>
        <v>0</v>
      </c>
      <c r="Z657" s="254">
        <f>IF(B657="IND",N657,0)</f>
        <v>0</v>
      </c>
      <c r="AA657" s="250">
        <f>IF(D657="O",IF(Z657&lt;0,Z657,0),0)</f>
        <v>0</v>
      </c>
      <c r="AB657" s="254">
        <f>IF(B657="CRYPTO",N657,0)</f>
        <v>0</v>
      </c>
      <c r="AC657" s="250">
        <f>IF(D657="O",IF(AB657&lt;0,AB657,0),0)</f>
        <v>0</v>
      </c>
      <c r="AD657" s="255">
        <f>IF(K657&lt;&gt;"",K657-E657,0)</f>
        <v>1.1479166666686069</v>
      </c>
      <c r="AE657" s="255">
        <f>IF(N657&gt;0,AD657,0)</f>
        <v>1.1479166666686069</v>
      </c>
      <c r="AF657" s="255">
        <f>IF(N657&lt;0,AD657,0)</f>
        <v>0</v>
      </c>
      <c r="AG657" s="255">
        <f>IF(N657=0,AD657,0)</f>
        <v>0</v>
      </c>
    </row>
    <row r="658" spans="2:33" ht="15" customHeight="1" x14ac:dyDescent="0.3">
      <c r="B658" s="196" t="s">
        <v>7</v>
      </c>
      <c r="C658" s="197" t="s">
        <v>15</v>
      </c>
      <c r="D658" s="246" t="str">
        <f>IF(E658&lt;&gt;"",IF(K658&lt;&gt;"","C","O"),"")</f>
        <v>C</v>
      </c>
      <c r="E658" s="199">
        <v>44636.770833333336</v>
      </c>
      <c r="F658" s="200" t="s">
        <v>116</v>
      </c>
      <c r="G658" s="235">
        <v>118.482</v>
      </c>
      <c r="H658" s="235">
        <v>118.318</v>
      </c>
      <c r="I658" s="247">
        <f>ABS(G658-H658)</f>
        <v>0.16400000000000148</v>
      </c>
      <c r="J658" s="235">
        <v>120.185</v>
      </c>
      <c r="K658" s="199">
        <v>44636.904861111114</v>
      </c>
      <c r="L658" s="235">
        <v>118.71</v>
      </c>
      <c r="M658" s="248">
        <f>ROUND(IF(C658="L",(L658-G658),(G658-L658)),4)</f>
        <v>0.22800000000000001</v>
      </c>
      <c r="N658" s="249">
        <f>IFERROR(ROUND((M658/I658),2),"")</f>
        <v>1.39</v>
      </c>
      <c r="O658" s="250">
        <f>IF(D658="O",IF(N658&lt;0,N658,0),0)</f>
        <v>0</v>
      </c>
      <c r="P658" s="251">
        <f>IF(N658&gt;= 0,N658,0)</f>
        <v>1.39</v>
      </c>
      <c r="Q658" s="251">
        <f>IF(N658&lt;0,N658,0)</f>
        <v>0</v>
      </c>
      <c r="R6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23368</v>
      </c>
      <c r="T6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23368</v>
      </c>
      <c r="U65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58" s="254">
        <f>IF(B658="FX",N658,0)</f>
        <v>1.39</v>
      </c>
      <c r="W658" s="254">
        <f>IF(D658="O",IF(V658&lt;0,V658,0),0)</f>
        <v>0</v>
      </c>
      <c r="X658" s="254">
        <f>IF(B658="COM",N658,0)</f>
        <v>0</v>
      </c>
      <c r="Y658" s="254">
        <f>IF(D658="O",IF(X658&lt;0,X658,0),0)</f>
        <v>0</v>
      </c>
      <c r="Z658" s="254">
        <f>IF(B658="IND",N658,0)</f>
        <v>0</v>
      </c>
      <c r="AA658" s="250">
        <f>IF(D658="O",IF(Z658&lt;0,Z658,0),0)</f>
        <v>0</v>
      </c>
      <c r="AB658" s="254">
        <f>IF(B658="CRYPTO",N658,0)</f>
        <v>0</v>
      </c>
      <c r="AC658" s="250">
        <f>IF(D658="O",IF(AB658&lt;0,AB658,0),0)</f>
        <v>0</v>
      </c>
      <c r="AD658" s="255">
        <f>IF(K658&lt;&gt;"",K658-E658,0)</f>
        <v>0.13402777777810115</v>
      </c>
      <c r="AE658" s="255">
        <f>IF(N658&gt;0,AD658,0)</f>
        <v>0.13402777777810115</v>
      </c>
      <c r="AF658" s="255">
        <f>IF(N658&lt;0,AD658,0)</f>
        <v>0</v>
      </c>
      <c r="AG658" s="255">
        <f>IF(N658=0,AD658,0)</f>
        <v>0</v>
      </c>
    </row>
    <row r="659" spans="2:33" ht="15" customHeight="1" x14ac:dyDescent="0.3">
      <c r="B659" s="196" t="s">
        <v>5</v>
      </c>
      <c r="C659" s="197" t="s">
        <v>15</v>
      </c>
      <c r="D659" s="246" t="str">
        <f>IF(E659&lt;&gt;"",IF(K659&lt;&gt;"","C","O"),"")</f>
        <v>C</v>
      </c>
      <c r="E659" s="199">
        <v>44636.427083333336</v>
      </c>
      <c r="F659" s="200" t="s">
        <v>93</v>
      </c>
      <c r="G659" s="235">
        <v>13617.27</v>
      </c>
      <c r="H659" s="235">
        <v>13559.5</v>
      </c>
      <c r="I659" s="247">
        <f>ABS(G659-H659)</f>
        <v>57.770000000000437</v>
      </c>
      <c r="J659" s="235">
        <v>14233.49</v>
      </c>
      <c r="K659" s="199">
        <v>44636.824999999997</v>
      </c>
      <c r="L659" s="235">
        <v>13717.01</v>
      </c>
      <c r="M659" s="248">
        <f>ROUND(IF(C659="L",(L659-G659),(G659-L659)),4)</f>
        <v>99.74</v>
      </c>
      <c r="N659" s="249">
        <f>IFERROR(ROUND((M659/I659),2),"")</f>
        <v>1.73</v>
      </c>
      <c r="O659" s="250">
        <f>IF(D659="O",IF(N659&lt;0,N659,0),0)</f>
        <v>0</v>
      </c>
      <c r="P659" s="251">
        <f>IF(N659&gt;= 0,N659,0)</f>
        <v>1.73</v>
      </c>
      <c r="Q659" s="251">
        <f>IF(N659&lt;0,N659,0)</f>
        <v>0</v>
      </c>
      <c r="R6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23229</v>
      </c>
      <c r="T6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23229</v>
      </c>
      <c r="U65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59" s="254">
        <f>IF(B659="FX",N659,0)</f>
        <v>0</v>
      </c>
      <c r="W659" s="254">
        <f>IF(D659="O",IF(V659&lt;0,V659,0),0)</f>
        <v>0</v>
      </c>
      <c r="X659" s="254">
        <f>IF(B659="COM",N659,0)</f>
        <v>0</v>
      </c>
      <c r="Y659" s="254">
        <f>IF(D659="O",IF(X659&lt;0,X659,0),0)</f>
        <v>0</v>
      </c>
      <c r="Z659" s="254">
        <f>IF(B659="IND",N659,0)</f>
        <v>1.73</v>
      </c>
      <c r="AA659" s="250">
        <f>IF(D659="O",IF(Z659&lt;0,Z659,0),0)</f>
        <v>0</v>
      </c>
      <c r="AB659" s="254">
        <f>IF(B659="CRYPTO",N659,0)</f>
        <v>0</v>
      </c>
      <c r="AC659" s="250">
        <f>IF(D659="O",IF(AB659&lt;0,AB659,0),0)</f>
        <v>0</v>
      </c>
      <c r="AD659" s="255">
        <f>IF(K659&lt;&gt;"",K659-E659,0)</f>
        <v>0.39791666666133096</v>
      </c>
      <c r="AE659" s="255">
        <f>IF(N659&gt;0,AD659,0)</f>
        <v>0.39791666666133096</v>
      </c>
      <c r="AF659" s="255">
        <f>IF(N659&lt;0,AD659,0)</f>
        <v>0</v>
      </c>
      <c r="AG659" s="255">
        <f>IF(N659=0,AD659,0)</f>
        <v>0</v>
      </c>
    </row>
    <row r="660" spans="2:33" ht="15" customHeight="1" x14ac:dyDescent="0.3">
      <c r="B660" s="196" t="s">
        <v>5</v>
      </c>
      <c r="C660" s="197" t="s">
        <v>15</v>
      </c>
      <c r="D660" s="246" t="str">
        <f>IF(E660&lt;&gt;"",IF(K660&lt;&gt;"","C","O"),"")</f>
        <v>C</v>
      </c>
      <c r="E660" s="199">
        <v>44636.729166666664</v>
      </c>
      <c r="F660" s="200" t="s">
        <v>92</v>
      </c>
      <c r="G660" s="235">
        <v>13822.8</v>
      </c>
      <c r="H660" s="235">
        <v>13777.75</v>
      </c>
      <c r="I660" s="247">
        <f>ABS(G660-H660)</f>
        <v>45.049999999999272</v>
      </c>
      <c r="J660" s="235">
        <v>14663.7</v>
      </c>
      <c r="K660" s="199">
        <v>44636.817361111112</v>
      </c>
      <c r="L660" s="235">
        <v>13777.75</v>
      </c>
      <c r="M660" s="248">
        <f>ROUND(IF(C660="L",(L660-G660),(G660-L660)),4)</f>
        <v>-45.05</v>
      </c>
      <c r="N660" s="249">
        <f>IFERROR(ROUND((M660/I660),2),"")</f>
        <v>-1</v>
      </c>
      <c r="O660" s="250">
        <f>IF(D660="O",IF(N660&lt;0,N660,0),0)</f>
        <v>0</v>
      </c>
      <c r="P660" s="251">
        <f>IF(N660&gt;= 0,N660,0)</f>
        <v>0</v>
      </c>
      <c r="Q660" s="251">
        <f>IF(N660&lt;0,N660,0)</f>
        <v>-1</v>
      </c>
      <c r="R6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23056</v>
      </c>
      <c r="T6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23156</v>
      </c>
      <c r="U660" s="253">
        <f ca="1">IF(Tabla33610673[[#This Row],[Equity]]&lt;Tabla33610673[[#This Row],[Equity Peak]],(Tabla33610673[[#This Row],[Equity Peak]]-Tabla33610673[[#This Row],[Equity]])/Tabla33610673[[#This Row],[Equity Peak]],"")</f>
        <v>4.3185351528761441E-3</v>
      </c>
      <c r="V660" s="254">
        <f>IF(B660="FX",N660,0)</f>
        <v>0</v>
      </c>
      <c r="W660" s="254">
        <f>IF(D660="O",IF(V660&lt;0,V660,0),0)</f>
        <v>0</v>
      </c>
      <c r="X660" s="254">
        <f>IF(B660="COM",N660,0)</f>
        <v>0</v>
      </c>
      <c r="Y660" s="254">
        <f>IF(D660="O",IF(X660&lt;0,X660,0),0)</f>
        <v>0</v>
      </c>
      <c r="Z660" s="254">
        <f>IF(B660="IND",N660,0)</f>
        <v>-1</v>
      </c>
      <c r="AA660" s="250">
        <f>IF(D660="O",IF(Z660&lt;0,Z660,0),0)</f>
        <v>0</v>
      </c>
      <c r="AB660" s="254">
        <f>IF(B660="CRYPTO",N660,0)</f>
        <v>0</v>
      </c>
      <c r="AC660" s="250">
        <f>IF(D660="O",IF(AB660&lt;0,AB660,0),0)</f>
        <v>0</v>
      </c>
      <c r="AD660" s="255">
        <f>IF(K660&lt;&gt;"",K660-E660,0)</f>
        <v>8.8194444448163267E-2</v>
      </c>
      <c r="AE660" s="255">
        <f>IF(N660&gt;0,AD660,0)</f>
        <v>0</v>
      </c>
      <c r="AF660" s="255">
        <f>IF(N660&lt;0,AD660,0)</f>
        <v>8.8194444448163267E-2</v>
      </c>
      <c r="AG660" s="255">
        <f>IF(N660=0,AD660,0)</f>
        <v>0</v>
      </c>
    </row>
    <row r="661" spans="2:33" ht="15" customHeight="1" x14ac:dyDescent="0.3">
      <c r="B661" s="196" t="s">
        <v>5</v>
      </c>
      <c r="C661" s="197" t="s">
        <v>13</v>
      </c>
      <c r="D661" s="246" t="str">
        <f>IF(E661&lt;&gt;"",IF(K661&lt;&gt;"","C","O"),"")</f>
        <v>C</v>
      </c>
      <c r="E661" s="199">
        <v>44631.927083333336</v>
      </c>
      <c r="F661" s="200" t="s">
        <v>92</v>
      </c>
      <c r="G661" s="235">
        <v>13399.15</v>
      </c>
      <c r="H661" s="235">
        <v>13461.28</v>
      </c>
      <c r="I661" s="247">
        <f>ABS(G661-H661)</f>
        <v>62.130000000001019</v>
      </c>
      <c r="J661" s="235">
        <v>12239.33</v>
      </c>
      <c r="K661" s="199">
        <v>44635.647916666669</v>
      </c>
      <c r="L661" s="235">
        <v>13164.05</v>
      </c>
      <c r="M661" s="248">
        <f>ROUND(IF(C661="L",(L661-G661),(G661-L661)),4)</f>
        <v>235.1</v>
      </c>
      <c r="N661" s="249">
        <f>IFERROR(ROUND((M661/I661),2),"")</f>
        <v>3.78</v>
      </c>
      <c r="O661" s="250">
        <f>IF(D661="O",IF(N661&lt;0,N661,0),0)</f>
        <v>0</v>
      </c>
      <c r="P661" s="251">
        <f>IF(N661&gt;= 0,N661,0)</f>
        <v>3.78</v>
      </c>
      <c r="Q661" s="251">
        <f>IF(N661&lt;0,N661,0)</f>
        <v>0</v>
      </c>
      <c r="R6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23156</v>
      </c>
      <c r="T6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23156</v>
      </c>
      <c r="U66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61" s="254">
        <f>IF(B661="FX",N661,0)</f>
        <v>0</v>
      </c>
      <c r="W661" s="254">
        <f>IF(D661="O",IF(V661&lt;0,V661,0),0)</f>
        <v>0</v>
      </c>
      <c r="X661" s="254">
        <f>IF(B661="COM",N661,0)</f>
        <v>0</v>
      </c>
      <c r="Y661" s="254">
        <f>IF(D661="O",IF(X661&lt;0,X661,0),0)</f>
        <v>0</v>
      </c>
      <c r="Z661" s="254">
        <f>IF(B661="IND",N661,0)</f>
        <v>3.78</v>
      </c>
      <c r="AA661" s="250">
        <f>IF(D661="O",IF(Z661&lt;0,Z661,0),0)</f>
        <v>0</v>
      </c>
      <c r="AB661" s="254">
        <f>IF(B661="CRYPTO",N661,0)</f>
        <v>0</v>
      </c>
      <c r="AC661" s="250">
        <f>IF(D661="O",IF(AB661&lt;0,AB661,0),0)</f>
        <v>0</v>
      </c>
      <c r="AD661" s="255">
        <f>IF(K661&lt;&gt;"",K661-E661,0)</f>
        <v>3.7208333333328483</v>
      </c>
      <c r="AE661" s="255">
        <f>IF(N661&gt;0,AD661,0)</f>
        <v>3.7208333333328483</v>
      </c>
      <c r="AF661" s="255">
        <f>IF(N661&lt;0,AD661,0)</f>
        <v>0</v>
      </c>
      <c r="AG661" s="255">
        <f>IF(N661=0,AD661,0)</f>
        <v>0</v>
      </c>
    </row>
    <row r="662" spans="2:33" ht="15" customHeight="1" x14ac:dyDescent="0.3">
      <c r="B662" s="196" t="s">
        <v>5</v>
      </c>
      <c r="C662" s="197" t="s">
        <v>13</v>
      </c>
      <c r="D662" s="246" t="str">
        <f>IF(E662&lt;&gt;"",IF(K662&lt;&gt;"","C","O"),"")</f>
        <v>C</v>
      </c>
      <c r="E662" s="199">
        <v>44634.78125</v>
      </c>
      <c r="F662" s="200" t="s">
        <v>93</v>
      </c>
      <c r="G662" s="235">
        <v>13202.35</v>
      </c>
      <c r="H662" s="235">
        <v>13265.93</v>
      </c>
      <c r="I662" s="247">
        <f>ABS(G662-H662)</f>
        <v>63.579999999999927</v>
      </c>
      <c r="J662" s="235">
        <v>12524.13</v>
      </c>
      <c r="K662" s="199">
        <v>44635.588888888888</v>
      </c>
      <c r="L662" s="235">
        <v>13109.12</v>
      </c>
      <c r="M662" s="248">
        <f>ROUND(IF(C662="L",(L662-G662),(G662-L662)),4)</f>
        <v>93.23</v>
      </c>
      <c r="N662" s="249">
        <f>IFERROR(ROUND((M662/I662),2),"")</f>
        <v>1.47</v>
      </c>
      <c r="O662" s="250">
        <f>IF(D662="O",IF(N662&lt;0,N662,0),0)</f>
        <v>0</v>
      </c>
      <c r="P662" s="251">
        <f>IF(N662&gt;= 0,N662,0)</f>
        <v>1.47</v>
      </c>
      <c r="Q662" s="251">
        <f>IF(N662&lt;0,N662,0)</f>
        <v>0</v>
      </c>
      <c r="R6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22778</v>
      </c>
      <c r="T6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22778</v>
      </c>
      <c r="U66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62" s="254">
        <f>IF(B662="FX",N662,0)</f>
        <v>0</v>
      </c>
      <c r="W662" s="254">
        <f>IF(D662="O",IF(V662&lt;0,V662,0),0)</f>
        <v>0</v>
      </c>
      <c r="X662" s="254">
        <f>IF(B662="COM",N662,0)</f>
        <v>0</v>
      </c>
      <c r="Y662" s="254">
        <f>IF(D662="O",IF(X662&lt;0,X662,0),0)</f>
        <v>0</v>
      </c>
      <c r="Z662" s="254">
        <f>IF(B662="IND",N662,0)</f>
        <v>1.47</v>
      </c>
      <c r="AA662" s="250">
        <f>IF(D662="O",IF(Z662&lt;0,Z662,0),0)</f>
        <v>0</v>
      </c>
      <c r="AB662" s="254">
        <f>IF(B662="CRYPTO",N662,0)</f>
        <v>0</v>
      </c>
      <c r="AC662" s="250">
        <f>IF(D662="O",IF(AB662&lt;0,AB662,0),0)</f>
        <v>0</v>
      </c>
      <c r="AD662" s="255">
        <f>IF(K662&lt;&gt;"",K662-E662,0)</f>
        <v>0.80763888888759539</v>
      </c>
      <c r="AE662" s="255">
        <f>IF(N662&gt;0,AD662,0)</f>
        <v>0.80763888888759539</v>
      </c>
      <c r="AF662" s="255">
        <f>IF(N662&lt;0,AD662,0)</f>
        <v>0</v>
      </c>
      <c r="AG662" s="255">
        <f>IF(N662=0,AD662,0)</f>
        <v>0</v>
      </c>
    </row>
    <row r="663" spans="2:33" ht="15" customHeight="1" x14ac:dyDescent="0.3">
      <c r="B663" s="196" t="s">
        <v>7</v>
      </c>
      <c r="C663" s="197" t="s">
        <v>15</v>
      </c>
      <c r="D663" s="246" t="str">
        <f>IF(E663&lt;&gt;"",IF(K663&lt;&gt;"","C","O"),"")</f>
        <v>C</v>
      </c>
      <c r="E663" s="199">
        <v>44634.104166666664</v>
      </c>
      <c r="F663" s="200" t="s">
        <v>115</v>
      </c>
      <c r="G663" s="235">
        <v>153.411</v>
      </c>
      <c r="H663" s="235">
        <v>152.96199999999999</v>
      </c>
      <c r="I663" s="247">
        <f>ABS(G663-H663)</f>
        <v>0.44900000000001228</v>
      </c>
      <c r="J663" s="235">
        <v>154.69300000000001</v>
      </c>
      <c r="K663" s="199">
        <v>44635.425000000003</v>
      </c>
      <c r="L663" s="235">
        <v>153.797</v>
      </c>
      <c r="M663" s="248">
        <f>ROUND(IF(C663="L",(L663-G663),(G663-L663)),4)</f>
        <v>0.38600000000000001</v>
      </c>
      <c r="N663" s="249">
        <f>IFERROR(ROUND((M663/I663),2),"")</f>
        <v>0.86</v>
      </c>
      <c r="O663" s="250">
        <f>IF(D663="O",IF(N663&lt;0,N663,0),0)</f>
        <v>0</v>
      </c>
      <c r="P663" s="251">
        <f>IF(N663&gt;= 0,N663,0)</f>
        <v>0.86</v>
      </c>
      <c r="Q663" s="251">
        <f>IF(N663&lt;0,N663,0)</f>
        <v>0</v>
      </c>
      <c r="R6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22631</v>
      </c>
      <c r="T6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22719</v>
      </c>
      <c r="U663" s="253">
        <f ca="1">IF(Tabla33610673[[#This Row],[Equity]]&lt;Tabla33610673[[#This Row],[Equity Peak]],(Tabla33610673[[#This Row],[Equity Peak]]-Tabla33610673[[#This Row],[Equity]])/Tabla33610673[[#This Row],[Equity Peak]],"")</f>
        <v>3.8734099212113207E-3</v>
      </c>
      <c r="V663" s="254">
        <f>IF(B663="FX",N663,0)</f>
        <v>0.86</v>
      </c>
      <c r="W663" s="254">
        <f>IF(D663="O",IF(V663&lt;0,V663,0),0)</f>
        <v>0</v>
      </c>
      <c r="X663" s="254">
        <f>IF(B663="COM",N663,0)</f>
        <v>0</v>
      </c>
      <c r="Y663" s="254">
        <f>IF(D663="O",IF(X663&lt;0,X663,0),0)</f>
        <v>0</v>
      </c>
      <c r="Z663" s="254">
        <f>IF(B663="IND",N663,0)</f>
        <v>0</v>
      </c>
      <c r="AA663" s="250">
        <f>IF(D663="O",IF(Z663&lt;0,Z663,0),0)</f>
        <v>0</v>
      </c>
      <c r="AB663" s="254">
        <f>IF(B663="CRYPTO",N663,0)</f>
        <v>0</v>
      </c>
      <c r="AC663" s="250">
        <f>IF(D663="O",IF(AB663&lt;0,AB663,0),0)</f>
        <v>0</v>
      </c>
      <c r="AD663" s="255">
        <f>IF(K663&lt;&gt;"",K663-E663,0)</f>
        <v>1.320833333338669</v>
      </c>
      <c r="AE663" s="255">
        <f>IF(N663&gt;0,AD663,0)</f>
        <v>1.320833333338669</v>
      </c>
      <c r="AF663" s="255">
        <f>IF(N663&lt;0,AD663,0)</f>
        <v>0</v>
      </c>
      <c r="AG663" s="255">
        <f>IF(N663=0,AD663,0)</f>
        <v>0</v>
      </c>
    </row>
    <row r="664" spans="2:33" ht="15" customHeight="1" x14ac:dyDescent="0.3">
      <c r="B664" s="196" t="s">
        <v>5</v>
      </c>
      <c r="C664" s="197" t="s">
        <v>13</v>
      </c>
      <c r="D664" s="246" t="str">
        <f>IF(E664&lt;&gt;"",IF(K664&lt;&gt;"","C","O"),"")</f>
        <v>C</v>
      </c>
      <c r="E664" s="199">
        <v>44634.604166666664</v>
      </c>
      <c r="F664" s="200" t="s">
        <v>93</v>
      </c>
      <c r="G664" s="235">
        <v>13278.49</v>
      </c>
      <c r="H664" s="235">
        <v>13338.79</v>
      </c>
      <c r="I664" s="247">
        <f>ABS(G664-H664)</f>
        <v>60.300000000001091</v>
      </c>
      <c r="J664" s="235">
        <v>12635.31</v>
      </c>
      <c r="K664" s="199">
        <v>44634.713888888888</v>
      </c>
      <c r="L664" s="235">
        <v>13338.79</v>
      </c>
      <c r="M664" s="248">
        <f>ROUND(IF(C664="L",(L664-G664),(G664-L664)),4)</f>
        <v>-60.3</v>
      </c>
      <c r="N664" s="249">
        <f>IFERROR(ROUND((M664/I664),2),"")</f>
        <v>-1</v>
      </c>
      <c r="O664" s="250">
        <f>IF(D664="O",IF(N664&lt;0,N664,0),0)</f>
        <v>0</v>
      </c>
      <c r="P664" s="251">
        <f>IF(N664&gt;= 0,N664,0)</f>
        <v>0</v>
      </c>
      <c r="Q664" s="251">
        <f>IF(N664&lt;0,N664,0)</f>
        <v>-1</v>
      </c>
      <c r="R6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22545</v>
      </c>
      <c r="T6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22719</v>
      </c>
      <c r="U664" s="253">
        <f ca="1">IF(Tabla33610673[[#This Row],[Equity]]&lt;Tabla33610673[[#This Row],[Equity Peak]],(Tabla33610673[[#This Row],[Equity Peak]]-Tabla33610673[[#This Row],[Equity]])/Tabla33610673[[#This Row],[Equity Peak]],"")</f>
        <v>7.6587877987587486E-3</v>
      </c>
      <c r="V664" s="254">
        <f>IF(B664="FX",N664,0)</f>
        <v>0</v>
      </c>
      <c r="W664" s="254">
        <f>IF(D664="O",IF(V664&lt;0,V664,0),0)</f>
        <v>0</v>
      </c>
      <c r="X664" s="254">
        <f>IF(B664="COM",N664,0)</f>
        <v>0</v>
      </c>
      <c r="Y664" s="254">
        <f>IF(D664="O",IF(X664&lt;0,X664,0),0)</f>
        <v>0</v>
      </c>
      <c r="Z664" s="254">
        <f>IF(B664="IND",N664,0)</f>
        <v>-1</v>
      </c>
      <c r="AA664" s="250">
        <f>IF(D664="O",IF(Z664&lt;0,Z664,0),0)</f>
        <v>0</v>
      </c>
      <c r="AB664" s="254">
        <f>IF(B664="CRYPTO",N664,0)</f>
        <v>0</v>
      </c>
      <c r="AC664" s="250">
        <f>IF(D664="O",IF(AB664&lt;0,AB664,0),0)</f>
        <v>0</v>
      </c>
      <c r="AD664" s="255">
        <f>IF(K664&lt;&gt;"",K664-E664,0)</f>
        <v>0.10972222222335404</v>
      </c>
      <c r="AE664" s="255">
        <f>IF(N664&gt;0,AD664,0)</f>
        <v>0</v>
      </c>
      <c r="AF664" s="255">
        <f>IF(N664&lt;0,AD664,0)</f>
        <v>0.10972222222335404</v>
      </c>
      <c r="AG664" s="255">
        <f>IF(N664=0,AD664,0)</f>
        <v>0</v>
      </c>
    </row>
    <row r="665" spans="2:33" ht="15" customHeight="1" x14ac:dyDescent="0.3">
      <c r="B665" s="196" t="s">
        <v>5</v>
      </c>
      <c r="C665" s="197" t="s">
        <v>13</v>
      </c>
      <c r="D665" s="246" t="str">
        <f>IF(E665&lt;&gt;"",IF(K665&lt;&gt;"","C","O"),"")</f>
        <v>C</v>
      </c>
      <c r="E665" s="199">
        <v>44631.927083333336</v>
      </c>
      <c r="F665" s="200" t="s">
        <v>93</v>
      </c>
      <c r="G665" s="235">
        <v>13399.15</v>
      </c>
      <c r="H665" s="235">
        <v>13458.31</v>
      </c>
      <c r="I665" s="247">
        <f>ABS(G665-H665)</f>
        <v>59.159999999999854</v>
      </c>
      <c r="J665" s="235">
        <v>12768.13</v>
      </c>
      <c r="K665" s="199">
        <v>44634.538888888892</v>
      </c>
      <c r="L665" s="235">
        <v>13442.7</v>
      </c>
      <c r="M665" s="248">
        <f>ROUND(IF(C665="L",(L665-G665),(G665-L665)),4)</f>
        <v>-43.55</v>
      </c>
      <c r="N665" s="249">
        <f>IFERROR(ROUND((M665/I665),2),"")</f>
        <v>-0.74</v>
      </c>
      <c r="O665" s="250">
        <f>IF(D665="O",IF(N665&lt;0,N665,0),0)</f>
        <v>0</v>
      </c>
      <c r="P665" s="251">
        <f>IF(N665&gt;= 0,N665,0)</f>
        <v>0</v>
      </c>
      <c r="Q665" s="251">
        <f>IF(N665&lt;0,N665,0)</f>
        <v>-0.74</v>
      </c>
      <c r="R6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22645</v>
      </c>
      <c r="T6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22719</v>
      </c>
      <c r="U665" s="253">
        <f ca="1">IF(Tabla33610673[[#This Row],[Equity]]&lt;Tabla33610673[[#This Row],[Equity Peak]],(Tabla33610673[[#This Row],[Equity Peak]]-Tabla33610673[[#This Row],[Equity]])/Tabla33610673[[#This Row],[Equity Peak]],"")</f>
        <v>3.2571856155640651E-3</v>
      </c>
      <c r="V665" s="254">
        <f>IF(B665="FX",N665,0)</f>
        <v>0</v>
      </c>
      <c r="W665" s="254">
        <f>IF(D665="O",IF(V665&lt;0,V665,0),0)</f>
        <v>0</v>
      </c>
      <c r="X665" s="254">
        <f>IF(B665="COM",N665,0)</f>
        <v>0</v>
      </c>
      <c r="Y665" s="254">
        <f>IF(D665="O",IF(X665&lt;0,X665,0),0)</f>
        <v>0</v>
      </c>
      <c r="Z665" s="254">
        <f>IF(B665="IND",N665,0)</f>
        <v>-0.74</v>
      </c>
      <c r="AA665" s="250">
        <f>IF(D665="O",IF(Z665&lt;0,Z665,0),0)</f>
        <v>0</v>
      </c>
      <c r="AB665" s="254">
        <f>IF(B665="CRYPTO",N665,0)</f>
        <v>0</v>
      </c>
      <c r="AC665" s="250">
        <f>IF(D665="O",IF(AB665&lt;0,AB665,0),0)</f>
        <v>0</v>
      </c>
      <c r="AD665" s="255">
        <f>IF(K665&lt;&gt;"",K665-E665,0)</f>
        <v>2.6118055555562023</v>
      </c>
      <c r="AE665" s="255">
        <f>IF(N665&gt;0,AD665,0)</f>
        <v>0</v>
      </c>
      <c r="AF665" s="255">
        <f>IF(N665&lt;0,AD665,0)</f>
        <v>2.6118055555562023</v>
      </c>
      <c r="AG665" s="255">
        <f>IF(N665=0,AD665,0)</f>
        <v>0</v>
      </c>
    </row>
    <row r="666" spans="2:33" ht="15" customHeight="1" x14ac:dyDescent="0.3">
      <c r="B666" s="196" t="s">
        <v>7</v>
      </c>
      <c r="C666" s="197" t="s">
        <v>15</v>
      </c>
      <c r="D666" s="246" t="str">
        <f>IF(E666&lt;&gt;"",IF(K666&lt;&gt;"","C","O"),"")</f>
        <v>C</v>
      </c>
      <c r="E666" s="199">
        <v>44631.114583333336</v>
      </c>
      <c r="F666" s="200" t="s">
        <v>116</v>
      </c>
      <c r="G666" s="235">
        <v>116.265</v>
      </c>
      <c r="H666" s="235">
        <v>116.11199999999999</v>
      </c>
      <c r="I666" s="247">
        <f>ABS(G666-H666)</f>
        <v>0.1530000000000058</v>
      </c>
      <c r="J666" s="235">
        <v>117.851</v>
      </c>
      <c r="K666" s="199">
        <v>44634.236805555556</v>
      </c>
      <c r="L666" s="235">
        <v>117.851</v>
      </c>
      <c r="M666" s="248">
        <f>ROUND(IF(C666="L",(L666-G666),(G666-L666)),4)</f>
        <v>1.5860000000000001</v>
      </c>
      <c r="N666" s="249">
        <f>IFERROR(ROUND((M666/I666),2),"")</f>
        <v>10.37</v>
      </c>
      <c r="O666" s="250">
        <f>IF(D666="O",IF(N666&lt;0,N666,0),0)</f>
        <v>0</v>
      </c>
      <c r="P666" s="251">
        <f>IF(N666&gt;= 0,N666,0)</f>
        <v>10.37</v>
      </c>
      <c r="Q666" s="251">
        <f>IF(N666&lt;0,N666,0)</f>
        <v>0</v>
      </c>
      <c r="R6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22719</v>
      </c>
      <c r="T6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22719</v>
      </c>
      <c r="U66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66" s="254">
        <f>IF(B666="FX",N666,0)</f>
        <v>10.37</v>
      </c>
      <c r="W666" s="254">
        <f>IF(D666="O",IF(V666&lt;0,V666,0),0)</f>
        <v>0</v>
      </c>
      <c r="X666" s="254">
        <f>IF(B666="COM",N666,0)</f>
        <v>0</v>
      </c>
      <c r="Y666" s="254">
        <f>IF(D666="O",IF(X666&lt;0,X666,0),0)</f>
        <v>0</v>
      </c>
      <c r="Z666" s="254">
        <f>IF(B666="IND",N666,0)</f>
        <v>0</v>
      </c>
      <c r="AA666" s="250">
        <f>IF(D666="O",IF(Z666&lt;0,Z666,0),0)</f>
        <v>0</v>
      </c>
      <c r="AB666" s="254">
        <f>IF(B666="CRYPTO",N666,0)</f>
        <v>0</v>
      </c>
      <c r="AC666" s="250">
        <f>IF(D666="O",IF(AB666&lt;0,AB666,0),0)</f>
        <v>0</v>
      </c>
      <c r="AD666" s="255">
        <f>IF(K666&lt;&gt;"",K666-E666,0)</f>
        <v>3.1222222222204437</v>
      </c>
      <c r="AE666" s="255">
        <f>IF(N666&gt;0,AD666,0)</f>
        <v>3.1222222222204437</v>
      </c>
      <c r="AF666" s="255">
        <f>IF(N666&lt;0,AD666,0)</f>
        <v>0</v>
      </c>
      <c r="AG666" s="255">
        <f>IF(N666=0,AD666,0)</f>
        <v>0</v>
      </c>
    </row>
    <row r="667" spans="2:33" ht="15" customHeight="1" x14ac:dyDescent="0.3">
      <c r="B667" s="196" t="s">
        <v>7</v>
      </c>
      <c r="C667" s="197" t="s">
        <v>15</v>
      </c>
      <c r="D667" s="246" t="str">
        <f>IF(E667&lt;&gt;"",IF(K667&lt;&gt;"","C","O"),"")</f>
        <v>C</v>
      </c>
      <c r="E667" s="199">
        <v>44631.552083333336</v>
      </c>
      <c r="F667" s="200" t="s">
        <v>115</v>
      </c>
      <c r="G667" s="235">
        <v>153.06700000000001</v>
      </c>
      <c r="H667" s="235">
        <v>152.65</v>
      </c>
      <c r="I667" s="247">
        <f>ABS(G667-H667)</f>
        <v>0.41700000000000159</v>
      </c>
      <c r="J667" s="235">
        <v>154.25899999999999</v>
      </c>
      <c r="K667" s="199">
        <v>44631.693055555559</v>
      </c>
      <c r="L667" s="235">
        <v>152.85300000000001</v>
      </c>
      <c r="M667" s="248">
        <f>ROUND(IF(C667="L",(L667-G667),(G667-L667)),4)</f>
        <v>-0.214</v>
      </c>
      <c r="N667" s="249">
        <f>IFERROR(ROUND((M667/I667),2),"")</f>
        <v>-0.51</v>
      </c>
      <c r="O667" s="250">
        <f>IF(D667="O",IF(N667&lt;0,N667,0),0)</f>
        <v>0</v>
      </c>
      <c r="P667" s="251">
        <f>IF(N667&gt;= 0,N667,0)</f>
        <v>0</v>
      </c>
      <c r="Q667" s="251">
        <f>IF(N667&lt;0,N667,0)</f>
        <v>-0.51</v>
      </c>
      <c r="R6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21682</v>
      </c>
      <c r="T6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67" s="253">
        <f ca="1">IF(Tabla33610673[[#This Row],[Equity]]&lt;Tabla33610673[[#This Row],[Equity Peak]],(Tabla33610673[[#This Row],[Equity Peak]]-Tabla33610673[[#This Row],[Equity]])/Tabla33610673[[#This Row],[Equity Peak]],"")</f>
        <v>1.0812537068296912E-2</v>
      </c>
      <c r="V667" s="254">
        <f>IF(B667="FX",N667,0)</f>
        <v>-0.51</v>
      </c>
      <c r="W667" s="254">
        <f>IF(D667="O",IF(V667&lt;0,V667,0),0)</f>
        <v>0</v>
      </c>
      <c r="X667" s="254">
        <f>IF(B667="COM",N667,0)</f>
        <v>0</v>
      </c>
      <c r="Y667" s="254">
        <f>IF(D667="O",IF(X667&lt;0,X667,0),0)</f>
        <v>0</v>
      </c>
      <c r="Z667" s="254">
        <f>IF(B667="IND",N667,0)</f>
        <v>0</v>
      </c>
      <c r="AA667" s="250">
        <f>IF(D667="O",IF(Z667&lt;0,Z667,0),0)</f>
        <v>0</v>
      </c>
      <c r="AB667" s="254">
        <f>IF(B667="CRYPTO",N667,0)</f>
        <v>0</v>
      </c>
      <c r="AC667" s="250">
        <f>IF(D667="O",IF(AB667&lt;0,AB667,0),0)</f>
        <v>0</v>
      </c>
      <c r="AD667" s="255">
        <f>IF(K667&lt;&gt;"",K667-E667,0)</f>
        <v>0.14097222222335404</v>
      </c>
      <c r="AE667" s="255">
        <f>IF(N667&gt;0,AD667,0)</f>
        <v>0</v>
      </c>
      <c r="AF667" s="255">
        <f>IF(N667&lt;0,AD667,0)</f>
        <v>0.14097222222335404</v>
      </c>
      <c r="AG667" s="255">
        <f>IF(N667=0,AD667,0)</f>
        <v>0</v>
      </c>
    </row>
    <row r="668" spans="2:33" ht="15" customHeight="1" x14ac:dyDescent="0.3">
      <c r="B668" s="196" t="s">
        <v>7</v>
      </c>
      <c r="C668" s="197" t="s">
        <v>13</v>
      </c>
      <c r="D668" s="246" t="str">
        <f>IF(E668&lt;&gt;"",IF(K668&lt;&gt;"","C","O"),"")</f>
        <v>C</v>
      </c>
      <c r="E668" s="199">
        <v>44630.927083333336</v>
      </c>
      <c r="F668" s="200" t="s">
        <v>115</v>
      </c>
      <c r="G668" s="235">
        <v>151.994</v>
      </c>
      <c r="H668" s="235">
        <v>152.44999999999999</v>
      </c>
      <c r="I668" s="247">
        <f>ABS(G668-H668)</f>
        <v>0.45599999999998886</v>
      </c>
      <c r="J668" s="235">
        <v>150.69</v>
      </c>
      <c r="K668" s="199">
        <v>44631.240277777775</v>
      </c>
      <c r="L668" s="235">
        <v>152.428</v>
      </c>
      <c r="M668" s="248">
        <f>ROUND(IF(C668="L",(L668-G668),(G668-L668)),4)</f>
        <v>-0.434</v>
      </c>
      <c r="N668" s="249">
        <f>IFERROR(ROUND((M668/I668),2),"")</f>
        <v>-0.95</v>
      </c>
      <c r="O668" s="250">
        <f>IF(D668="O",IF(N668&lt;0,N668,0),0)</f>
        <v>0</v>
      </c>
      <c r="P668" s="251">
        <f>IF(N668&gt;= 0,N668,0)</f>
        <v>0</v>
      </c>
      <c r="Q668" s="251">
        <f>IF(N668&lt;0,N668,0)</f>
        <v>-0.95</v>
      </c>
      <c r="R6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21733</v>
      </c>
      <c r="T6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68" s="253">
        <f ca="1">IF(Tabla33610673[[#This Row],[Equity]]&lt;Tabla33610673[[#This Row],[Equity Peak]],(Tabla33610673[[#This Row],[Equity Peak]]-Tabla33610673[[#This Row],[Equity]])/Tabla33610673[[#This Row],[Equity Peak]],"")</f>
        <v>8.4857885852456776E-3</v>
      </c>
      <c r="V668" s="254">
        <f>IF(B668="FX",N668,0)</f>
        <v>-0.95</v>
      </c>
      <c r="W668" s="254">
        <f>IF(D668="O",IF(V668&lt;0,V668,0),0)</f>
        <v>0</v>
      </c>
      <c r="X668" s="254">
        <f>IF(B668="COM",N668,0)</f>
        <v>0</v>
      </c>
      <c r="Y668" s="254">
        <f>IF(D668="O",IF(X668&lt;0,X668,0),0)</f>
        <v>0</v>
      </c>
      <c r="Z668" s="254">
        <f>IF(B668="IND",N668,0)</f>
        <v>0</v>
      </c>
      <c r="AA668" s="250">
        <f>IF(D668="O",IF(Z668&lt;0,Z668,0),0)</f>
        <v>0</v>
      </c>
      <c r="AB668" s="254">
        <f>IF(B668="CRYPTO",N668,0)</f>
        <v>0</v>
      </c>
      <c r="AC668" s="250">
        <f>IF(D668="O",IF(AB668&lt;0,AB668,0),0)</f>
        <v>0</v>
      </c>
      <c r="AD668" s="255">
        <f>IF(K668&lt;&gt;"",K668-E668,0)</f>
        <v>0.31319444443943212</v>
      </c>
      <c r="AE668" s="255">
        <f>IF(N668&gt;0,AD668,0)</f>
        <v>0</v>
      </c>
      <c r="AF668" s="255">
        <f>IF(N668&lt;0,AD668,0)</f>
        <v>0.31319444443943212</v>
      </c>
      <c r="AG668" s="255">
        <f>IF(N668=0,AD668,0)</f>
        <v>0</v>
      </c>
    </row>
    <row r="669" spans="2:33" ht="15" customHeight="1" x14ac:dyDescent="0.3">
      <c r="B669" s="196" t="s">
        <v>7</v>
      </c>
      <c r="C669" s="197" t="s">
        <v>15</v>
      </c>
      <c r="D669" s="246" t="str">
        <f>IF(E669&lt;&gt;"",IF(K669&lt;&gt;"","C","O"),"")</f>
        <v>C</v>
      </c>
      <c r="E669" s="199">
        <v>44629.427083333336</v>
      </c>
      <c r="F669" s="200" t="s">
        <v>115</v>
      </c>
      <c r="G669" s="235">
        <v>152.08099999999999</v>
      </c>
      <c r="H669" s="235">
        <v>151.61199999999999</v>
      </c>
      <c r="I669" s="247">
        <f>ABS(G669-H669)</f>
        <v>0.46899999999999409</v>
      </c>
      <c r="J669" s="235">
        <v>153.42099999999999</v>
      </c>
      <c r="K669" s="199">
        <v>44630.439583333333</v>
      </c>
      <c r="L669" s="235">
        <v>152.31100000000001</v>
      </c>
      <c r="M669" s="248">
        <f>ROUND(IF(C669="L",(L669-G669),(G669-L669)),4)</f>
        <v>0.23</v>
      </c>
      <c r="N669" s="249">
        <f>IFERROR(ROUND((M669/I669),2),"")</f>
        <v>0.49</v>
      </c>
      <c r="O669" s="250">
        <f>IF(D669="O",IF(N669&lt;0,N669,0),0)</f>
        <v>0</v>
      </c>
      <c r="P669" s="251">
        <f>IF(N669&gt;= 0,N669,0)</f>
        <v>0.49</v>
      </c>
      <c r="Q669" s="251">
        <f>IF(N669&lt;0,N669,0)</f>
        <v>0</v>
      </c>
      <c r="R6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21828</v>
      </c>
      <c r="T6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69" s="253">
        <f ca="1">IF(Tabla33610673[[#This Row],[Equity]]&lt;Tabla33610673[[#This Row],[Equity Peak]],(Tabla33610673[[#This Row],[Equity Peak]]-Tabla33610673[[#This Row],[Equity]])/Tabla33610673[[#This Row],[Equity Peak]],"")</f>
        <v>4.1516492540718099E-3</v>
      </c>
      <c r="V669" s="254">
        <f>IF(B669="FX",N669,0)</f>
        <v>0.49</v>
      </c>
      <c r="W669" s="254">
        <f>IF(D669="O",IF(V669&lt;0,V669,0),0)</f>
        <v>0</v>
      </c>
      <c r="X669" s="254">
        <f>IF(B669="COM",N669,0)</f>
        <v>0</v>
      </c>
      <c r="Y669" s="254">
        <f>IF(D669="O",IF(X669&lt;0,X669,0),0)</f>
        <v>0</v>
      </c>
      <c r="Z669" s="254">
        <f>IF(B669="IND",N669,0)</f>
        <v>0</v>
      </c>
      <c r="AA669" s="250">
        <f>IF(D669="O",IF(Z669&lt;0,Z669,0),0)</f>
        <v>0</v>
      </c>
      <c r="AB669" s="254">
        <f>IF(B669="CRYPTO",N669,0)</f>
        <v>0</v>
      </c>
      <c r="AC669" s="250">
        <f>IF(D669="O",IF(AB669&lt;0,AB669,0),0)</f>
        <v>0</v>
      </c>
      <c r="AD669" s="255">
        <f>IF(K669&lt;&gt;"",K669-E669,0)</f>
        <v>1.0124999999970896</v>
      </c>
      <c r="AE669" s="255">
        <f>IF(N669&gt;0,AD669,0)</f>
        <v>1.0124999999970896</v>
      </c>
      <c r="AF669" s="255">
        <f>IF(N669&lt;0,AD669,0)</f>
        <v>0</v>
      </c>
      <c r="AG669" s="255">
        <f>IF(N669=0,AD669,0)</f>
        <v>0</v>
      </c>
    </row>
    <row r="670" spans="2:33" ht="15" customHeight="1" x14ac:dyDescent="0.3">
      <c r="B670" s="196" t="s">
        <v>7</v>
      </c>
      <c r="C670" s="197" t="s">
        <v>15</v>
      </c>
      <c r="D670" s="246" t="str">
        <f>IF(E670&lt;&gt;"",IF(K670&lt;&gt;"","C","O"),"")</f>
        <v>C</v>
      </c>
      <c r="E670" s="199">
        <v>44630.114583333336</v>
      </c>
      <c r="F670" s="200" t="s">
        <v>116</v>
      </c>
      <c r="G670" s="235">
        <v>115.976</v>
      </c>
      <c r="H670" s="235">
        <v>115.822</v>
      </c>
      <c r="I670" s="247">
        <f>ABS(G670-H670)</f>
        <v>0.15399999999999636</v>
      </c>
      <c r="J670" s="235">
        <v>117.578</v>
      </c>
      <c r="K670" s="199">
        <v>44630.384027777778</v>
      </c>
      <c r="L670" s="235">
        <v>115.956</v>
      </c>
      <c r="M670" s="248">
        <f>ROUND(IF(C670="L",(L670-G670),(G670-L670)),4)</f>
        <v>-0.02</v>
      </c>
      <c r="N670" s="249">
        <f>IFERROR(ROUND((M670/I670),2),"")</f>
        <v>-0.13</v>
      </c>
      <c r="O670" s="250">
        <f>IF(D670="O",IF(N670&lt;0,N670,0),0)</f>
        <v>0</v>
      </c>
      <c r="P670" s="251">
        <f>IF(N670&gt;= 0,N670,0)</f>
        <v>0</v>
      </c>
      <c r="Q670" s="251">
        <f>IF(N670&lt;0,N670,0)</f>
        <v>-0.13</v>
      </c>
      <c r="R6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21779</v>
      </c>
      <c r="T6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70" s="253">
        <f ca="1">IF(Tabla33610673[[#This Row],[Equity]]&lt;Tabla33610673[[#This Row],[Equity Peak]],(Tabla33610673[[#This Row],[Equity Peak]]-Tabla33610673[[#This Row],[Equity]])/Tabla33610673[[#This Row],[Equity Peak]],"")</f>
        <v>6.3871526985720154E-3</v>
      </c>
      <c r="V670" s="254">
        <f>IF(B670="FX",N670,0)</f>
        <v>-0.13</v>
      </c>
      <c r="W670" s="254">
        <f>IF(D670="O",IF(V670&lt;0,V670,0),0)</f>
        <v>0</v>
      </c>
      <c r="X670" s="254">
        <f>IF(B670="COM",N670,0)</f>
        <v>0</v>
      </c>
      <c r="Y670" s="254">
        <f>IF(D670="O",IF(X670&lt;0,X670,0),0)</f>
        <v>0</v>
      </c>
      <c r="Z670" s="254">
        <f>IF(B670="IND",N670,0)</f>
        <v>0</v>
      </c>
      <c r="AA670" s="250">
        <f>IF(D670="O",IF(Z670&lt;0,Z670,0),0)</f>
        <v>0</v>
      </c>
      <c r="AB670" s="254">
        <f>IF(B670="CRYPTO",N670,0)</f>
        <v>0</v>
      </c>
      <c r="AC670" s="250">
        <f>IF(D670="O",IF(AB670&lt;0,AB670,0),0)</f>
        <v>0</v>
      </c>
      <c r="AD670" s="255">
        <f>IF(K670&lt;&gt;"",K670-E670,0)</f>
        <v>0.2694444444423425</v>
      </c>
      <c r="AE670" s="255">
        <f>IF(N670&gt;0,AD670,0)</f>
        <v>0</v>
      </c>
      <c r="AF670" s="255">
        <f>IF(N670&lt;0,AD670,0)</f>
        <v>0.2694444444423425</v>
      </c>
      <c r="AG670" s="255">
        <f>IF(N670=0,AD670,0)</f>
        <v>0</v>
      </c>
    </row>
    <row r="671" spans="2:33" ht="15" customHeight="1" x14ac:dyDescent="0.3">
      <c r="B671" s="196" t="s">
        <v>7</v>
      </c>
      <c r="C671" s="197" t="s">
        <v>15</v>
      </c>
      <c r="D671" s="246" t="str">
        <f>IF(E671&lt;&gt;"",IF(K671&lt;&gt;"","C","O"),"")</f>
        <v>C</v>
      </c>
      <c r="E671" s="199">
        <v>44629.104166666664</v>
      </c>
      <c r="F671" s="200" t="s">
        <v>116</v>
      </c>
      <c r="G671" s="235">
        <v>115.854</v>
      </c>
      <c r="H671" s="235">
        <v>115.7</v>
      </c>
      <c r="I671" s="247">
        <f>ABS(G671-H671)</f>
        <v>0.15399999999999636</v>
      </c>
      <c r="J671" s="235">
        <v>117.458</v>
      </c>
      <c r="K671" s="199">
        <v>44629.307638888888</v>
      </c>
      <c r="L671" s="235">
        <v>115.759</v>
      </c>
      <c r="M671" s="248">
        <f>ROUND(IF(C671="L",(L671-G671),(G671-L671)),4)</f>
        <v>-9.5000000000000001E-2</v>
      </c>
      <c r="N671" s="249">
        <f>IFERROR(ROUND((M671/I671),2),"")</f>
        <v>-0.62</v>
      </c>
      <c r="O671" s="250">
        <f>IF(D671="O",IF(N671&lt;0,N671,0),0)</f>
        <v>0</v>
      </c>
      <c r="P671" s="251">
        <f>IF(N671&gt;= 0,N671,0)</f>
        <v>0</v>
      </c>
      <c r="Q671" s="251">
        <f>IF(N671&lt;0,N671,0)</f>
        <v>-0.62</v>
      </c>
      <c r="R6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21792</v>
      </c>
      <c r="T6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71" s="253">
        <f ca="1">IF(Tabla33610673[[#This Row],[Equity]]&lt;Tabla33610673[[#This Row],[Equity Peak]],(Tabla33610673[[#This Row],[Equity Peak]]-Tabla33610673[[#This Row],[Equity]])/Tabla33610673[[#This Row],[Equity Peak]],"")</f>
        <v>5.7940599479903284E-3</v>
      </c>
      <c r="V671" s="254">
        <f>IF(B671="FX",N671,0)</f>
        <v>-0.62</v>
      </c>
      <c r="W671" s="254">
        <f>IF(D671="O",IF(V671&lt;0,V671,0),0)</f>
        <v>0</v>
      </c>
      <c r="X671" s="254">
        <f>IF(B671="COM",N671,0)</f>
        <v>0</v>
      </c>
      <c r="Y671" s="254">
        <f>IF(D671="O",IF(X671&lt;0,X671,0),0)</f>
        <v>0</v>
      </c>
      <c r="Z671" s="254">
        <f>IF(B671="IND",N671,0)</f>
        <v>0</v>
      </c>
      <c r="AA671" s="250">
        <f>IF(D671="O",IF(Z671&lt;0,Z671,0),0)</f>
        <v>0</v>
      </c>
      <c r="AB671" s="254">
        <f>IF(B671="CRYPTO",N671,0)</f>
        <v>0</v>
      </c>
      <c r="AC671" s="250">
        <f>IF(D671="O",IF(AB671&lt;0,AB671,0),0)</f>
        <v>0</v>
      </c>
      <c r="AD671" s="255">
        <f>IF(K671&lt;&gt;"",K671-E671,0)</f>
        <v>0.20347222222335404</v>
      </c>
      <c r="AE671" s="255">
        <f>IF(N671&gt;0,AD671,0)</f>
        <v>0</v>
      </c>
      <c r="AF671" s="255">
        <f>IF(N671&lt;0,AD671,0)</f>
        <v>0.20347222222335404</v>
      </c>
      <c r="AG671" s="255">
        <f>IF(N671=0,AD671,0)</f>
        <v>0</v>
      </c>
    </row>
    <row r="672" spans="2:33" ht="15" customHeight="1" x14ac:dyDescent="0.3">
      <c r="B672" s="196" t="s">
        <v>19</v>
      </c>
      <c r="C672" s="197" t="s">
        <v>15</v>
      </c>
      <c r="D672" s="246" t="str">
        <f>IF(E672&lt;&gt;"",IF(K672&lt;&gt;"","C","O"),"")</f>
        <v>C</v>
      </c>
      <c r="E672" s="199">
        <v>44628.697916666664</v>
      </c>
      <c r="F672" s="200" t="s">
        <v>88</v>
      </c>
      <c r="G672" s="235">
        <v>2028.12</v>
      </c>
      <c r="H672" s="235">
        <v>2021.22</v>
      </c>
      <c r="I672" s="247">
        <f>ABS(G672-H672)</f>
        <v>6.8999999999998636</v>
      </c>
      <c r="J672" s="235">
        <v>2110.9499999999998</v>
      </c>
      <c r="K672" s="199">
        <v>44628.814583333333</v>
      </c>
      <c r="L672" s="235">
        <v>2029.77</v>
      </c>
      <c r="M672" s="248">
        <f>ROUND(IF(C672="L",(L672-G672),(G672-L672)),4)</f>
        <v>1.65</v>
      </c>
      <c r="N672" s="249">
        <f>IFERROR(ROUND((M672/I672),2),"")</f>
        <v>0.24</v>
      </c>
      <c r="O672" s="250">
        <f>IF(D672="O",IF(N672&lt;0,N672,0),0)</f>
        <v>0</v>
      </c>
      <c r="P672" s="251">
        <f>IF(N672&gt;= 0,N672,0)</f>
        <v>0.24</v>
      </c>
      <c r="Q672" s="251">
        <f>IF(N672&lt;0,N672,0)</f>
        <v>0</v>
      </c>
      <c r="R6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21854</v>
      </c>
      <c r="T6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72" s="253">
        <f ca="1">IF(Tabla33610673[[#This Row],[Equity]]&lt;Tabla33610673[[#This Row],[Equity Peak]],(Tabla33610673[[#This Row],[Equity Peak]]-Tabla33610673[[#This Row],[Equity]])/Tabla33610673[[#This Row],[Equity Peak]],"")</f>
        <v>2.9654637529084355E-3</v>
      </c>
      <c r="V672" s="254">
        <f>IF(B672="FX",N672,0)</f>
        <v>0</v>
      </c>
      <c r="W672" s="254">
        <f>IF(D672="O",IF(V672&lt;0,V672,0),0)</f>
        <v>0</v>
      </c>
      <c r="X672" s="254">
        <f>IF(B672="COM",N672,0)</f>
        <v>0.24</v>
      </c>
      <c r="Y672" s="254">
        <f>IF(D672="O",IF(X672&lt;0,X672,0),0)</f>
        <v>0</v>
      </c>
      <c r="Z672" s="254">
        <f>IF(B672="IND",N672,0)</f>
        <v>0</v>
      </c>
      <c r="AA672" s="250">
        <f>IF(D672="O",IF(Z672&lt;0,Z672,0),0)</f>
        <v>0</v>
      </c>
      <c r="AB672" s="254">
        <f>IF(B672="CRYPTO",N672,0)</f>
        <v>0</v>
      </c>
      <c r="AC672" s="250">
        <f>IF(D672="O",IF(AB672&lt;0,AB672,0),0)</f>
        <v>0</v>
      </c>
      <c r="AD672" s="255">
        <f>IF(K672&lt;&gt;"",K672-E672,0)</f>
        <v>0.11666666666860692</v>
      </c>
      <c r="AE672" s="255">
        <f>IF(N672&gt;0,AD672,0)</f>
        <v>0.11666666666860692</v>
      </c>
      <c r="AF672" s="255">
        <f>IF(N672&lt;0,AD672,0)</f>
        <v>0</v>
      </c>
      <c r="AG672" s="255">
        <f>IF(N672=0,AD672,0)</f>
        <v>0</v>
      </c>
    </row>
    <row r="673" spans="2:33" ht="15" customHeight="1" x14ac:dyDescent="0.3">
      <c r="B673" s="196" t="s">
        <v>7</v>
      </c>
      <c r="C673" s="197" t="s">
        <v>13</v>
      </c>
      <c r="D673" s="246" t="str">
        <f>IF(E673&lt;&gt;"",IF(K673&lt;&gt;"","C","O"),"")</f>
        <v>C</v>
      </c>
      <c r="E673" s="199">
        <v>44627.90625</v>
      </c>
      <c r="F673" s="200" t="s">
        <v>115</v>
      </c>
      <c r="G673" s="235">
        <v>151.14099999999999</v>
      </c>
      <c r="H673" s="235">
        <v>151.72900000000001</v>
      </c>
      <c r="I673" s="247">
        <f>ABS(G673-H673)</f>
        <v>0.58800000000002228</v>
      </c>
      <c r="J673" s="235">
        <v>149.46100000000001</v>
      </c>
      <c r="K673" s="199">
        <v>44628.459027777775</v>
      </c>
      <c r="L673" s="235">
        <v>151.66200000000001</v>
      </c>
      <c r="M673" s="248">
        <f>ROUND(IF(C673="L",(L673-G673),(G673-L673)),4)</f>
        <v>-0.52100000000000002</v>
      </c>
      <c r="N673" s="249">
        <f>IFERROR(ROUND((M673/I673),2),"")</f>
        <v>-0.89</v>
      </c>
      <c r="O673" s="250">
        <f>IF(D673="O",IF(N673&lt;0,N673,0),0)</f>
        <v>0</v>
      </c>
      <c r="P673" s="251">
        <f>IF(N673&gt;= 0,N673,0)</f>
        <v>0</v>
      </c>
      <c r="Q673" s="251">
        <f>IF(N673&lt;0,N673,0)</f>
        <v>-0.89</v>
      </c>
      <c r="R6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21830</v>
      </c>
      <c r="T6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73" s="253">
        <f ca="1">IF(Tabla33610673[[#This Row],[Equity]]&lt;Tabla33610673[[#This Row],[Equity Peak]],(Tabla33610673[[#This Row],[Equity Peak]]-Tabla33610673[[#This Row],[Equity]])/Tabla33610673[[#This Row],[Equity Peak]],"")</f>
        <v>4.060404215520781E-3</v>
      </c>
      <c r="V673" s="254">
        <f>IF(B673="FX",N673,0)</f>
        <v>-0.89</v>
      </c>
      <c r="W673" s="254">
        <f>IF(D673="O",IF(V673&lt;0,V673,0),0)</f>
        <v>0</v>
      </c>
      <c r="X673" s="254">
        <f>IF(B673="COM",N673,0)</f>
        <v>0</v>
      </c>
      <c r="Y673" s="254">
        <f>IF(D673="O",IF(X673&lt;0,X673,0),0)</f>
        <v>0</v>
      </c>
      <c r="Z673" s="254">
        <f>IF(B673="IND",N673,0)</f>
        <v>0</v>
      </c>
      <c r="AA673" s="250">
        <f>IF(D673="O",IF(Z673&lt;0,Z673,0),0)</f>
        <v>0</v>
      </c>
      <c r="AB673" s="254">
        <f>IF(B673="CRYPTO",N673,0)</f>
        <v>0</v>
      </c>
      <c r="AC673" s="250">
        <f>IF(D673="O",IF(AB673&lt;0,AB673,0),0)</f>
        <v>0</v>
      </c>
      <c r="AD673" s="255">
        <f>IF(K673&lt;&gt;"",K673-E673,0)</f>
        <v>0.55277777777519077</v>
      </c>
      <c r="AE673" s="255">
        <f>IF(N673&gt;0,AD673,0)</f>
        <v>0</v>
      </c>
      <c r="AF673" s="255">
        <f>IF(N673&lt;0,AD673,0)</f>
        <v>0.55277777777519077</v>
      </c>
      <c r="AG673" s="255">
        <f>IF(N673=0,AD673,0)</f>
        <v>0</v>
      </c>
    </row>
    <row r="674" spans="2:33" ht="15" customHeight="1" x14ac:dyDescent="0.3">
      <c r="B674" s="196" t="s">
        <v>5</v>
      </c>
      <c r="C674" s="197" t="s">
        <v>13</v>
      </c>
      <c r="D674" s="246" t="str">
        <f>IF(E674&lt;&gt;"",IF(K674&lt;&gt;"","C","O"),"")</f>
        <v>C</v>
      </c>
      <c r="E674" s="199">
        <v>44627.854166666664</v>
      </c>
      <c r="F674" s="200" t="s">
        <v>92</v>
      </c>
      <c r="G674" s="235">
        <v>13477.7</v>
      </c>
      <c r="H674" s="235">
        <v>13544.66</v>
      </c>
      <c r="I674" s="247">
        <f>ABS(G674-H674)</f>
        <v>66.959999999999127</v>
      </c>
      <c r="J674" s="235">
        <v>12227.78</v>
      </c>
      <c r="K674" s="199">
        <v>44628.435416666667</v>
      </c>
      <c r="L674" s="235">
        <v>13341.26</v>
      </c>
      <c r="M674" s="248">
        <f>ROUND(IF(C674="L",(L674-G674),(G674-L674)),4)</f>
        <v>136.44</v>
      </c>
      <c r="N674" s="249">
        <f>IFERROR(ROUND((M674/I674),2),"")</f>
        <v>2.04</v>
      </c>
      <c r="O674" s="250">
        <f>IF(D674="O",IF(N674&lt;0,N674,0),0)</f>
        <v>0</v>
      </c>
      <c r="P674" s="251">
        <f>IF(N674&gt;= 0,N674,0)</f>
        <v>2.04</v>
      </c>
      <c r="Q674" s="251">
        <f>IF(N674&lt;0,N674,0)</f>
        <v>0</v>
      </c>
      <c r="R6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21919</v>
      </c>
      <c r="T6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21919</v>
      </c>
      <c r="U67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74" s="254">
        <f>IF(B674="FX",N674,0)</f>
        <v>0</v>
      </c>
      <c r="W674" s="254">
        <f>IF(D674="O",IF(V674&lt;0,V674,0),0)</f>
        <v>0</v>
      </c>
      <c r="X674" s="254">
        <f>IF(B674="COM",N674,0)</f>
        <v>0</v>
      </c>
      <c r="Y674" s="254">
        <f>IF(D674="O",IF(X674&lt;0,X674,0),0)</f>
        <v>0</v>
      </c>
      <c r="Z674" s="254">
        <f>IF(B674="IND",N674,0)</f>
        <v>2.04</v>
      </c>
      <c r="AA674" s="250">
        <f>IF(D674="O",IF(Z674&lt;0,Z674,0),0)</f>
        <v>0</v>
      </c>
      <c r="AB674" s="254">
        <f>IF(B674="CRYPTO",N674,0)</f>
        <v>0</v>
      </c>
      <c r="AC674" s="250">
        <f>IF(D674="O",IF(AB674&lt;0,AB674,0),0)</f>
        <v>0</v>
      </c>
      <c r="AD674" s="255">
        <f>IF(K674&lt;&gt;"",K674-E674,0)</f>
        <v>0.58125000000291038</v>
      </c>
      <c r="AE674" s="255">
        <f>IF(N674&gt;0,AD674,0)</f>
        <v>0.58125000000291038</v>
      </c>
      <c r="AF674" s="255">
        <f>IF(N674&lt;0,AD674,0)</f>
        <v>0</v>
      </c>
      <c r="AG674" s="255">
        <f>IF(N674=0,AD674,0)</f>
        <v>0</v>
      </c>
    </row>
    <row r="675" spans="2:33" ht="15" customHeight="1" x14ac:dyDescent="0.3">
      <c r="B675" s="196" t="s">
        <v>19</v>
      </c>
      <c r="C675" s="197" t="s">
        <v>15</v>
      </c>
      <c r="D675" s="246" t="str">
        <f>IF(E675&lt;&gt;"",IF(K675&lt;&gt;"","C","O"),"")</f>
        <v>C</v>
      </c>
      <c r="E675" s="199">
        <v>44628.364583333336</v>
      </c>
      <c r="F675" s="200" t="s">
        <v>88</v>
      </c>
      <c r="G675" s="235">
        <v>2009.77</v>
      </c>
      <c r="H675" s="235">
        <v>2002.51</v>
      </c>
      <c r="I675" s="247">
        <f>ABS(G675-H675)</f>
        <v>7.2599999999999909</v>
      </c>
      <c r="J675" s="235">
        <v>2096.84</v>
      </c>
      <c r="K675" s="199">
        <v>44628.430555555555</v>
      </c>
      <c r="L675" s="235">
        <v>2002.51</v>
      </c>
      <c r="M675" s="248">
        <f>ROUND(IF(C675="L",(L675-G675),(G675-L675)),4)</f>
        <v>-7.26</v>
      </c>
      <c r="N675" s="249">
        <f>IFERROR(ROUND((M675/I675),2),"")</f>
        <v>-1</v>
      </c>
      <c r="O675" s="250">
        <f>IF(D675="O",IF(N675&lt;0,N675,0),0)</f>
        <v>0</v>
      </c>
      <c r="P675" s="251">
        <f>IF(N675&gt;= 0,N675,0)</f>
        <v>0</v>
      </c>
      <c r="Q675" s="251">
        <f>IF(N675&lt;0,N675,0)</f>
        <v>-1</v>
      </c>
      <c r="R6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21715</v>
      </c>
      <c r="T6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21815</v>
      </c>
      <c r="U675" s="253">
        <f ca="1">IF(Tabla33610673[[#This Row],[Equity]]&lt;Tabla33610673[[#This Row],[Equity Peak]],(Tabla33610673[[#This Row],[Equity Peak]]-Tabla33610673[[#This Row],[Equity]])/Tabla33610673[[#This Row],[Equity Peak]],"")</f>
        <v>4.5840018336007335E-3</v>
      </c>
      <c r="V675" s="254">
        <f>IF(B675="FX",N675,0)</f>
        <v>0</v>
      </c>
      <c r="W675" s="254">
        <f>IF(D675="O",IF(V675&lt;0,V675,0),0)</f>
        <v>0</v>
      </c>
      <c r="X675" s="254">
        <f>IF(B675="COM",N675,0)</f>
        <v>-1</v>
      </c>
      <c r="Y675" s="254">
        <f>IF(D675="O",IF(X675&lt;0,X675,0),0)</f>
        <v>0</v>
      </c>
      <c r="Z675" s="254">
        <f>IF(B675="IND",N675,0)</f>
        <v>0</v>
      </c>
      <c r="AA675" s="250">
        <f>IF(D675="O",IF(Z675&lt;0,Z675,0),0)</f>
        <v>0</v>
      </c>
      <c r="AB675" s="254">
        <f>IF(B675="CRYPTO",N675,0)</f>
        <v>0</v>
      </c>
      <c r="AC675" s="250">
        <f>IF(D675="O",IF(AB675&lt;0,AB675,0),0)</f>
        <v>0</v>
      </c>
      <c r="AD675" s="255">
        <f>IF(K675&lt;&gt;"",K675-E675,0)</f>
        <v>6.5972222218988463E-2</v>
      </c>
      <c r="AE675" s="255">
        <f>IF(N675&gt;0,AD675,0)</f>
        <v>0</v>
      </c>
      <c r="AF675" s="255">
        <f>IF(N675&lt;0,AD675,0)</f>
        <v>6.5972222218988463E-2</v>
      </c>
      <c r="AG675" s="255">
        <f>IF(N675=0,AD675,0)</f>
        <v>0</v>
      </c>
    </row>
    <row r="676" spans="2:33" ht="15" customHeight="1" x14ac:dyDescent="0.3">
      <c r="B676" s="196" t="s">
        <v>5</v>
      </c>
      <c r="C676" s="197" t="s">
        <v>13</v>
      </c>
      <c r="D676" s="246" t="str">
        <f>IF(E676&lt;&gt;"",IF(K676&lt;&gt;"","C","O"),"")</f>
        <v>C</v>
      </c>
      <c r="E676" s="199">
        <v>44627.854166666664</v>
      </c>
      <c r="F676" s="200" t="s">
        <v>93</v>
      </c>
      <c r="G676" s="235">
        <v>13477.7</v>
      </c>
      <c r="H676" s="235">
        <v>13546.56</v>
      </c>
      <c r="I676" s="247">
        <f>ABS(G676-H676)</f>
        <v>68.859999999998763</v>
      </c>
      <c r="J676" s="235">
        <v>12743.21</v>
      </c>
      <c r="K676" s="199">
        <v>44628.425694444442</v>
      </c>
      <c r="L676" s="235">
        <v>13275.8</v>
      </c>
      <c r="M676" s="248">
        <f>ROUND(IF(C676="L",(L676-G676),(G676-L676)),4)</f>
        <v>201.9</v>
      </c>
      <c r="N676" s="249">
        <f>IFERROR(ROUND((M676/I676),2),"")</f>
        <v>2.93</v>
      </c>
      <c r="O676" s="250">
        <f>IF(D676="O",IF(N676&lt;0,N676,0),0)</f>
        <v>0</v>
      </c>
      <c r="P676" s="251">
        <f>IF(N676&gt;= 0,N676,0)</f>
        <v>2.93</v>
      </c>
      <c r="Q676" s="251">
        <f>IF(N676&lt;0,N676,0)</f>
        <v>0</v>
      </c>
      <c r="R6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21815</v>
      </c>
      <c r="T6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21815</v>
      </c>
      <c r="U67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76" s="254">
        <f>IF(B676="FX",N676,0)</f>
        <v>0</v>
      </c>
      <c r="W676" s="254">
        <f>IF(D676="O",IF(V676&lt;0,V676,0),0)</f>
        <v>0</v>
      </c>
      <c r="X676" s="254">
        <f>IF(B676="COM",N676,0)</f>
        <v>0</v>
      </c>
      <c r="Y676" s="254">
        <f>IF(D676="O",IF(X676&lt;0,X676,0),0)</f>
        <v>0</v>
      </c>
      <c r="Z676" s="254">
        <f>IF(B676="IND",N676,0)</f>
        <v>2.93</v>
      </c>
      <c r="AA676" s="250">
        <f>IF(D676="O",IF(Z676&lt;0,Z676,0),0)</f>
        <v>0</v>
      </c>
      <c r="AB676" s="254">
        <f>IF(B676="CRYPTO",N676,0)</f>
        <v>0</v>
      </c>
      <c r="AC676" s="250">
        <f>IF(D676="O",IF(AB676&lt;0,AB676,0),0)</f>
        <v>0</v>
      </c>
      <c r="AD676" s="255">
        <f>IF(K676&lt;&gt;"",K676-E676,0)</f>
        <v>0.57152777777810115</v>
      </c>
      <c r="AE676" s="255">
        <f>IF(N676&gt;0,AD676,0)</f>
        <v>0.57152777777810115</v>
      </c>
      <c r="AF676" s="255">
        <f>IF(N676&lt;0,AD676,0)</f>
        <v>0</v>
      </c>
      <c r="AG676" s="255">
        <f>IF(N676=0,AD676,0)</f>
        <v>0</v>
      </c>
    </row>
    <row r="677" spans="2:33" ht="15" customHeight="1" x14ac:dyDescent="0.3">
      <c r="B677" s="196" t="s">
        <v>5</v>
      </c>
      <c r="C677" s="197" t="s">
        <v>13</v>
      </c>
      <c r="D677" s="246" t="str">
        <f>IF(E677&lt;&gt;"",IF(K677&lt;&gt;"","C","O"),"")</f>
        <v>C</v>
      </c>
      <c r="E677" s="199">
        <v>44627.052083333336</v>
      </c>
      <c r="F677" s="200" t="s">
        <v>92</v>
      </c>
      <c r="G677" s="235">
        <v>13667.9</v>
      </c>
      <c r="H677" s="235">
        <v>13742.04</v>
      </c>
      <c r="I677" s="247">
        <f>ABS(G677-H677)</f>
        <v>74.140000000001237</v>
      </c>
      <c r="J677" s="235">
        <v>12284.02</v>
      </c>
      <c r="K677" s="199">
        <v>44627.598611111112</v>
      </c>
      <c r="L677" s="235">
        <v>13742.04</v>
      </c>
      <c r="M677" s="248">
        <f>ROUND(IF(C677="L",(L677-G677),(G677-L677)),4)</f>
        <v>-74.14</v>
      </c>
      <c r="N677" s="249">
        <f>IFERROR(ROUND((M677/I677),2),"")</f>
        <v>-1</v>
      </c>
      <c r="O677" s="250">
        <f>IF(D677="O",IF(N677&lt;0,N677,0),0)</f>
        <v>0</v>
      </c>
      <c r="P677" s="251">
        <f>IF(N677&gt;= 0,N677,0)</f>
        <v>0</v>
      </c>
      <c r="Q677" s="251">
        <f>IF(N677&lt;0,N677,0)</f>
        <v>-1</v>
      </c>
      <c r="R6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21522</v>
      </c>
      <c r="T6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21674</v>
      </c>
      <c r="U677" s="253">
        <f ca="1">IF(Tabla33610673[[#This Row],[Equity]]&lt;Tabla33610673[[#This Row],[Equity Peak]],(Tabla33610673[[#This Row],[Equity Peak]]-Tabla33610673[[#This Row],[Equity]])/Tabla33610673[[#This Row],[Equity Peak]],"")</f>
        <v>7.0130109808987729E-3</v>
      </c>
      <c r="V677" s="254">
        <f>IF(B677="FX",N677,0)</f>
        <v>0</v>
      </c>
      <c r="W677" s="254">
        <f>IF(D677="O",IF(V677&lt;0,V677,0),0)</f>
        <v>0</v>
      </c>
      <c r="X677" s="254">
        <f>IF(B677="COM",N677,0)</f>
        <v>0</v>
      </c>
      <c r="Y677" s="254">
        <f>IF(D677="O",IF(X677&lt;0,X677,0),0)</f>
        <v>0</v>
      </c>
      <c r="Z677" s="254">
        <f>IF(B677="IND",N677,0)</f>
        <v>-1</v>
      </c>
      <c r="AA677" s="250">
        <f>IF(D677="O",IF(Z677&lt;0,Z677,0),0)</f>
        <v>0</v>
      </c>
      <c r="AB677" s="254">
        <f>IF(B677="CRYPTO",N677,0)</f>
        <v>0</v>
      </c>
      <c r="AC677" s="250">
        <f>IF(D677="O",IF(AB677&lt;0,AB677,0),0)</f>
        <v>0</v>
      </c>
      <c r="AD677" s="255">
        <f>IF(K677&lt;&gt;"",K677-E677,0)</f>
        <v>0.54652777777664596</v>
      </c>
      <c r="AE677" s="255">
        <f>IF(N677&gt;0,AD677,0)</f>
        <v>0</v>
      </c>
      <c r="AF677" s="255">
        <f>IF(N677&lt;0,AD677,0)</f>
        <v>0.54652777777664596</v>
      </c>
      <c r="AG677" s="255">
        <f>IF(N677=0,AD677,0)</f>
        <v>0</v>
      </c>
    </row>
    <row r="678" spans="2:33" ht="15" customHeight="1" x14ac:dyDescent="0.3">
      <c r="B678" s="196" t="s">
        <v>5</v>
      </c>
      <c r="C678" s="197" t="s">
        <v>13</v>
      </c>
      <c r="D678" s="246" t="str">
        <f>IF(E678&lt;&gt;"",IF(K678&lt;&gt;"","C","O"),"")</f>
        <v>C</v>
      </c>
      <c r="E678" s="199">
        <v>44627.052083333336</v>
      </c>
      <c r="F678" s="200" t="s">
        <v>93</v>
      </c>
      <c r="G678" s="235">
        <v>13667.9</v>
      </c>
      <c r="H678" s="235">
        <v>13747.07</v>
      </c>
      <c r="I678" s="247">
        <f>ABS(G678-H678)</f>
        <v>79.170000000000073</v>
      </c>
      <c r="J678" s="235">
        <v>12823.45</v>
      </c>
      <c r="K678" s="199">
        <v>44627.588888888888</v>
      </c>
      <c r="L678" s="235">
        <v>13708.75</v>
      </c>
      <c r="M678" s="248">
        <f>ROUND(IF(C678="L",(L678-G678),(G678-L678)),4)</f>
        <v>-40.85</v>
      </c>
      <c r="N678" s="249">
        <f>IFERROR(ROUND((M678/I678),2),"")</f>
        <v>-0.52</v>
      </c>
      <c r="O678" s="250">
        <f>IF(D678="O",IF(N678&lt;0,N678,0),0)</f>
        <v>0</v>
      </c>
      <c r="P678" s="251">
        <f>IF(N678&gt;= 0,N678,0)</f>
        <v>0</v>
      </c>
      <c r="Q678" s="251">
        <f>IF(N678&lt;0,N678,0)</f>
        <v>-0.52</v>
      </c>
      <c r="R6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21622</v>
      </c>
      <c r="T6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21674</v>
      </c>
      <c r="U678" s="253">
        <f ca="1">IF(Tabla33610673[[#This Row],[Equity]]&lt;Tabla33610673[[#This Row],[Equity Peak]],(Tabla33610673[[#This Row],[Equity Peak]]-Tabla33610673[[#This Row],[Equity]])/Tabla33610673[[#This Row],[Equity Peak]],"")</f>
        <v>2.3991879671495801E-3</v>
      </c>
      <c r="V678" s="254">
        <f>IF(B678="FX",N678,0)</f>
        <v>0</v>
      </c>
      <c r="W678" s="254">
        <f>IF(D678="O",IF(V678&lt;0,V678,0),0)</f>
        <v>0</v>
      </c>
      <c r="X678" s="254">
        <f>IF(B678="COM",N678,0)</f>
        <v>0</v>
      </c>
      <c r="Y678" s="254">
        <f>IF(D678="O",IF(X678&lt;0,X678,0),0)</f>
        <v>0</v>
      </c>
      <c r="Z678" s="254">
        <f>IF(B678="IND",N678,0)</f>
        <v>-0.52</v>
      </c>
      <c r="AA678" s="250">
        <f>IF(D678="O",IF(Z678&lt;0,Z678,0),0)</f>
        <v>0</v>
      </c>
      <c r="AB678" s="254">
        <f>IF(B678="CRYPTO",N678,0)</f>
        <v>0</v>
      </c>
      <c r="AC678" s="250">
        <f>IF(D678="O",IF(AB678&lt;0,AB678,0),0)</f>
        <v>0</v>
      </c>
      <c r="AD678" s="255">
        <f>IF(K678&lt;&gt;"",K678-E678,0)</f>
        <v>0.53680555555183673</v>
      </c>
      <c r="AE678" s="255">
        <f>IF(N678&gt;0,AD678,0)</f>
        <v>0</v>
      </c>
      <c r="AF678" s="255">
        <f>IF(N678&lt;0,AD678,0)</f>
        <v>0.53680555555183673</v>
      </c>
      <c r="AG678" s="255">
        <f>IF(N678=0,AD678,0)</f>
        <v>0</v>
      </c>
    </row>
    <row r="679" spans="2:33" ht="15" customHeight="1" x14ac:dyDescent="0.3">
      <c r="B679" s="196" t="s">
        <v>5</v>
      </c>
      <c r="C679" s="197" t="s">
        <v>13</v>
      </c>
      <c r="D679" s="246" t="str">
        <f>IF(E679&lt;&gt;"",IF(K679&lt;&gt;"","C","O"),"")</f>
        <v>C</v>
      </c>
      <c r="E679" s="199">
        <v>44624.09375</v>
      </c>
      <c r="F679" s="200" t="s">
        <v>91</v>
      </c>
      <c r="G679" s="235">
        <v>13590.26</v>
      </c>
      <c r="H679" s="235">
        <v>13665.44</v>
      </c>
      <c r="I679" s="247">
        <f>ABS(G679-H679)</f>
        <v>75.180000000000291</v>
      </c>
      <c r="J679" s="235">
        <v>12186.82</v>
      </c>
      <c r="K679" s="199">
        <v>44627.581250000003</v>
      </c>
      <c r="L679" s="235">
        <v>12767.21</v>
      </c>
      <c r="M679" s="248">
        <f>ROUND(IF(C679="L",(L679-G679),(G679-L679)),4)</f>
        <v>823.05</v>
      </c>
      <c r="N679" s="249">
        <f>IFERROR(ROUND((M679/I679),2),"")</f>
        <v>10.95</v>
      </c>
      <c r="O679" s="250">
        <f>IF(D679="O",IF(N679&lt;0,N679,0),0)</f>
        <v>0</v>
      </c>
      <c r="P679" s="251">
        <f>IF(N679&gt;= 0,N679,0)</f>
        <v>10.95</v>
      </c>
      <c r="Q679" s="251">
        <f>IF(N679&lt;0,N679,0)</f>
        <v>0</v>
      </c>
      <c r="R6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21674</v>
      </c>
      <c r="T6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21674</v>
      </c>
      <c r="U67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679" s="254">
        <f>IF(B679="FX",N679,0)</f>
        <v>0</v>
      </c>
      <c r="W679" s="254">
        <f>IF(D679="O",IF(V679&lt;0,V679,0),0)</f>
        <v>0</v>
      </c>
      <c r="X679" s="254">
        <f>IF(B679="COM",N679,0)</f>
        <v>0</v>
      </c>
      <c r="Y679" s="254">
        <f>IF(D679="O",IF(X679&lt;0,X679,0),0)</f>
        <v>0</v>
      </c>
      <c r="Z679" s="254">
        <f>IF(B679="IND",N679,0)</f>
        <v>10.95</v>
      </c>
      <c r="AA679" s="250">
        <f>IF(D679="O",IF(Z679&lt;0,Z679,0),0)</f>
        <v>0</v>
      </c>
      <c r="AB679" s="254">
        <f>IF(B679="CRYPTO",N679,0)</f>
        <v>0</v>
      </c>
      <c r="AC679" s="250">
        <f>IF(D679="O",IF(AB679&lt;0,AB679,0),0)</f>
        <v>0</v>
      </c>
      <c r="AD679" s="255">
        <f>IF(K679&lt;&gt;"",K679-E679,0)</f>
        <v>3.4875000000029104</v>
      </c>
      <c r="AE679" s="255">
        <f>IF(N679&gt;0,AD679,0)</f>
        <v>3.4875000000029104</v>
      </c>
      <c r="AF679" s="255">
        <f>IF(N679&lt;0,AD679,0)</f>
        <v>0</v>
      </c>
      <c r="AG679" s="255">
        <f>IF(N679=0,AD679,0)</f>
        <v>0</v>
      </c>
    </row>
    <row r="680" spans="2:33" ht="15" customHeight="1" x14ac:dyDescent="0.3">
      <c r="B680" s="196" t="s">
        <v>19</v>
      </c>
      <c r="C680" s="197" t="s">
        <v>15</v>
      </c>
      <c r="D680" s="246" t="str">
        <f>IF(E680&lt;&gt;"",IF(K680&lt;&gt;"","C","O"),"")</f>
        <v>C</v>
      </c>
      <c r="E680" s="199">
        <v>44627.541666666664</v>
      </c>
      <c r="F680" s="200" t="s">
        <v>88</v>
      </c>
      <c r="G680" s="235">
        <v>2002.41</v>
      </c>
      <c r="H680" s="235">
        <v>1996.42</v>
      </c>
      <c r="I680" s="247">
        <f>ABS(G680-H680)</f>
        <v>5.9900000000000091</v>
      </c>
      <c r="J680" s="235">
        <v>2074.2600000000002</v>
      </c>
      <c r="K680" s="199">
        <v>44627.560416666667</v>
      </c>
      <c r="L680" s="235">
        <v>1996.42</v>
      </c>
      <c r="M680" s="248">
        <f>ROUND(IF(C680="L",(L680-G680),(G680-L680)),4)</f>
        <v>-5.99</v>
      </c>
      <c r="N680" s="249">
        <f>IFERROR(ROUND((M680/I680),2),"")</f>
        <v>-1</v>
      </c>
      <c r="O680" s="250">
        <f>IF(D680="O",IF(N680&lt;0,N680,0),0)</f>
        <v>0</v>
      </c>
      <c r="P680" s="251">
        <f>IF(N680&gt;= 0,N680,0)</f>
        <v>0</v>
      </c>
      <c r="Q680" s="251">
        <f>IF(N680&lt;0,N680,0)</f>
        <v>-1</v>
      </c>
      <c r="R6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20579</v>
      </c>
      <c r="T6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0" s="253">
        <f ca="1">IF(Tabla33610673[[#This Row],[Equity]]&lt;Tabla33610673[[#This Row],[Equity Peak]],(Tabla33610673[[#This Row],[Equity Peak]]-Tabla33610673[[#This Row],[Equity]])/Tabla33610673[[#This Row],[Equity Peak]],"")</f>
        <v>1.8973161081184155E-2</v>
      </c>
      <c r="V680" s="254">
        <f>IF(B680="FX",N680,0)</f>
        <v>0</v>
      </c>
      <c r="W680" s="254">
        <f>IF(D680="O",IF(V680&lt;0,V680,0),0)</f>
        <v>0</v>
      </c>
      <c r="X680" s="254">
        <f>IF(B680="COM",N680,0)</f>
        <v>-1</v>
      </c>
      <c r="Y680" s="254">
        <f>IF(D680="O",IF(X680&lt;0,X680,0),0)</f>
        <v>0</v>
      </c>
      <c r="Z680" s="254">
        <f>IF(B680="IND",N680,0)</f>
        <v>0</v>
      </c>
      <c r="AA680" s="250">
        <f>IF(D680="O",IF(Z680&lt;0,Z680,0),0)</f>
        <v>0</v>
      </c>
      <c r="AB680" s="254">
        <f>IF(B680="CRYPTO",N680,0)</f>
        <v>0</v>
      </c>
      <c r="AC680" s="250">
        <f>IF(D680="O",IF(AB680&lt;0,AB680,0),0)</f>
        <v>0</v>
      </c>
      <c r="AD680" s="255">
        <f>IF(K680&lt;&gt;"",K680-E680,0)</f>
        <v>1.8750000002910383E-2</v>
      </c>
      <c r="AE680" s="255">
        <f>IF(N680&gt;0,AD680,0)</f>
        <v>0</v>
      </c>
      <c r="AF680" s="255">
        <f>IF(N680&lt;0,AD680,0)</f>
        <v>1.8750000002910383E-2</v>
      </c>
      <c r="AG680" s="255">
        <f>IF(N680=0,AD680,0)</f>
        <v>0</v>
      </c>
    </row>
    <row r="681" spans="2:33" ht="15" customHeight="1" x14ac:dyDescent="0.3">
      <c r="B681" s="196" t="s">
        <v>19</v>
      </c>
      <c r="C681" s="197" t="s">
        <v>15</v>
      </c>
      <c r="D681" s="246" t="str">
        <f>IF(E681&lt;&gt;"",IF(K681&lt;&gt;"","C","O"),"")</f>
        <v>C</v>
      </c>
      <c r="E681" s="199">
        <v>44627.052083333336</v>
      </c>
      <c r="F681" s="200" t="s">
        <v>88</v>
      </c>
      <c r="G681" s="235">
        <v>1988.09</v>
      </c>
      <c r="H681" s="235">
        <v>1982.74</v>
      </c>
      <c r="I681" s="247">
        <f>ABS(G681-H681)</f>
        <v>5.3499999999999091</v>
      </c>
      <c r="J681" s="235">
        <v>2052.23</v>
      </c>
      <c r="K681" s="199">
        <v>44627.331944444442</v>
      </c>
      <c r="L681" s="235">
        <v>1984.07</v>
      </c>
      <c r="M681" s="248">
        <f>ROUND(IF(C681="L",(L681-G681),(G681-L681)),4)</f>
        <v>-4.0199999999999996</v>
      </c>
      <c r="N681" s="249">
        <f>IFERROR(ROUND((M681/I681),2),"")</f>
        <v>-0.75</v>
      </c>
      <c r="O681" s="250">
        <f>IF(D681="O",IF(N681&lt;0,N681,0),0)</f>
        <v>0</v>
      </c>
      <c r="P681" s="251">
        <f>IF(N681&gt;= 0,N681,0)</f>
        <v>0</v>
      </c>
      <c r="Q681" s="251">
        <f>IF(N681&lt;0,N681,0)</f>
        <v>-0.75</v>
      </c>
      <c r="R6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20679</v>
      </c>
      <c r="T6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1" s="253">
        <f ca="1">IF(Tabla33610673[[#This Row],[Equity]]&lt;Tabla33610673[[#This Row],[Equity Peak]],(Tabla33610673[[#This Row],[Equity Peak]]-Tabla33610673[[#This Row],[Equity]])/Tabla33610673[[#This Row],[Equity Peak]],"")</f>
        <v>1.420603518138914E-2</v>
      </c>
      <c r="V681" s="254">
        <f>IF(B681="FX",N681,0)</f>
        <v>0</v>
      </c>
      <c r="W681" s="254">
        <f>IF(D681="O",IF(V681&lt;0,V681,0),0)</f>
        <v>0</v>
      </c>
      <c r="X681" s="254">
        <f>IF(B681="COM",N681,0)</f>
        <v>-0.75</v>
      </c>
      <c r="Y681" s="254">
        <f>IF(D681="O",IF(X681&lt;0,X681,0),0)</f>
        <v>0</v>
      </c>
      <c r="Z681" s="254">
        <f>IF(B681="IND",N681,0)</f>
        <v>0</v>
      </c>
      <c r="AA681" s="250">
        <f>IF(D681="O",IF(Z681&lt;0,Z681,0),0)</f>
        <v>0</v>
      </c>
      <c r="AB681" s="254">
        <f>IF(B681="CRYPTO",N681,0)</f>
        <v>0</v>
      </c>
      <c r="AC681" s="250">
        <f>IF(D681="O",IF(AB681&lt;0,AB681,0),0)</f>
        <v>0</v>
      </c>
      <c r="AD681" s="255">
        <f>IF(K681&lt;&gt;"",K681-E681,0)</f>
        <v>0.27986111110658385</v>
      </c>
      <c r="AE681" s="255">
        <f>IF(N681&gt;0,AD681,0)</f>
        <v>0</v>
      </c>
      <c r="AF681" s="255">
        <f>IF(N681&lt;0,AD681,0)</f>
        <v>0.27986111110658385</v>
      </c>
      <c r="AG681" s="255">
        <f>IF(N681=0,AD681,0)</f>
        <v>0</v>
      </c>
    </row>
    <row r="682" spans="2:33" ht="15" customHeight="1" x14ac:dyDescent="0.3">
      <c r="B682" s="196" t="s">
        <v>7</v>
      </c>
      <c r="C682" s="197" t="s">
        <v>13</v>
      </c>
      <c r="D682" s="246" t="str">
        <f>IF(E682&lt;&gt;"",IF(K682&lt;&gt;"","C","O"),"")</f>
        <v>C</v>
      </c>
      <c r="E682" s="199">
        <v>44624.552083333336</v>
      </c>
      <c r="F682" s="200" t="s">
        <v>114</v>
      </c>
      <c r="G682" s="235">
        <v>1.09928</v>
      </c>
      <c r="H682" s="235">
        <v>1.1011299999999999</v>
      </c>
      <c r="I682" s="247">
        <f>ABS(G682-H682)</f>
        <v>1.8499999999999073E-3</v>
      </c>
      <c r="J682" s="235">
        <v>1.08263</v>
      </c>
      <c r="K682" s="199">
        <v>44627.140972222223</v>
      </c>
      <c r="L682" s="235">
        <v>1.08263</v>
      </c>
      <c r="M682" s="248">
        <f>ROUND(IF(C682="L",(L682-G682),(G682-L682)),4)</f>
        <v>1.67E-2</v>
      </c>
      <c r="N682" s="249">
        <f>IFERROR(ROUND((M682/I682),2),"")</f>
        <v>9.0299999999999994</v>
      </c>
      <c r="O682" s="250">
        <f>IF(D682="O",IF(N682&lt;0,N682,0),0)</f>
        <v>0</v>
      </c>
      <c r="P682" s="251">
        <f>IF(N682&gt;= 0,N682,0)</f>
        <v>9.0299999999999994</v>
      </c>
      <c r="Q682" s="251">
        <f>IF(N682&lt;0,N682,0)</f>
        <v>0</v>
      </c>
      <c r="R6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20754</v>
      </c>
      <c r="T6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2" s="253">
        <f ca="1">IF(Tabla33610673[[#This Row],[Equity]]&lt;Tabla33610673[[#This Row],[Equity Peak]],(Tabla33610673[[#This Row],[Equity Peak]]-Tabla33610673[[#This Row],[Equity]])/Tabla33610673[[#This Row],[Equity Peak]],"")</f>
        <v>1.063069075654288E-2</v>
      </c>
      <c r="V682" s="254">
        <f>IF(B682="FX",N682,0)</f>
        <v>9.0299999999999994</v>
      </c>
      <c r="W682" s="254">
        <f>IF(D682="O",IF(V682&lt;0,V682,0),0)</f>
        <v>0</v>
      </c>
      <c r="X682" s="254">
        <f>IF(B682="COM",N682,0)</f>
        <v>0</v>
      </c>
      <c r="Y682" s="254">
        <f>IF(D682="O",IF(X682&lt;0,X682,0),0)</f>
        <v>0</v>
      </c>
      <c r="Z682" s="254">
        <f>IF(B682="IND",N682,0)</f>
        <v>0</v>
      </c>
      <c r="AA682" s="250">
        <f>IF(D682="O",IF(Z682&lt;0,Z682,0),0)</f>
        <v>0</v>
      </c>
      <c r="AB682" s="254">
        <f>IF(B682="CRYPTO",N682,0)</f>
        <v>0</v>
      </c>
      <c r="AC682" s="250">
        <f>IF(D682="O",IF(AB682&lt;0,AB682,0),0)</f>
        <v>0</v>
      </c>
      <c r="AD682" s="255">
        <f>IF(K682&lt;&gt;"",K682-E682,0)</f>
        <v>2.5888888888875954</v>
      </c>
      <c r="AE682" s="255">
        <f>IF(N682&gt;0,AD682,0)</f>
        <v>2.5888888888875954</v>
      </c>
      <c r="AF682" s="255">
        <f>IF(N682&lt;0,AD682,0)</f>
        <v>0</v>
      </c>
      <c r="AG682" s="255">
        <f>IF(N682=0,AD682,0)</f>
        <v>0</v>
      </c>
    </row>
    <row r="683" spans="2:33" ht="15" customHeight="1" x14ac:dyDescent="0.3">
      <c r="B683" s="196" t="s">
        <v>7</v>
      </c>
      <c r="C683" s="197" t="s">
        <v>13</v>
      </c>
      <c r="D683" s="246" t="str">
        <f>IF(E683&lt;&gt;"",IF(K683&lt;&gt;"","C","O"),"")</f>
        <v>C</v>
      </c>
      <c r="E683" s="199">
        <v>44624.552083333336</v>
      </c>
      <c r="F683" s="200" t="s">
        <v>115</v>
      </c>
      <c r="G683" s="235">
        <v>153.422</v>
      </c>
      <c r="H683" s="235">
        <v>153.846</v>
      </c>
      <c r="I683" s="247">
        <f>ABS(G683-H683)</f>
        <v>0.42400000000000659</v>
      </c>
      <c r="J683" s="235">
        <v>152.21199999999999</v>
      </c>
      <c r="K683" s="199">
        <v>44624.710416666669</v>
      </c>
      <c r="L683" s="235">
        <v>152.21199999999999</v>
      </c>
      <c r="M683" s="248">
        <f>ROUND(IF(C683="L",(L683-G683),(G683-L683)),4)</f>
        <v>1.21</v>
      </c>
      <c r="N683" s="249">
        <f>IFERROR(ROUND((M683/I683),2),"")</f>
        <v>2.85</v>
      </c>
      <c r="O683" s="250">
        <f>IF(D683="O",IF(N683&lt;0,N683,0),0)</f>
        <v>0</v>
      </c>
      <c r="P683" s="251">
        <f>IF(N683&gt;= 0,N683,0)</f>
        <v>2.85</v>
      </c>
      <c r="Q683" s="251">
        <f>IF(N683&lt;0,N683,0)</f>
        <v>0</v>
      </c>
      <c r="R6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19851</v>
      </c>
      <c r="T6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3" s="253">
        <f ca="1">IF(Tabla33610673[[#This Row],[Equity]]&lt;Tabla33610673[[#This Row],[Equity Peak]],(Tabla33610673[[#This Row],[Equity Peak]]-Tabla33610673[[#This Row],[Equity]])/Tabla33610673[[#This Row],[Equity Peak]],"")</f>
        <v>5.3677837631691851E-2</v>
      </c>
      <c r="V683" s="254">
        <f>IF(B683="FX",N683,0)</f>
        <v>2.85</v>
      </c>
      <c r="W683" s="254">
        <f>IF(D683="O",IF(V683&lt;0,V683,0),0)</f>
        <v>0</v>
      </c>
      <c r="X683" s="254">
        <f>IF(B683="COM",N683,0)</f>
        <v>0</v>
      </c>
      <c r="Y683" s="254">
        <f>IF(D683="O",IF(X683&lt;0,X683,0),0)</f>
        <v>0</v>
      </c>
      <c r="Z683" s="254">
        <f>IF(B683="IND",N683,0)</f>
        <v>0</v>
      </c>
      <c r="AA683" s="250">
        <f>IF(D683="O",IF(Z683&lt;0,Z683,0),0)</f>
        <v>0</v>
      </c>
      <c r="AB683" s="254">
        <f>IF(B683="CRYPTO",N683,0)</f>
        <v>0</v>
      </c>
      <c r="AC683" s="250">
        <f>IF(D683="O",IF(AB683&lt;0,AB683,0),0)</f>
        <v>0</v>
      </c>
      <c r="AD683" s="255">
        <f>IF(K683&lt;&gt;"",K683-E683,0)</f>
        <v>0.15833333333284827</v>
      </c>
      <c r="AE683" s="255">
        <f>IF(N683&gt;0,AD683,0)</f>
        <v>0.15833333333284827</v>
      </c>
      <c r="AF683" s="255">
        <f>IF(N683&lt;0,AD683,0)</f>
        <v>0</v>
      </c>
      <c r="AG683" s="255">
        <f>IF(N683=0,AD683,0)</f>
        <v>0</v>
      </c>
    </row>
    <row r="684" spans="2:33" ht="15" customHeight="1" x14ac:dyDescent="0.3">
      <c r="B684" s="196" t="s">
        <v>7</v>
      </c>
      <c r="C684" s="197" t="s">
        <v>13</v>
      </c>
      <c r="D684" s="246" t="str">
        <f>IF(E684&lt;&gt;"",IF(K684&lt;&gt;"","C","O"),"")</f>
        <v>C</v>
      </c>
      <c r="E684" s="199">
        <v>44624.114583333336</v>
      </c>
      <c r="F684" s="200" t="s">
        <v>115</v>
      </c>
      <c r="G684" s="235">
        <v>153.601</v>
      </c>
      <c r="H684" s="235">
        <v>154.06299999999999</v>
      </c>
      <c r="I684" s="247">
        <f>ABS(G684-H684)</f>
        <v>0.46199999999998909</v>
      </c>
      <c r="J684" s="235">
        <v>152.28200000000001</v>
      </c>
      <c r="K684" s="199">
        <v>44624.160416666666</v>
      </c>
      <c r="L684" s="235">
        <v>154.06299999999999</v>
      </c>
      <c r="M684" s="248">
        <f>ROUND(IF(C684="L",(L684-G684),(G684-L684)),4)</f>
        <v>-0.46200000000000002</v>
      </c>
      <c r="N684" s="249">
        <f>IFERROR(ROUND((M684/I684),2),"")</f>
        <v>-1</v>
      </c>
      <c r="O684" s="250">
        <f>IF(D684="O",IF(N684&lt;0,N684,0),0)</f>
        <v>0</v>
      </c>
      <c r="P684" s="251">
        <f>IF(N684&gt;= 0,N684,0)</f>
        <v>0</v>
      </c>
      <c r="Q684" s="251">
        <f>IF(N684&lt;0,N684,0)</f>
        <v>-1</v>
      </c>
      <c r="R6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19566</v>
      </c>
      <c r="T6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4" s="253">
        <f ca="1">IF(Tabla33610673[[#This Row],[Equity]]&lt;Tabla33610673[[#This Row],[Equity Peak]],(Tabla33610673[[#This Row],[Equity Peak]]-Tabla33610673[[#This Row],[Equity]])/Tabla33610673[[#This Row],[Equity Peak]],"")</f>
        <v>6.7264146446107648E-2</v>
      </c>
      <c r="V684" s="254">
        <f>IF(B684="FX",N684,0)</f>
        <v>-1</v>
      </c>
      <c r="W684" s="254">
        <f>IF(D684="O",IF(V684&lt;0,V684,0),0)</f>
        <v>0</v>
      </c>
      <c r="X684" s="254">
        <f>IF(B684="COM",N684,0)</f>
        <v>0</v>
      </c>
      <c r="Y684" s="254">
        <f>IF(D684="O",IF(X684&lt;0,X684,0),0)</f>
        <v>0</v>
      </c>
      <c r="Z684" s="254">
        <f>IF(B684="IND",N684,0)</f>
        <v>0</v>
      </c>
      <c r="AA684" s="250">
        <f>IF(D684="O",IF(Z684&lt;0,Z684,0),0)</f>
        <v>0</v>
      </c>
      <c r="AB684" s="254">
        <f>IF(B684="CRYPTO",N684,0)</f>
        <v>0</v>
      </c>
      <c r="AC684" s="250">
        <f>IF(D684="O",IF(AB684&lt;0,AB684,0),0)</f>
        <v>0</v>
      </c>
      <c r="AD684" s="255">
        <f>IF(K684&lt;&gt;"",K684-E684,0)</f>
        <v>4.5833333329937886E-2</v>
      </c>
      <c r="AE684" s="255">
        <f>IF(N684&gt;0,AD684,0)</f>
        <v>0</v>
      </c>
      <c r="AF684" s="255">
        <f>IF(N684&lt;0,AD684,0)</f>
        <v>4.5833333329937886E-2</v>
      </c>
      <c r="AG684" s="255">
        <f>IF(N684=0,AD684,0)</f>
        <v>0</v>
      </c>
    </row>
    <row r="685" spans="2:33" ht="15" customHeight="1" x14ac:dyDescent="0.3">
      <c r="B685" s="196" t="s">
        <v>7</v>
      </c>
      <c r="C685" s="197" t="s">
        <v>13</v>
      </c>
      <c r="D685" s="246" t="str">
        <f>IF(E685&lt;&gt;"",IF(K685&lt;&gt;"","C","O"),"")</f>
        <v>C</v>
      </c>
      <c r="E685" s="199">
        <v>44624.104166666664</v>
      </c>
      <c r="F685" s="200" t="s">
        <v>114</v>
      </c>
      <c r="G685" s="235">
        <v>1.1030599999999999</v>
      </c>
      <c r="H685" s="235">
        <v>1.1041799999999999</v>
      </c>
      <c r="I685" s="247">
        <f>ABS(G685-H685)</f>
        <v>1.1200000000000099E-3</v>
      </c>
      <c r="J685" s="235">
        <v>1.0929599999999999</v>
      </c>
      <c r="K685" s="199">
        <v>44624.159722222219</v>
      </c>
      <c r="L685" s="235">
        <v>1.1032599999999999</v>
      </c>
      <c r="M685" s="248">
        <f>ROUND(IF(C685="L",(L685-G685),(G685-L685)),4)</f>
        <v>-2.0000000000000001E-4</v>
      </c>
      <c r="N685" s="249">
        <f>IFERROR(ROUND((M685/I685),2),"")</f>
        <v>-0.18</v>
      </c>
      <c r="O685" s="250">
        <f>IF(D685="O",IF(N685&lt;0,N685,0),0)</f>
        <v>0</v>
      </c>
      <c r="P685" s="251">
        <f>IF(N685&gt;= 0,N685,0)</f>
        <v>0</v>
      </c>
      <c r="Q685" s="251">
        <f>IF(N685&lt;0,N685,0)</f>
        <v>-0.18</v>
      </c>
      <c r="R6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19666</v>
      </c>
      <c r="T6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5" s="253">
        <f ca="1">IF(Tabla33610673[[#This Row],[Equity]]&lt;Tabla33610673[[#This Row],[Equity Peak]],(Tabla33610673[[#This Row],[Equity Peak]]-Tabla33610673[[#This Row],[Equity]])/Tabla33610673[[#This Row],[Equity Peak]],"")</f>
        <v>6.2497020546312627E-2</v>
      </c>
      <c r="V685" s="254">
        <f>IF(B685="FX",N685,0)</f>
        <v>-0.18</v>
      </c>
      <c r="W685" s="254">
        <f>IF(D685="O",IF(V685&lt;0,V685,0),0)</f>
        <v>0</v>
      </c>
      <c r="X685" s="254">
        <f>IF(B685="COM",N685,0)</f>
        <v>0</v>
      </c>
      <c r="Y685" s="254">
        <f>IF(D685="O",IF(X685&lt;0,X685,0),0)</f>
        <v>0</v>
      </c>
      <c r="Z685" s="254">
        <f>IF(B685="IND",N685,0)</f>
        <v>0</v>
      </c>
      <c r="AA685" s="250">
        <f>IF(D685="O",IF(Z685&lt;0,Z685,0),0)</f>
        <v>0</v>
      </c>
      <c r="AB685" s="254">
        <f>IF(B685="CRYPTO",N685,0)</f>
        <v>0</v>
      </c>
      <c r="AC685" s="250">
        <f>IF(D685="O",IF(AB685&lt;0,AB685,0),0)</f>
        <v>0</v>
      </c>
      <c r="AD685" s="255">
        <f>IF(K685&lt;&gt;"",K685-E685,0)</f>
        <v>5.5555555554747116E-2</v>
      </c>
      <c r="AE685" s="255">
        <f>IF(N685&gt;0,AD685,0)</f>
        <v>0</v>
      </c>
      <c r="AF685" s="255">
        <f>IF(N685&lt;0,AD685,0)</f>
        <v>5.5555555554747116E-2</v>
      </c>
      <c r="AG685" s="255">
        <f>IF(N685=0,AD685,0)</f>
        <v>0</v>
      </c>
    </row>
    <row r="686" spans="2:33" ht="15" customHeight="1" x14ac:dyDescent="0.3">
      <c r="B686" s="196" t="s">
        <v>5</v>
      </c>
      <c r="C686" s="197" t="s">
        <v>13</v>
      </c>
      <c r="D686" s="246" t="str">
        <f>IF(E686&lt;&gt;"",IF(K686&lt;&gt;"","C","O"),"")</f>
        <v>C</v>
      </c>
      <c r="E686" s="199">
        <v>44624.114583333336</v>
      </c>
      <c r="F686" s="200" t="s">
        <v>92</v>
      </c>
      <c r="G686" s="235">
        <v>13828.95</v>
      </c>
      <c r="H686" s="235">
        <v>13891.28</v>
      </c>
      <c r="I686" s="247">
        <f>ABS(G686-H686)</f>
        <v>62.329999999999927</v>
      </c>
      <c r="J686" s="235">
        <v>12665.54</v>
      </c>
      <c r="K686" s="199">
        <v>44624.148611111108</v>
      </c>
      <c r="L686" s="235">
        <v>13891.28</v>
      </c>
      <c r="M686" s="248">
        <f>ROUND(IF(C686="L",(L686-G686),(G686-L686)),4)</f>
        <v>-62.33</v>
      </c>
      <c r="N686" s="249">
        <f>IFERROR(ROUND((M686/I686),2),"")</f>
        <v>-1</v>
      </c>
      <c r="O686" s="250">
        <f>IF(D686="O",IF(N686&lt;0,N686,0),0)</f>
        <v>0</v>
      </c>
      <c r="P686" s="251">
        <f>IF(N686&gt;= 0,N686,0)</f>
        <v>0</v>
      </c>
      <c r="Q686" s="251">
        <f>IF(N686&lt;0,N686,0)</f>
        <v>-1</v>
      </c>
      <c r="R6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19684</v>
      </c>
      <c r="T6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6" s="253">
        <f ca="1">IF(Tabla33610673[[#This Row],[Equity]]&lt;Tabla33610673[[#This Row],[Equity Peak]],(Tabla33610673[[#This Row],[Equity Peak]]-Tabla33610673[[#This Row],[Equity]])/Tabla33610673[[#This Row],[Equity Peak]],"")</f>
        <v>6.1638937884349529E-2</v>
      </c>
      <c r="V686" s="254">
        <f>IF(B686="FX",N686,0)</f>
        <v>0</v>
      </c>
      <c r="W686" s="254">
        <f>IF(D686="O",IF(V686&lt;0,V686,0),0)</f>
        <v>0</v>
      </c>
      <c r="X686" s="254">
        <f>IF(B686="COM",N686,0)</f>
        <v>0</v>
      </c>
      <c r="Y686" s="254">
        <f>IF(D686="O",IF(X686&lt;0,X686,0),0)</f>
        <v>0</v>
      </c>
      <c r="Z686" s="254">
        <f>IF(B686="IND",N686,0)</f>
        <v>-1</v>
      </c>
      <c r="AA686" s="250">
        <f>IF(D686="O",IF(Z686&lt;0,Z686,0),0)</f>
        <v>0</v>
      </c>
      <c r="AB686" s="254">
        <f>IF(B686="CRYPTO",N686,0)</f>
        <v>0</v>
      </c>
      <c r="AC686" s="250">
        <f>IF(D686="O",IF(AB686&lt;0,AB686,0),0)</f>
        <v>0</v>
      </c>
      <c r="AD686" s="255">
        <f>IF(K686&lt;&gt;"",K686-E686,0)</f>
        <v>3.4027777772280388E-2</v>
      </c>
      <c r="AE686" s="255">
        <f>IF(N686&gt;0,AD686,0)</f>
        <v>0</v>
      </c>
      <c r="AF686" s="255">
        <f>IF(N686&lt;0,AD686,0)</f>
        <v>3.4027777772280388E-2</v>
      </c>
      <c r="AG686" s="255">
        <f>IF(N686=0,AD686,0)</f>
        <v>0</v>
      </c>
    </row>
    <row r="687" spans="2:33" ht="15" customHeight="1" x14ac:dyDescent="0.3">
      <c r="B687" s="196" t="s">
        <v>5</v>
      </c>
      <c r="C687" s="197" t="s">
        <v>13</v>
      </c>
      <c r="D687" s="246" t="str">
        <f>IF(E687&lt;&gt;"",IF(K687&lt;&gt;"","C","O"),"")</f>
        <v>C</v>
      </c>
      <c r="E687" s="199">
        <v>44624.114583333336</v>
      </c>
      <c r="F687" s="200" t="s">
        <v>93</v>
      </c>
      <c r="G687" s="235">
        <v>13828.95</v>
      </c>
      <c r="H687" s="235">
        <v>13886.9</v>
      </c>
      <c r="I687" s="247">
        <f>ABS(G687-H687)</f>
        <v>57.949999999998909</v>
      </c>
      <c r="J687" s="235">
        <v>13210.81</v>
      </c>
      <c r="K687" s="199">
        <v>44624.148611111108</v>
      </c>
      <c r="L687" s="235">
        <v>13886.9</v>
      </c>
      <c r="M687" s="248">
        <f>ROUND(IF(C687="L",(L687-G687),(G687-L687)),4)</f>
        <v>-57.95</v>
      </c>
      <c r="N687" s="249">
        <f>IFERROR(ROUND((M687/I687),2),"")</f>
        <v>-1</v>
      </c>
      <c r="O687" s="250">
        <f>IF(D687="O",IF(N687&lt;0,N687,0),0)</f>
        <v>0</v>
      </c>
      <c r="P687" s="251">
        <f>IF(N687&gt;= 0,N687,0)</f>
        <v>0</v>
      </c>
      <c r="Q687" s="251">
        <f>IF(N687&lt;0,N687,0)</f>
        <v>-1</v>
      </c>
      <c r="R6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19784</v>
      </c>
      <c r="T6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7" s="253">
        <f ca="1">IF(Tabla33610673[[#This Row],[Equity]]&lt;Tabla33610673[[#This Row],[Equity Peak]],(Tabla33610673[[#This Row],[Equity Peak]]-Tabla33610673[[#This Row],[Equity]])/Tabla33610673[[#This Row],[Equity Peak]],"")</f>
        <v>5.6871811984554509E-2</v>
      </c>
      <c r="V687" s="254">
        <f>IF(B687="FX",N687,0)</f>
        <v>0</v>
      </c>
      <c r="W687" s="254">
        <f>IF(D687="O",IF(V687&lt;0,V687,0),0)</f>
        <v>0</v>
      </c>
      <c r="X687" s="254">
        <f>IF(B687="COM",N687,0)</f>
        <v>0</v>
      </c>
      <c r="Y687" s="254">
        <f>IF(D687="O",IF(X687&lt;0,X687,0),0)</f>
        <v>0</v>
      </c>
      <c r="Z687" s="254">
        <f>IF(B687="IND",N687,0)</f>
        <v>-1</v>
      </c>
      <c r="AA687" s="250">
        <f>IF(D687="O",IF(Z687&lt;0,Z687,0),0)</f>
        <v>0</v>
      </c>
      <c r="AB687" s="254">
        <f>IF(B687="CRYPTO",N687,0)</f>
        <v>0</v>
      </c>
      <c r="AC687" s="250">
        <f>IF(D687="O",IF(AB687&lt;0,AB687,0),0)</f>
        <v>0</v>
      </c>
      <c r="AD687" s="255">
        <f>IF(K687&lt;&gt;"",K687-E687,0)</f>
        <v>3.4027777772280388E-2</v>
      </c>
      <c r="AE687" s="255">
        <f>IF(N687&gt;0,AD687,0)</f>
        <v>0</v>
      </c>
      <c r="AF687" s="255">
        <f>IF(N687&lt;0,AD687,0)</f>
        <v>3.4027777772280388E-2</v>
      </c>
      <c r="AG687" s="255">
        <f>IF(N687=0,AD687,0)</f>
        <v>0</v>
      </c>
    </row>
    <row r="688" spans="2:33" ht="15" customHeight="1" x14ac:dyDescent="0.3">
      <c r="B688" s="196" t="s">
        <v>7</v>
      </c>
      <c r="C688" s="197" t="s">
        <v>13</v>
      </c>
      <c r="D688" s="246" t="str">
        <f>IF(E688&lt;&gt;"",IF(K688&lt;&gt;"","C","O"),"")</f>
        <v>C</v>
      </c>
      <c r="E688" s="199">
        <v>44623.760416666664</v>
      </c>
      <c r="F688" s="200" t="s">
        <v>114</v>
      </c>
      <c r="G688" s="235">
        <v>1.1039300000000001</v>
      </c>
      <c r="H688" s="235">
        <v>1.10629</v>
      </c>
      <c r="I688" s="247">
        <f>ABS(G688-H688)</f>
        <v>2.3599999999999177E-3</v>
      </c>
      <c r="J688" s="235">
        <v>1.0827100000000001</v>
      </c>
      <c r="K688" s="199">
        <v>44623.814583333333</v>
      </c>
      <c r="L688" s="235">
        <v>1.10629</v>
      </c>
      <c r="M688" s="248">
        <f>ROUND(IF(C688="L",(L688-G688),(G688-L688)),4)</f>
        <v>-2.3999999999999998E-3</v>
      </c>
      <c r="N688" s="249">
        <f>IFERROR(ROUND((M688/I688),2),"")</f>
        <v>-1.02</v>
      </c>
      <c r="O688" s="250">
        <f>IF(D688="O",IF(N688&lt;0,N688,0),0)</f>
        <v>0</v>
      </c>
      <c r="P688" s="251">
        <f>IF(N688&gt;= 0,N688,0)</f>
        <v>0</v>
      </c>
      <c r="Q688" s="251">
        <f>IF(N688&lt;0,N688,0)</f>
        <v>-1.02</v>
      </c>
      <c r="R6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19884</v>
      </c>
      <c r="T6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8" s="253">
        <f ca="1">IF(Tabla33610673[[#This Row],[Equity]]&lt;Tabla33610673[[#This Row],[Equity Peak]],(Tabla33610673[[#This Row],[Equity Peak]]-Tabla33610673[[#This Row],[Equity]])/Tabla33610673[[#This Row],[Equity Peak]],"")</f>
        <v>5.2104686084759495E-2</v>
      </c>
      <c r="V688" s="254">
        <f>IF(B688="FX",N688,0)</f>
        <v>-1.02</v>
      </c>
      <c r="W688" s="254">
        <f>IF(D688="O",IF(V688&lt;0,V688,0),0)</f>
        <v>0</v>
      </c>
      <c r="X688" s="254">
        <f>IF(B688="COM",N688,0)</f>
        <v>0</v>
      </c>
      <c r="Y688" s="254">
        <f>IF(D688="O",IF(X688&lt;0,X688,0),0)</f>
        <v>0</v>
      </c>
      <c r="Z688" s="254">
        <f>IF(B688="IND",N688,0)</f>
        <v>0</v>
      </c>
      <c r="AA688" s="250">
        <f>IF(D688="O",IF(Z688&lt;0,Z688,0),0)</f>
        <v>0</v>
      </c>
      <c r="AB688" s="254">
        <f>IF(B688="CRYPTO",N688,0)</f>
        <v>0</v>
      </c>
      <c r="AC688" s="250">
        <f>IF(D688="O",IF(AB688&lt;0,AB688,0),0)</f>
        <v>0</v>
      </c>
      <c r="AD688" s="255">
        <f>IF(K688&lt;&gt;"",K688-E688,0)</f>
        <v>5.4166666668606922E-2</v>
      </c>
      <c r="AE688" s="255">
        <f>IF(N688&gt;0,AD688,0)</f>
        <v>0</v>
      </c>
      <c r="AF688" s="255">
        <f>IF(N688&lt;0,AD688,0)</f>
        <v>5.4166666668606922E-2</v>
      </c>
      <c r="AG688" s="255">
        <f>IF(N688=0,AD688,0)</f>
        <v>0</v>
      </c>
    </row>
    <row r="689" spans="2:33" ht="15" customHeight="1" x14ac:dyDescent="0.3">
      <c r="B689" s="196" t="s">
        <v>5</v>
      </c>
      <c r="C689" s="197" t="s">
        <v>13</v>
      </c>
      <c r="D689" s="246" t="str">
        <f>IF(E689&lt;&gt;"",IF(K689&lt;&gt;"","C","O"),"")</f>
        <v>C</v>
      </c>
      <c r="E689" s="199">
        <v>44623.760416666664</v>
      </c>
      <c r="F689" s="200" t="s">
        <v>91</v>
      </c>
      <c r="G689" s="235">
        <v>13691.72</v>
      </c>
      <c r="H689" s="235">
        <v>13768.68</v>
      </c>
      <c r="I689" s="247">
        <f>ABS(G689-H689)</f>
        <v>76.960000000000946</v>
      </c>
      <c r="J689" s="235">
        <v>12255.06</v>
      </c>
      <c r="K689" s="199">
        <v>44623.813888888886</v>
      </c>
      <c r="L689" s="235">
        <v>13768.68</v>
      </c>
      <c r="M689" s="248">
        <f>ROUND(IF(C689="L",(L689-G689),(G689-L689)),4)</f>
        <v>-76.959999999999994</v>
      </c>
      <c r="N689" s="249">
        <f>IFERROR(ROUND((M689/I689),2),"")</f>
        <v>-1</v>
      </c>
      <c r="O689" s="250">
        <f>IF(D689="O",IF(N689&lt;0,N689,0),0)</f>
        <v>0</v>
      </c>
      <c r="P689" s="251">
        <f>IF(N689&gt;= 0,N689,0)</f>
        <v>0</v>
      </c>
      <c r="Q689" s="251">
        <f>IF(N689&lt;0,N689,0)</f>
        <v>-1</v>
      </c>
      <c r="R6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19986</v>
      </c>
      <c r="T6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89" s="253">
        <f ca="1">IF(Tabla33610673[[#This Row],[Equity]]&lt;Tabla33610673[[#This Row],[Equity Peak]],(Tabla33610673[[#This Row],[Equity Peak]]-Tabla33610673[[#This Row],[Equity]])/Tabla33610673[[#This Row],[Equity Peak]],"")</f>
        <v>4.7242217666968588E-2</v>
      </c>
      <c r="V689" s="254">
        <f>IF(B689="FX",N689,0)</f>
        <v>0</v>
      </c>
      <c r="W689" s="254">
        <f>IF(D689="O",IF(V689&lt;0,V689,0),0)</f>
        <v>0</v>
      </c>
      <c r="X689" s="254">
        <f>IF(B689="COM",N689,0)</f>
        <v>0</v>
      </c>
      <c r="Y689" s="254">
        <f>IF(D689="O",IF(X689&lt;0,X689,0),0)</f>
        <v>0</v>
      </c>
      <c r="Z689" s="254">
        <f>IF(B689="IND",N689,0)</f>
        <v>-1</v>
      </c>
      <c r="AA689" s="250">
        <f>IF(D689="O",IF(Z689&lt;0,Z689,0),0)</f>
        <v>0</v>
      </c>
      <c r="AB689" s="254">
        <f>IF(B689="CRYPTO",N689,0)</f>
        <v>0</v>
      </c>
      <c r="AC689" s="250">
        <f>IF(D689="O",IF(AB689&lt;0,AB689,0),0)</f>
        <v>0</v>
      </c>
      <c r="AD689" s="255">
        <f>IF(K689&lt;&gt;"",K689-E689,0)</f>
        <v>5.3472222221898846E-2</v>
      </c>
      <c r="AE689" s="255">
        <f>IF(N689&gt;0,AD689,0)</f>
        <v>0</v>
      </c>
      <c r="AF689" s="255">
        <f>IF(N689&lt;0,AD689,0)</f>
        <v>5.3472222221898846E-2</v>
      </c>
      <c r="AG689" s="255">
        <f>IF(N689=0,AD689,0)</f>
        <v>0</v>
      </c>
    </row>
    <row r="690" spans="2:33" ht="15" customHeight="1" x14ac:dyDescent="0.3">
      <c r="B690" s="196" t="s">
        <v>7</v>
      </c>
      <c r="C690" s="197" t="s">
        <v>15</v>
      </c>
      <c r="D690" s="246" t="str">
        <f>IF(E690&lt;&gt;"",IF(K690&lt;&gt;"","C","O"),"")</f>
        <v>C</v>
      </c>
      <c r="E690" s="199">
        <v>44622.864583333336</v>
      </c>
      <c r="F690" s="200" t="s">
        <v>115</v>
      </c>
      <c r="G690" s="235">
        <v>154.607</v>
      </c>
      <c r="H690" s="235">
        <v>154.11000000000001</v>
      </c>
      <c r="I690" s="247">
        <f>ABS(G690-H690)</f>
        <v>0.49699999999998568</v>
      </c>
      <c r="J690" s="235">
        <v>156.02799999999999</v>
      </c>
      <c r="K690" s="199">
        <v>44623.7</v>
      </c>
      <c r="L690" s="235">
        <v>154.60300000000001</v>
      </c>
      <c r="M690" s="248">
        <f>ROUND(IF(C690="L",(L690-G690),(G690-L690)),4)</f>
        <v>-4.0000000000000001E-3</v>
      </c>
      <c r="N690" s="249">
        <f>IFERROR(ROUND((M690/I690),2),"")</f>
        <v>-0.01</v>
      </c>
      <c r="O690" s="250">
        <f>IF(D690="O",IF(N690&lt;0,N690,0),0)</f>
        <v>0</v>
      </c>
      <c r="P690" s="251">
        <f>IF(N690&gt;= 0,N690,0)</f>
        <v>0</v>
      </c>
      <c r="Q690" s="251">
        <f>IF(N690&lt;0,N690,0)</f>
        <v>-0.01</v>
      </c>
      <c r="R6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20086</v>
      </c>
      <c r="T6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0" s="253">
        <f ca="1">IF(Tabla33610673[[#This Row],[Equity]]&lt;Tabla33610673[[#This Row],[Equity Peak]],(Tabla33610673[[#This Row],[Equity Peak]]-Tabla33610673[[#This Row],[Equity]])/Tabla33610673[[#This Row],[Equity Peak]],"")</f>
        <v>4.2475091767173574E-2</v>
      </c>
      <c r="V690" s="254">
        <f>IF(B690="FX",N690,0)</f>
        <v>-0.01</v>
      </c>
      <c r="W690" s="254">
        <f>IF(D690="O",IF(V690&lt;0,V690,0),0)</f>
        <v>0</v>
      </c>
      <c r="X690" s="254">
        <f>IF(B690="COM",N690,0)</f>
        <v>0</v>
      </c>
      <c r="Y690" s="254">
        <f>IF(D690="O",IF(X690&lt;0,X690,0),0)</f>
        <v>0</v>
      </c>
      <c r="Z690" s="254">
        <f>IF(B690="IND",N690,0)</f>
        <v>0</v>
      </c>
      <c r="AA690" s="250">
        <f>IF(D690="O",IF(Z690&lt;0,Z690,0),0)</f>
        <v>0</v>
      </c>
      <c r="AB690" s="254">
        <f>IF(B690="CRYPTO",N690,0)</f>
        <v>0</v>
      </c>
      <c r="AC690" s="250">
        <f>IF(D690="O",IF(AB690&lt;0,AB690,0),0)</f>
        <v>0</v>
      </c>
      <c r="AD690" s="255">
        <f>IF(K690&lt;&gt;"",K690-E690,0)</f>
        <v>0.83541666666133096</v>
      </c>
      <c r="AE690" s="255">
        <f>IF(N690&gt;0,AD690,0)</f>
        <v>0</v>
      </c>
      <c r="AF690" s="255">
        <f>IF(N690&lt;0,AD690,0)</f>
        <v>0.83541666666133096</v>
      </c>
      <c r="AG690" s="255">
        <f>IF(N690=0,AD690,0)</f>
        <v>0</v>
      </c>
    </row>
    <row r="691" spans="2:33" ht="15" customHeight="1" x14ac:dyDescent="0.3">
      <c r="B691" s="196" t="s">
        <v>5</v>
      </c>
      <c r="C691" s="197" t="s">
        <v>15</v>
      </c>
      <c r="D691" s="246" t="str">
        <f>IF(E691&lt;&gt;"",IF(K691&lt;&gt;"","C","O"),"")</f>
        <v>C</v>
      </c>
      <c r="E691" s="199">
        <v>44623.666666666664</v>
      </c>
      <c r="F691" s="200" t="s">
        <v>92</v>
      </c>
      <c r="G691" s="235">
        <v>14333.42</v>
      </c>
      <c r="H691" s="235">
        <v>14293.61</v>
      </c>
      <c r="I691" s="247">
        <f>ABS(G691-H691)</f>
        <v>39.809999999999491</v>
      </c>
      <c r="J691" s="235">
        <v>15076.6</v>
      </c>
      <c r="K691" s="199">
        <v>44623.693055555559</v>
      </c>
      <c r="L691" s="235">
        <v>14293.61</v>
      </c>
      <c r="M691" s="248">
        <f>ROUND(IF(C691="L",(L691-G691),(G691-L691)),4)</f>
        <v>-39.81</v>
      </c>
      <c r="N691" s="249">
        <f>IFERROR(ROUND((M691/I691),2),"")</f>
        <v>-1</v>
      </c>
      <c r="O691" s="250">
        <f>IF(D691="O",IF(N691&lt;0,N691,0),0)</f>
        <v>0</v>
      </c>
      <c r="P691" s="251">
        <f>IF(N691&gt;= 0,N691,0)</f>
        <v>0</v>
      </c>
      <c r="Q691" s="251">
        <f>IF(N691&lt;0,N691,0)</f>
        <v>-1</v>
      </c>
      <c r="R6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20087</v>
      </c>
      <c r="T6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1" s="253">
        <f ca="1">IF(Tabla33610673[[#This Row],[Equity]]&lt;Tabla33610673[[#This Row],[Equity Peak]],(Tabla33610673[[#This Row],[Equity Peak]]-Tabla33610673[[#This Row],[Equity]])/Tabla33610673[[#This Row],[Equity Peak]],"")</f>
        <v>4.242742050817562E-2</v>
      </c>
      <c r="V691" s="254">
        <f>IF(B691="FX",N691,0)</f>
        <v>0</v>
      </c>
      <c r="W691" s="254">
        <f>IF(D691="O",IF(V691&lt;0,V691,0),0)</f>
        <v>0</v>
      </c>
      <c r="X691" s="254">
        <f>IF(B691="COM",N691,0)</f>
        <v>0</v>
      </c>
      <c r="Y691" s="254">
        <f>IF(D691="O",IF(X691&lt;0,X691,0),0)</f>
        <v>0</v>
      </c>
      <c r="Z691" s="254">
        <f>IF(B691="IND",N691,0)</f>
        <v>-1</v>
      </c>
      <c r="AA691" s="250">
        <f>IF(D691="O",IF(Z691&lt;0,Z691,0),0)</f>
        <v>0</v>
      </c>
      <c r="AB691" s="254">
        <f>IF(B691="CRYPTO",N691,0)</f>
        <v>0</v>
      </c>
      <c r="AC691" s="250">
        <f>IF(D691="O",IF(AB691&lt;0,AB691,0),0)</f>
        <v>0</v>
      </c>
      <c r="AD691" s="255">
        <f>IF(K691&lt;&gt;"",K691-E691,0)</f>
        <v>2.6388888894871343E-2</v>
      </c>
      <c r="AE691" s="255">
        <f>IF(N691&gt;0,AD691,0)</f>
        <v>0</v>
      </c>
      <c r="AF691" s="255">
        <f>IF(N691&lt;0,AD691,0)</f>
        <v>2.6388888894871343E-2</v>
      </c>
      <c r="AG691" s="255">
        <f>IF(N691=0,AD691,0)</f>
        <v>0</v>
      </c>
    </row>
    <row r="692" spans="2:33" ht="15" customHeight="1" x14ac:dyDescent="0.3">
      <c r="B692" s="196" t="s">
        <v>5</v>
      </c>
      <c r="C692" s="197" t="s">
        <v>15</v>
      </c>
      <c r="D692" s="246" t="str">
        <f>IF(E692&lt;&gt;"",IF(K692&lt;&gt;"","C","O"),"")</f>
        <v>C</v>
      </c>
      <c r="E692" s="199">
        <v>44623.666666666664</v>
      </c>
      <c r="F692" s="200" t="s">
        <v>93</v>
      </c>
      <c r="G692" s="235">
        <v>14333.42</v>
      </c>
      <c r="H692" s="235">
        <v>14282.11</v>
      </c>
      <c r="I692" s="247">
        <f>ABS(G692-H692)</f>
        <v>51.309999999999491</v>
      </c>
      <c r="J692" s="235">
        <v>14880.76</v>
      </c>
      <c r="K692" s="199">
        <v>44623.693055555559</v>
      </c>
      <c r="L692" s="235">
        <v>14282.11</v>
      </c>
      <c r="M692" s="248">
        <f>ROUND(IF(C692="L",(L692-G692),(G692-L692)),4)</f>
        <v>-51.31</v>
      </c>
      <c r="N692" s="249">
        <f>IFERROR(ROUND((M692/I692),2),"")</f>
        <v>-1</v>
      </c>
      <c r="O692" s="250">
        <f>IF(D692="O",IF(N692&lt;0,N692,0),0)</f>
        <v>0</v>
      </c>
      <c r="P692" s="251">
        <f>IF(N692&gt;= 0,N692,0)</f>
        <v>0</v>
      </c>
      <c r="Q692" s="251">
        <f>IF(N692&lt;0,N692,0)</f>
        <v>-1</v>
      </c>
      <c r="R6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20187</v>
      </c>
      <c r="T6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2" s="253">
        <f ca="1">IF(Tabla33610673[[#This Row],[Equity]]&lt;Tabla33610673[[#This Row],[Equity Peak]],(Tabla33610673[[#This Row],[Equity Peak]]-Tabla33610673[[#This Row],[Equity]])/Tabla33610673[[#This Row],[Equity Peak]],"")</f>
        <v>3.7660294608380607E-2</v>
      </c>
      <c r="V692" s="254">
        <f>IF(B692="FX",N692,0)</f>
        <v>0</v>
      </c>
      <c r="W692" s="254">
        <f>IF(D692="O",IF(V692&lt;0,V692,0),0)</f>
        <v>0</v>
      </c>
      <c r="X692" s="254">
        <f>IF(B692="COM",N692,0)</f>
        <v>0</v>
      </c>
      <c r="Y692" s="254">
        <f>IF(D692="O",IF(X692&lt;0,X692,0),0)</f>
        <v>0</v>
      </c>
      <c r="Z692" s="254">
        <f>IF(B692="IND",N692,0)</f>
        <v>-1</v>
      </c>
      <c r="AA692" s="250">
        <f>IF(D692="O",IF(Z692&lt;0,Z692,0),0)</f>
        <v>0</v>
      </c>
      <c r="AB692" s="254">
        <f>IF(B692="CRYPTO",N692,0)</f>
        <v>0</v>
      </c>
      <c r="AC692" s="250">
        <f>IF(D692="O",IF(AB692&lt;0,AB692,0),0)</f>
        <v>0</v>
      </c>
      <c r="AD692" s="255">
        <f>IF(K692&lt;&gt;"",K692-E692,0)</f>
        <v>2.6388888894871343E-2</v>
      </c>
      <c r="AE692" s="255">
        <f>IF(N692&gt;0,AD692,0)</f>
        <v>0</v>
      </c>
      <c r="AF692" s="255">
        <f>IF(N692&lt;0,AD692,0)</f>
        <v>2.6388888894871343E-2</v>
      </c>
      <c r="AG692" s="255">
        <f>IF(N692=0,AD692,0)</f>
        <v>0</v>
      </c>
    </row>
    <row r="693" spans="2:33" ht="15" customHeight="1" x14ac:dyDescent="0.3">
      <c r="B693" s="196" t="s">
        <v>7</v>
      </c>
      <c r="C693" s="197" t="s">
        <v>15</v>
      </c>
      <c r="D693" s="246" t="str">
        <f>IF(E693&lt;&gt;"",IF(K693&lt;&gt;"","C","O"),"")</f>
        <v>C</v>
      </c>
      <c r="E693" s="199">
        <v>44623.427083333336</v>
      </c>
      <c r="F693" s="200" t="s">
        <v>116</v>
      </c>
      <c r="G693" s="235">
        <v>115.779</v>
      </c>
      <c r="H693" s="235">
        <v>115.614</v>
      </c>
      <c r="I693" s="247">
        <f>ABS(G693-H693)</f>
        <v>0.16499999999999204</v>
      </c>
      <c r="J693" s="235">
        <v>117.49</v>
      </c>
      <c r="K693" s="199">
        <v>44623.666666666664</v>
      </c>
      <c r="L693" s="235">
        <v>115.621</v>
      </c>
      <c r="M693" s="248">
        <f>ROUND(IF(C693="L",(L693-G693),(G693-L693)),4)</f>
        <v>-0.158</v>
      </c>
      <c r="N693" s="249">
        <f>IFERROR(ROUND((M693/I693),2),"")</f>
        <v>-0.96</v>
      </c>
      <c r="O693" s="250">
        <f>IF(D693="O",IF(N693&lt;0,N693,0),0)</f>
        <v>0</v>
      </c>
      <c r="P693" s="251">
        <f>IF(N693&gt;= 0,N693,0)</f>
        <v>0</v>
      </c>
      <c r="Q693" s="251">
        <f>IF(N693&lt;0,N693,0)</f>
        <v>-0.96</v>
      </c>
      <c r="R6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20287</v>
      </c>
      <c r="T6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3" s="253">
        <f ca="1">IF(Tabla33610673[[#This Row],[Equity]]&lt;Tabla33610673[[#This Row],[Equity Peak]],(Tabla33610673[[#This Row],[Equity Peak]]-Tabla33610673[[#This Row],[Equity]])/Tabla33610673[[#This Row],[Equity Peak]],"")</f>
        <v>3.2893168708585593E-2</v>
      </c>
      <c r="V693" s="254">
        <f>IF(B693="FX",N693,0)</f>
        <v>-0.96</v>
      </c>
      <c r="W693" s="254">
        <f>IF(D693="O",IF(V693&lt;0,V693,0),0)</f>
        <v>0</v>
      </c>
      <c r="X693" s="254">
        <f>IF(B693="COM",N693,0)</f>
        <v>0</v>
      </c>
      <c r="Y693" s="254">
        <f>IF(D693="O",IF(X693&lt;0,X693,0),0)</f>
        <v>0</v>
      </c>
      <c r="Z693" s="254">
        <f>IF(B693="IND",N693,0)</f>
        <v>0</v>
      </c>
      <c r="AA693" s="250">
        <f>IF(D693="O",IF(Z693&lt;0,Z693,0),0)</f>
        <v>0</v>
      </c>
      <c r="AB693" s="254">
        <f>IF(B693="CRYPTO",N693,0)</f>
        <v>0</v>
      </c>
      <c r="AC693" s="250">
        <f>IF(D693="O",IF(AB693&lt;0,AB693,0),0)</f>
        <v>0</v>
      </c>
      <c r="AD693" s="255">
        <f>IF(K693&lt;&gt;"",K693-E693,0)</f>
        <v>0.23958333332848269</v>
      </c>
      <c r="AE693" s="255">
        <f>IF(N693&gt;0,AD693,0)</f>
        <v>0</v>
      </c>
      <c r="AF693" s="255">
        <f>IF(N693&lt;0,AD693,0)</f>
        <v>0.23958333332848269</v>
      </c>
      <c r="AG693" s="255">
        <f>IF(N693=0,AD693,0)</f>
        <v>0</v>
      </c>
    </row>
    <row r="694" spans="2:33" ht="15" customHeight="1" x14ac:dyDescent="0.3">
      <c r="B694" s="196" t="s">
        <v>7</v>
      </c>
      <c r="C694" s="197" t="s">
        <v>13</v>
      </c>
      <c r="D694" s="246" t="str">
        <f>IF(E694&lt;&gt;"",IF(K694&lt;&gt;"","C","O"),"")</f>
        <v>C</v>
      </c>
      <c r="E694" s="199">
        <v>44622.46875</v>
      </c>
      <c r="F694" s="200" t="s">
        <v>114</v>
      </c>
      <c r="G694" s="235">
        <v>1.10656</v>
      </c>
      <c r="H694" s="235">
        <v>1.10877</v>
      </c>
      <c r="I694" s="247">
        <f>ABS(G694-H694)</f>
        <v>2.2100000000000453E-3</v>
      </c>
      <c r="J694" s="235">
        <v>1.08663</v>
      </c>
      <c r="K694" s="199">
        <v>44622.481249999997</v>
      </c>
      <c r="L694" s="235">
        <v>1.10877</v>
      </c>
      <c r="M694" s="248">
        <f>ROUND(IF(C694="L",(L694-G694),(G694-L694)),4)</f>
        <v>-2.2000000000000001E-3</v>
      </c>
      <c r="N694" s="249">
        <f>IFERROR(ROUND((M694/I694),2),"")</f>
        <v>-1</v>
      </c>
      <c r="O694" s="250">
        <f>IF(D694="O",IF(N694&lt;0,N694,0),0)</f>
        <v>0</v>
      </c>
      <c r="P694" s="251">
        <f>IF(N694&gt;= 0,N694,0)</f>
        <v>0</v>
      </c>
      <c r="Q694" s="251">
        <f>IF(N694&lt;0,N694,0)</f>
        <v>-1</v>
      </c>
      <c r="R6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20383</v>
      </c>
      <c r="T6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4" s="253">
        <f ca="1">IF(Tabla33610673[[#This Row],[Equity]]&lt;Tabla33610673[[#This Row],[Equity Peak]],(Tabla33610673[[#This Row],[Equity Peak]]-Tabla33610673[[#This Row],[Equity]])/Tabla33610673[[#This Row],[Equity Peak]],"")</f>
        <v>2.8316727844782379E-2</v>
      </c>
      <c r="V694" s="254">
        <f>IF(B694="FX",N694,0)</f>
        <v>-1</v>
      </c>
      <c r="W694" s="254">
        <f>IF(D694="O",IF(V694&lt;0,V694,0),0)</f>
        <v>0</v>
      </c>
      <c r="X694" s="254">
        <f>IF(B694="COM",N694,0)</f>
        <v>0</v>
      </c>
      <c r="Y694" s="254">
        <f>IF(D694="O",IF(X694&lt;0,X694,0),0)</f>
        <v>0</v>
      </c>
      <c r="Z694" s="254">
        <f>IF(B694="IND",N694,0)</f>
        <v>0</v>
      </c>
      <c r="AA694" s="250">
        <f>IF(D694="O",IF(Z694&lt;0,Z694,0),0)</f>
        <v>0</v>
      </c>
      <c r="AB694" s="254">
        <f>IF(B694="CRYPTO",N694,0)</f>
        <v>0</v>
      </c>
      <c r="AC694" s="250">
        <f>IF(D694="O",IF(AB694&lt;0,AB694,0),0)</f>
        <v>0</v>
      </c>
      <c r="AD694" s="255">
        <f>IF(K694&lt;&gt;"",K694-E694,0)</f>
        <v>1.2499999997089617E-2</v>
      </c>
      <c r="AE694" s="255">
        <f>IF(N694&gt;0,AD694,0)</f>
        <v>0</v>
      </c>
      <c r="AF694" s="255">
        <f>IF(N694&lt;0,AD694,0)</f>
        <v>1.2499999997089617E-2</v>
      </c>
      <c r="AG694" s="255">
        <f>IF(N694=0,AD694,0)</f>
        <v>0</v>
      </c>
    </row>
    <row r="695" spans="2:33" ht="15" customHeight="1" x14ac:dyDescent="0.3">
      <c r="B695" s="196" t="s">
        <v>7</v>
      </c>
      <c r="C695" s="197" t="s">
        <v>13</v>
      </c>
      <c r="D695" s="246" t="str">
        <f>IF(E695&lt;&gt;"",IF(K695&lt;&gt;"","C","O"),"")</f>
        <v>C</v>
      </c>
      <c r="E695" s="199">
        <v>44622.427083333336</v>
      </c>
      <c r="F695" s="200" t="s">
        <v>114</v>
      </c>
      <c r="G695" s="235">
        <v>1.1082799999999999</v>
      </c>
      <c r="H695" s="235">
        <v>1.1100099999999999</v>
      </c>
      <c r="I695" s="247">
        <f>ABS(G695-H695)</f>
        <v>1.7300000000000093E-3</v>
      </c>
      <c r="J695" s="235">
        <v>1.0927100000000001</v>
      </c>
      <c r="K695" s="199">
        <v>44622.4375</v>
      </c>
      <c r="L695" s="235">
        <v>1.1100099999999999</v>
      </c>
      <c r="M695" s="248">
        <f>ROUND(IF(C695="L",(L695-G695),(G695-L695)),4)</f>
        <v>-1.6999999999999999E-3</v>
      </c>
      <c r="N695" s="249">
        <f>IFERROR(ROUND((M695/I695),2),"")</f>
        <v>-0.98</v>
      </c>
      <c r="O695" s="250">
        <f>IF(D695="O",IF(N695&lt;0,N695,0),0)</f>
        <v>0</v>
      </c>
      <c r="P695" s="251">
        <f>IF(N695&gt;= 0,N695,0)</f>
        <v>0</v>
      </c>
      <c r="Q695" s="251">
        <f>IF(N695&lt;0,N695,0)</f>
        <v>-0.98</v>
      </c>
      <c r="R6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20483</v>
      </c>
      <c r="T6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5" s="253">
        <f ca="1">IF(Tabla33610673[[#This Row],[Equity]]&lt;Tabla33610673[[#This Row],[Equity Peak]],(Tabla33610673[[#This Row],[Equity Peak]]-Tabla33610673[[#This Row],[Equity]])/Tabla33610673[[#This Row],[Equity Peak]],"")</f>
        <v>2.3549601944987366E-2</v>
      </c>
      <c r="V695" s="254">
        <f>IF(B695="FX",N695,0)</f>
        <v>-0.98</v>
      </c>
      <c r="W695" s="254">
        <f>IF(D695="O",IF(V695&lt;0,V695,0),0)</f>
        <v>0</v>
      </c>
      <c r="X695" s="254">
        <f>IF(B695="COM",N695,0)</f>
        <v>0</v>
      </c>
      <c r="Y695" s="254">
        <f>IF(D695="O",IF(X695&lt;0,X695,0),0)</f>
        <v>0</v>
      </c>
      <c r="Z695" s="254">
        <f>IF(B695="IND",N695,0)</f>
        <v>0</v>
      </c>
      <c r="AA695" s="250">
        <f>IF(D695="O",IF(Z695&lt;0,Z695,0),0)</f>
        <v>0</v>
      </c>
      <c r="AB695" s="254">
        <f>IF(B695="CRYPTO",N695,0)</f>
        <v>0</v>
      </c>
      <c r="AC695" s="250">
        <f>IF(D695="O",IF(AB695&lt;0,AB695,0),0)</f>
        <v>0</v>
      </c>
      <c r="AD695" s="255">
        <f>IF(K695&lt;&gt;"",K695-E695,0)</f>
        <v>1.0416666664241347E-2</v>
      </c>
      <c r="AE695" s="255">
        <f>IF(N695&gt;0,AD695,0)</f>
        <v>0</v>
      </c>
      <c r="AF695" s="255">
        <f>IF(N695&lt;0,AD695,0)</f>
        <v>1.0416666664241347E-2</v>
      </c>
      <c r="AG695" s="255">
        <f>IF(N695=0,AD695,0)</f>
        <v>0</v>
      </c>
    </row>
    <row r="696" spans="2:33" ht="15" customHeight="1" x14ac:dyDescent="0.3">
      <c r="B696" s="196" t="s">
        <v>7</v>
      </c>
      <c r="C696" s="197" t="s">
        <v>13</v>
      </c>
      <c r="D696" s="246" t="str">
        <f>IF(E696&lt;&gt;"",IF(K696&lt;&gt;"","C","O"),"")</f>
        <v>C</v>
      </c>
      <c r="E696" s="199">
        <v>44621.510416666664</v>
      </c>
      <c r="F696" s="200" t="s">
        <v>115</v>
      </c>
      <c r="G696" s="235">
        <v>153.93700000000001</v>
      </c>
      <c r="H696" s="235">
        <v>154.42599999999999</v>
      </c>
      <c r="I696" s="247">
        <f>ABS(G696-H696)</f>
        <v>0.4889999999999759</v>
      </c>
      <c r="J696" s="235">
        <v>152.54</v>
      </c>
      <c r="K696" s="199">
        <v>44622.149305555555</v>
      </c>
      <c r="L696" s="235">
        <v>153.423</v>
      </c>
      <c r="M696" s="248">
        <f>ROUND(IF(C696="L",(L696-G696),(G696-L696)),4)</f>
        <v>0.51400000000000001</v>
      </c>
      <c r="N696" s="249">
        <f>IFERROR(ROUND((M696/I696),2),"")</f>
        <v>1.05</v>
      </c>
      <c r="O696" s="250">
        <f>IF(D696="O",IF(N696&lt;0,N696,0),0)</f>
        <v>0</v>
      </c>
      <c r="P696" s="251">
        <f>IF(N696&gt;= 0,N696,0)</f>
        <v>1.05</v>
      </c>
      <c r="Q696" s="251">
        <f>IF(N696&lt;0,N696,0)</f>
        <v>0</v>
      </c>
      <c r="R6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20581</v>
      </c>
      <c r="T6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6" s="253">
        <f ca="1">IF(Tabla33610673[[#This Row],[Equity]]&lt;Tabla33610673[[#This Row],[Equity Peak]],(Tabla33610673[[#This Row],[Equity Peak]]-Tabla33610673[[#This Row],[Equity]])/Tabla33610673[[#This Row],[Equity Peak]],"")</f>
        <v>1.8877818563188254E-2</v>
      </c>
      <c r="V696" s="254">
        <f>IF(B696="FX",N696,0)</f>
        <v>1.05</v>
      </c>
      <c r="W696" s="254">
        <f>IF(D696="O",IF(V696&lt;0,V696,0),0)</f>
        <v>0</v>
      </c>
      <c r="X696" s="254">
        <f>IF(B696="COM",N696,0)</f>
        <v>0</v>
      </c>
      <c r="Y696" s="254">
        <f>IF(D696="O",IF(X696&lt;0,X696,0),0)</f>
        <v>0</v>
      </c>
      <c r="Z696" s="254">
        <f>IF(B696="IND",N696,0)</f>
        <v>0</v>
      </c>
      <c r="AA696" s="250">
        <f>IF(D696="O",IF(Z696&lt;0,Z696,0),0)</f>
        <v>0</v>
      </c>
      <c r="AB696" s="254">
        <f>IF(B696="CRYPTO",N696,0)</f>
        <v>0</v>
      </c>
      <c r="AC696" s="250">
        <f>IF(D696="O",IF(AB696&lt;0,AB696,0),0)</f>
        <v>0</v>
      </c>
      <c r="AD696" s="255">
        <f>IF(K696&lt;&gt;"",K696-E696,0)</f>
        <v>0.63888888889050577</v>
      </c>
      <c r="AE696" s="255">
        <f>IF(N696&gt;0,AD696,0)</f>
        <v>0.63888888889050577</v>
      </c>
      <c r="AF696" s="255">
        <f>IF(N696&lt;0,AD696,0)</f>
        <v>0</v>
      </c>
      <c r="AG696" s="255">
        <f>IF(N696=0,AD696,0)</f>
        <v>0</v>
      </c>
    </row>
    <row r="697" spans="2:33" ht="15" customHeight="1" x14ac:dyDescent="0.3">
      <c r="B697" s="196" t="s">
        <v>7</v>
      </c>
      <c r="C697" s="197" t="s">
        <v>13</v>
      </c>
      <c r="D697" s="246" t="str">
        <f>IF(E697&lt;&gt;"",IF(K697&lt;&gt;"","C","O"),"")</f>
        <v>C</v>
      </c>
      <c r="E697" s="199">
        <v>44621.78125</v>
      </c>
      <c r="F697" s="200" t="s">
        <v>114</v>
      </c>
      <c r="G697" s="235">
        <v>1.1106799999999999</v>
      </c>
      <c r="H697" s="235">
        <v>1.11355</v>
      </c>
      <c r="I697" s="247">
        <f>ABS(G697-H697)</f>
        <v>2.8700000000001502E-3</v>
      </c>
      <c r="J697" s="235">
        <v>1.0848899999999999</v>
      </c>
      <c r="K697" s="199">
        <v>44621.959722222222</v>
      </c>
      <c r="L697" s="235">
        <v>1.11355</v>
      </c>
      <c r="M697" s="248">
        <f>ROUND(IF(C697="L",(L697-G697),(G697-L697)),4)</f>
        <v>-2.8999999999999998E-3</v>
      </c>
      <c r="N697" s="249">
        <f>IFERROR(ROUND((M697/I697),2),"")</f>
        <v>-1.01</v>
      </c>
      <c r="O697" s="250">
        <f>IF(D697="O",IF(N697&lt;0,N697,0),0)</f>
        <v>0</v>
      </c>
      <c r="P697" s="251">
        <f>IF(N697&gt;= 0,N697,0)</f>
        <v>0</v>
      </c>
      <c r="Q697" s="251">
        <f>IF(N697&lt;0,N697,0)</f>
        <v>-1.01</v>
      </c>
      <c r="R6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20476</v>
      </c>
      <c r="T6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7" s="253">
        <f ca="1">IF(Tabla33610673[[#This Row],[Equity]]&lt;Tabla33610673[[#This Row],[Equity Peak]],(Tabla33610673[[#This Row],[Equity Peak]]-Tabla33610673[[#This Row],[Equity]])/Tabla33610673[[#This Row],[Equity Peak]],"")</f>
        <v>2.3883300757973017E-2</v>
      </c>
      <c r="V697" s="254">
        <f>IF(B697="FX",N697,0)</f>
        <v>-1.01</v>
      </c>
      <c r="W697" s="254">
        <f>IF(D697="O",IF(V697&lt;0,V697,0),0)</f>
        <v>0</v>
      </c>
      <c r="X697" s="254">
        <f>IF(B697="COM",N697,0)</f>
        <v>0</v>
      </c>
      <c r="Y697" s="254">
        <f>IF(D697="O",IF(X697&lt;0,X697,0),0)</f>
        <v>0</v>
      </c>
      <c r="Z697" s="254">
        <f>IF(B697="IND",N697,0)</f>
        <v>0</v>
      </c>
      <c r="AA697" s="250">
        <f>IF(D697="O",IF(Z697&lt;0,Z697,0),0)</f>
        <v>0</v>
      </c>
      <c r="AB697" s="254">
        <f>IF(B697="CRYPTO",N697,0)</f>
        <v>0</v>
      </c>
      <c r="AC697" s="250">
        <f>IF(D697="O",IF(AB697&lt;0,AB697,0),0)</f>
        <v>0</v>
      </c>
      <c r="AD697" s="255">
        <f>IF(K697&lt;&gt;"",K697-E697,0)</f>
        <v>0.17847222222189885</v>
      </c>
      <c r="AE697" s="255">
        <f>IF(N697&gt;0,AD697,0)</f>
        <v>0</v>
      </c>
      <c r="AF697" s="255">
        <f>IF(N697&lt;0,AD697,0)</f>
        <v>0.17847222222189885</v>
      </c>
      <c r="AG697" s="255">
        <f>IF(N697=0,AD697,0)</f>
        <v>0</v>
      </c>
    </row>
    <row r="698" spans="2:33" ht="15" customHeight="1" x14ac:dyDescent="0.3">
      <c r="B698" s="196" t="s">
        <v>5</v>
      </c>
      <c r="C698" s="197" t="s">
        <v>15</v>
      </c>
      <c r="D698" s="246" t="str">
        <f>IF(E698&lt;&gt;"",IF(K698&lt;&gt;"","C","O"),"")</f>
        <v>C</v>
      </c>
      <c r="E698" s="199">
        <v>44621.385416666664</v>
      </c>
      <c r="F698" s="200" t="s">
        <v>93</v>
      </c>
      <c r="G698" s="235">
        <v>14297.78</v>
      </c>
      <c r="H698" s="235">
        <v>14229.68</v>
      </c>
      <c r="I698" s="247">
        <f>ABS(G698-H698)</f>
        <v>68.100000000000364</v>
      </c>
      <c r="J698" s="235">
        <v>15024.16</v>
      </c>
      <c r="K698" s="199">
        <v>44621.432638888888</v>
      </c>
      <c r="L698" s="235">
        <v>14229.68</v>
      </c>
      <c r="M698" s="248">
        <f>ROUND(IF(C698="L",(L698-G698),(G698-L698)),4)</f>
        <v>-68.099999999999994</v>
      </c>
      <c r="N698" s="249">
        <f>IFERROR(ROUND((M698/I698),2),"")</f>
        <v>-1</v>
      </c>
      <c r="O698" s="250">
        <f>IF(D698="O",IF(N698&lt;0,N698,0),0)</f>
        <v>0</v>
      </c>
      <c r="P698" s="251">
        <f>IF(N698&gt;= 0,N698,0)</f>
        <v>0</v>
      </c>
      <c r="Q698" s="251">
        <f>IF(N698&lt;0,N698,0)</f>
        <v>-1</v>
      </c>
      <c r="R6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20577</v>
      </c>
      <c r="T6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8" s="253">
        <f ca="1">IF(Tabla33610673[[#This Row],[Equity]]&lt;Tabla33610673[[#This Row],[Equity Peak]],(Tabla33610673[[#This Row],[Equity Peak]]-Tabla33610673[[#This Row],[Equity]])/Tabla33610673[[#This Row],[Equity Peak]],"")</f>
        <v>1.9068503599180053E-2</v>
      </c>
      <c r="V698" s="254">
        <f>IF(B698="FX",N698,0)</f>
        <v>0</v>
      </c>
      <c r="W698" s="254">
        <f>IF(D698="O",IF(V698&lt;0,V698,0),0)</f>
        <v>0</v>
      </c>
      <c r="X698" s="254">
        <f>IF(B698="COM",N698,0)</f>
        <v>0</v>
      </c>
      <c r="Y698" s="254">
        <f>IF(D698="O",IF(X698&lt;0,X698,0),0)</f>
        <v>0</v>
      </c>
      <c r="Z698" s="254">
        <f>IF(B698="IND",N698,0)</f>
        <v>-1</v>
      </c>
      <c r="AA698" s="250">
        <f>IF(D698="O",IF(Z698&lt;0,Z698,0),0)</f>
        <v>0</v>
      </c>
      <c r="AB698" s="254">
        <f>IF(B698="CRYPTO",N698,0)</f>
        <v>0</v>
      </c>
      <c r="AC698" s="250">
        <f>IF(D698="O",IF(AB698&lt;0,AB698,0),0)</f>
        <v>0</v>
      </c>
      <c r="AD698" s="255">
        <f>IF(K698&lt;&gt;"",K698-E698,0)</f>
        <v>4.7222222223354038E-2</v>
      </c>
      <c r="AE698" s="255">
        <f>IF(N698&gt;0,AD698,0)</f>
        <v>0</v>
      </c>
      <c r="AF698" s="255">
        <f>IF(N698&lt;0,AD698,0)</f>
        <v>4.7222222223354038E-2</v>
      </c>
      <c r="AG698" s="255">
        <f>IF(N698=0,AD698,0)</f>
        <v>0</v>
      </c>
    </row>
    <row r="699" spans="2:33" ht="15" customHeight="1" x14ac:dyDescent="0.3">
      <c r="B699" s="196" t="s">
        <v>5</v>
      </c>
      <c r="C699" s="197" t="s">
        <v>15</v>
      </c>
      <c r="D699" s="246" t="str">
        <f>IF(E699&lt;&gt;"",IF(K699&lt;&gt;"","C","O"),"")</f>
        <v>C</v>
      </c>
      <c r="E699" s="199">
        <v>44620.739583333336</v>
      </c>
      <c r="F699" s="200" t="s">
        <v>93</v>
      </c>
      <c r="G699" s="235">
        <v>14214.01</v>
      </c>
      <c r="H699" s="235">
        <v>14133.64</v>
      </c>
      <c r="I699" s="247">
        <f>ABS(G699-H699)</f>
        <v>80.3700000000008</v>
      </c>
      <c r="J699" s="235">
        <v>15071.27</v>
      </c>
      <c r="K699" s="199">
        <v>44620.807638888888</v>
      </c>
      <c r="L699" s="235">
        <v>14133.64</v>
      </c>
      <c r="M699" s="248">
        <f>ROUND(IF(C699="L",(L699-G699),(G699-L699)),4)</f>
        <v>-80.37</v>
      </c>
      <c r="N699" s="249">
        <f>IFERROR(ROUND((M699/I699),2),"")</f>
        <v>-1</v>
      </c>
      <c r="O699" s="250">
        <f>IF(D699="O",IF(N699&lt;0,N699,0),0)</f>
        <v>0</v>
      </c>
      <c r="P699" s="251">
        <f>IF(N699&gt;= 0,N699,0)</f>
        <v>0</v>
      </c>
      <c r="Q699" s="251">
        <f>IF(N699&lt;0,N699,0)</f>
        <v>-1</v>
      </c>
      <c r="R6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20677</v>
      </c>
      <c r="T6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699" s="253">
        <f ca="1">IF(Tabla33610673[[#This Row],[Equity]]&lt;Tabla33610673[[#This Row],[Equity Peak]],(Tabla33610673[[#This Row],[Equity Peak]]-Tabla33610673[[#This Row],[Equity]])/Tabla33610673[[#This Row],[Equity Peak]],"")</f>
        <v>1.430137769938504E-2</v>
      </c>
      <c r="V699" s="254">
        <f>IF(B699="FX",N699,0)</f>
        <v>0</v>
      </c>
      <c r="W699" s="254">
        <f>IF(D699="O",IF(V699&lt;0,V699,0),0)</f>
        <v>0</v>
      </c>
      <c r="X699" s="254">
        <f>IF(B699="COM",N699,0)</f>
        <v>0</v>
      </c>
      <c r="Y699" s="254">
        <f>IF(D699="O",IF(X699&lt;0,X699,0),0)</f>
        <v>0</v>
      </c>
      <c r="Z699" s="254">
        <f>IF(B699="IND",N699,0)</f>
        <v>-1</v>
      </c>
      <c r="AA699" s="250">
        <f>IF(D699="O",IF(Z699&lt;0,Z699,0),0)</f>
        <v>0</v>
      </c>
      <c r="AB699" s="254">
        <f>IF(B699="CRYPTO",N699,0)</f>
        <v>0</v>
      </c>
      <c r="AC699" s="250">
        <f>IF(D699="O",IF(AB699&lt;0,AB699,0),0)</f>
        <v>0</v>
      </c>
      <c r="AD699" s="255">
        <f>IF(K699&lt;&gt;"",K699-E699,0)</f>
        <v>6.8055555551836733E-2</v>
      </c>
      <c r="AE699" s="255">
        <f>IF(N699&gt;0,AD699,0)</f>
        <v>0</v>
      </c>
      <c r="AF699" s="255">
        <f>IF(N699&lt;0,AD699,0)</f>
        <v>6.8055555551836733E-2</v>
      </c>
      <c r="AG699" s="255">
        <f>IF(N699=0,AD699,0)</f>
        <v>0</v>
      </c>
    </row>
    <row r="700" spans="2:33" ht="15" customHeight="1" x14ac:dyDescent="0.3">
      <c r="B700" s="196" t="s">
        <v>5</v>
      </c>
      <c r="C700" s="197" t="s">
        <v>15</v>
      </c>
      <c r="D700" s="246" t="str">
        <f>IF(E700&lt;&gt;"",IF(K700&lt;&gt;"","C","O"),"")</f>
        <v>C</v>
      </c>
      <c r="E700" s="199">
        <v>44617.770833333336</v>
      </c>
      <c r="F700" s="200" t="s">
        <v>93</v>
      </c>
      <c r="G700" s="235">
        <v>14119.92</v>
      </c>
      <c r="H700" s="235">
        <v>14035.99</v>
      </c>
      <c r="I700" s="247">
        <f>ABS(G700-H700)</f>
        <v>83.930000000000291</v>
      </c>
      <c r="J700" s="235">
        <v>15015.14</v>
      </c>
      <c r="K700" s="199">
        <v>44620.041666666664</v>
      </c>
      <c r="L700" s="235">
        <v>14035.99</v>
      </c>
      <c r="M700" s="248">
        <f>ROUND(IF(C700="L",(L700-G700),(G700-L700)),4)</f>
        <v>-83.93</v>
      </c>
      <c r="N700" s="249">
        <f>IFERROR(ROUND((M700/I700),2),"")</f>
        <v>-1</v>
      </c>
      <c r="O700" s="250">
        <f>IF(D700="O",IF(N700&lt;0,N700,0),0)</f>
        <v>0</v>
      </c>
      <c r="P700" s="251">
        <f>IF(N700&gt;= 0,N700,0)</f>
        <v>0</v>
      </c>
      <c r="Q700" s="251">
        <f>IF(N700&lt;0,N700,0)</f>
        <v>-1</v>
      </c>
      <c r="R7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20777</v>
      </c>
      <c r="T7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700" s="253">
        <f ca="1">IF(Tabla33610673[[#This Row],[Equity]]&lt;Tabla33610673[[#This Row],[Equity Peak]],(Tabla33610673[[#This Row],[Equity Peak]]-Tabla33610673[[#This Row],[Equity]])/Tabla33610673[[#This Row],[Equity Peak]],"")</f>
        <v>9.5342517995900267E-3</v>
      </c>
      <c r="V700" s="254">
        <f>IF(B700="FX",N700,0)</f>
        <v>0</v>
      </c>
      <c r="W700" s="254">
        <f>IF(D700="O",IF(V700&lt;0,V700,0),0)</f>
        <v>0</v>
      </c>
      <c r="X700" s="254">
        <f>IF(B700="COM",N700,0)</f>
        <v>0</v>
      </c>
      <c r="Y700" s="254">
        <f>IF(D700="O",IF(X700&lt;0,X700,0),0)</f>
        <v>0</v>
      </c>
      <c r="Z700" s="254">
        <f>IF(B700="IND",N700,0)</f>
        <v>-1</v>
      </c>
      <c r="AA700" s="250">
        <f>IF(D700="O",IF(Z700&lt;0,Z700,0),0)</f>
        <v>0</v>
      </c>
      <c r="AB700" s="254">
        <f>IF(B700="CRYPTO",N700,0)</f>
        <v>0</v>
      </c>
      <c r="AC700" s="250">
        <f>IF(D700="O",IF(AB700&lt;0,AB700,0),0)</f>
        <v>0</v>
      </c>
      <c r="AD700" s="255">
        <f>IF(K700&lt;&gt;"",K700-E700,0)</f>
        <v>2.2708333333284827</v>
      </c>
      <c r="AE700" s="255">
        <f>IF(N700&gt;0,AD700,0)</f>
        <v>0</v>
      </c>
      <c r="AF700" s="255">
        <f>IF(N700&lt;0,AD700,0)</f>
        <v>2.2708333333284827</v>
      </c>
      <c r="AG700" s="255">
        <f>IF(N700=0,AD700,0)</f>
        <v>0</v>
      </c>
    </row>
    <row r="701" spans="2:33" ht="15" customHeight="1" x14ac:dyDescent="0.3">
      <c r="B701" s="196" t="s">
        <v>7</v>
      </c>
      <c r="C701" s="197" t="s">
        <v>15</v>
      </c>
      <c r="D701" s="246" t="str">
        <f>IF(E701&lt;&gt;"",IF(K701&lt;&gt;"","C","O"),"")</f>
        <v>C</v>
      </c>
      <c r="E701" s="199">
        <v>44617.75</v>
      </c>
      <c r="F701" s="200" t="s">
        <v>115</v>
      </c>
      <c r="G701" s="235">
        <v>155.06100000000001</v>
      </c>
      <c r="H701" s="235">
        <v>154.41999999999999</v>
      </c>
      <c r="I701" s="247">
        <f>ABS(G701-H701)</f>
        <v>0.64100000000001955</v>
      </c>
      <c r="J701" s="235">
        <v>156.893</v>
      </c>
      <c r="K701" s="199">
        <v>44620</v>
      </c>
      <c r="L701" s="235">
        <v>154.41999999999999</v>
      </c>
      <c r="M701" s="248">
        <f>ROUND(IF(C701="L",(L701-G701),(G701-L701)),4)</f>
        <v>-0.64100000000000001</v>
      </c>
      <c r="N701" s="249">
        <f>IFERROR(ROUND((M701/I701),2),"")</f>
        <v>-1</v>
      </c>
      <c r="O701" s="250">
        <f>IF(D701="O",IF(N701&lt;0,N701,0),0)</f>
        <v>0</v>
      </c>
      <c r="P701" s="251">
        <f>IF(N701&gt;= 0,N701,0)</f>
        <v>0</v>
      </c>
      <c r="Q701" s="251">
        <f>IF(N701&lt;0,N701,0)</f>
        <v>-1</v>
      </c>
      <c r="R7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20877</v>
      </c>
      <c r="T7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701" s="253">
        <f ca="1">IF(Tabla33610673[[#This Row],[Equity]]&lt;Tabla33610673[[#This Row],[Equity Peak]],(Tabla33610673[[#This Row],[Equity Peak]]-Tabla33610673[[#This Row],[Equity]])/Tabla33610673[[#This Row],[Equity Peak]],"")</f>
        <v>4.7671258997950133E-3</v>
      </c>
      <c r="V701" s="254">
        <f>IF(B701="FX",N701,0)</f>
        <v>-1</v>
      </c>
      <c r="W701" s="254">
        <f>IF(D701="O",IF(V701&lt;0,V701,0),0)</f>
        <v>0</v>
      </c>
      <c r="X701" s="254">
        <f>IF(B701="COM",N701,0)</f>
        <v>0</v>
      </c>
      <c r="Y701" s="254">
        <f>IF(D701="O",IF(X701&lt;0,X701,0),0)</f>
        <v>0</v>
      </c>
      <c r="Z701" s="254">
        <f>IF(B701="IND",N701,0)</f>
        <v>0</v>
      </c>
      <c r="AA701" s="250">
        <f>IF(D701="O",IF(Z701&lt;0,Z701,0),0)</f>
        <v>0</v>
      </c>
      <c r="AB701" s="254">
        <f>IF(B701="CRYPTO",N701,0)</f>
        <v>0</v>
      </c>
      <c r="AC701" s="250">
        <f>IF(D701="O",IF(AB701&lt;0,AB701,0),0)</f>
        <v>0</v>
      </c>
      <c r="AD701" s="255">
        <f>IF(K701&lt;&gt;"",K701-E701,0)</f>
        <v>2.25</v>
      </c>
      <c r="AE701" s="255">
        <f>IF(N701&gt;0,AD701,0)</f>
        <v>0</v>
      </c>
      <c r="AF701" s="255">
        <f>IF(N701&lt;0,AD701,0)</f>
        <v>2.25</v>
      </c>
      <c r="AG701" s="255">
        <f>IF(N701=0,AD701,0)</f>
        <v>0</v>
      </c>
    </row>
    <row r="702" spans="2:33" ht="15" customHeight="1" x14ac:dyDescent="0.3">
      <c r="B702" s="196" t="s">
        <v>7</v>
      </c>
      <c r="C702" s="197" t="s">
        <v>13</v>
      </c>
      <c r="D702" s="246" t="str">
        <f>IF(E702&lt;&gt;"",IF(K702&lt;&gt;"","C","O"),"")</f>
        <v>C</v>
      </c>
      <c r="E702" s="199">
        <v>44616.208333333336</v>
      </c>
      <c r="F702" s="200" t="s">
        <v>114</v>
      </c>
      <c r="G702" s="235">
        <v>1.1272899999999999</v>
      </c>
      <c r="H702" s="235">
        <v>1.1287400000000001</v>
      </c>
      <c r="I702" s="247">
        <f>ABS(G702-H702)</f>
        <v>1.4500000000001734E-3</v>
      </c>
      <c r="J702" s="235">
        <v>1.1142000000000001</v>
      </c>
      <c r="K702" s="199">
        <v>44616.713888888888</v>
      </c>
      <c r="L702" s="235">
        <v>1.1142000000000001</v>
      </c>
      <c r="M702" s="248">
        <f>ROUND(IF(C702="L",(L702-G702),(G702-L702)),4)</f>
        <v>1.3100000000000001E-2</v>
      </c>
      <c r="N702" s="249">
        <f>IFERROR(ROUND((M702/I702),2),"")</f>
        <v>9.0299999999999994</v>
      </c>
      <c r="O702" s="250">
        <f>IF(D702="O",IF(N702&lt;0,N702,0),0)</f>
        <v>0</v>
      </c>
      <c r="P702" s="251">
        <f>IF(N702&gt;= 0,N702,0)</f>
        <v>9.0299999999999994</v>
      </c>
      <c r="Q702" s="251">
        <f>IF(N702&lt;0,N702,0)</f>
        <v>0</v>
      </c>
      <c r="R7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20977</v>
      </c>
      <c r="T7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20977</v>
      </c>
      <c r="U70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02" s="254">
        <f>IF(B702="FX",N702,0)</f>
        <v>9.0299999999999994</v>
      </c>
      <c r="W702" s="254">
        <f>IF(D702="O",IF(V702&lt;0,V702,0),0)</f>
        <v>0</v>
      </c>
      <c r="X702" s="254">
        <f>IF(B702="COM",N702,0)</f>
        <v>0</v>
      </c>
      <c r="Y702" s="254">
        <f>IF(D702="O",IF(X702&lt;0,X702,0),0)</f>
        <v>0</v>
      </c>
      <c r="Z702" s="254">
        <f>IF(B702="IND",N702,0)</f>
        <v>0</v>
      </c>
      <c r="AA702" s="250">
        <f>IF(D702="O",IF(Z702&lt;0,Z702,0),0)</f>
        <v>0</v>
      </c>
      <c r="AB702" s="254">
        <f>IF(B702="CRYPTO",N702,0)</f>
        <v>0</v>
      </c>
      <c r="AC702" s="250">
        <f>IF(D702="O",IF(AB702&lt;0,AB702,0),0)</f>
        <v>0</v>
      </c>
      <c r="AD702" s="255">
        <f>IF(K702&lt;&gt;"",K702-E702,0)</f>
        <v>0.50555555555183673</v>
      </c>
      <c r="AE702" s="255">
        <f>IF(N702&gt;0,AD702,0)</f>
        <v>0.50555555555183673</v>
      </c>
      <c r="AF702" s="255">
        <f>IF(N702&lt;0,AD702,0)</f>
        <v>0</v>
      </c>
      <c r="AG702" s="255">
        <f>IF(N702=0,AD702,0)</f>
        <v>0</v>
      </c>
    </row>
    <row r="703" spans="2:33" ht="15" customHeight="1" x14ac:dyDescent="0.3">
      <c r="B703" s="196" t="s">
        <v>5</v>
      </c>
      <c r="C703" s="197" t="s">
        <v>13</v>
      </c>
      <c r="D703" s="246" t="str">
        <f>IF(E703&lt;&gt;"",IF(K703&lt;&gt;"","C","O"),"")</f>
        <v>C</v>
      </c>
      <c r="E703" s="199">
        <v>44615.90625</v>
      </c>
      <c r="F703" s="200" t="s">
        <v>92</v>
      </c>
      <c r="G703" s="235">
        <v>13572.05</v>
      </c>
      <c r="H703" s="235">
        <v>13623.89</v>
      </c>
      <c r="I703" s="247">
        <f>ABS(G703-H703)</f>
        <v>51.840000000000146</v>
      </c>
      <c r="J703" s="235">
        <v>12604.33</v>
      </c>
      <c r="K703" s="199">
        <v>44616.693055555559</v>
      </c>
      <c r="L703" s="235">
        <v>13292.62</v>
      </c>
      <c r="M703" s="248">
        <f>ROUND(IF(C703="L",(L703-G703),(G703-L703)),4)</f>
        <v>279.43</v>
      </c>
      <c r="N703" s="249">
        <f>IFERROR(ROUND((M703/I703),2),"")</f>
        <v>5.39</v>
      </c>
      <c r="O703" s="250">
        <f>IF(D703="O",IF(N703&lt;0,N703,0),0)</f>
        <v>0</v>
      </c>
      <c r="P703" s="251">
        <f>IF(N703&gt;= 0,N703,0)</f>
        <v>5.39</v>
      </c>
      <c r="Q703" s="251">
        <f>IF(N703&lt;0,N703,0)</f>
        <v>0</v>
      </c>
      <c r="R7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20074</v>
      </c>
      <c r="T7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20074</v>
      </c>
      <c r="U70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03" s="254">
        <f>IF(B703="FX",N703,0)</f>
        <v>0</v>
      </c>
      <c r="W703" s="254">
        <f>IF(D703="O",IF(V703&lt;0,V703,0),0)</f>
        <v>0</v>
      </c>
      <c r="X703" s="254">
        <f>IF(B703="COM",N703,0)</f>
        <v>0</v>
      </c>
      <c r="Y703" s="254">
        <f>IF(D703="O",IF(X703&lt;0,X703,0),0)</f>
        <v>0</v>
      </c>
      <c r="Z703" s="254">
        <f>IF(B703="IND",N703,0)</f>
        <v>5.39</v>
      </c>
      <c r="AA703" s="250">
        <f>IF(D703="O",IF(Z703&lt;0,Z703,0),0)</f>
        <v>0</v>
      </c>
      <c r="AB703" s="254">
        <f>IF(B703="CRYPTO",N703,0)</f>
        <v>0</v>
      </c>
      <c r="AC703" s="250">
        <f>IF(D703="O",IF(AB703&lt;0,AB703,0),0)</f>
        <v>0</v>
      </c>
      <c r="AD703" s="255">
        <f>IF(K703&lt;&gt;"",K703-E703,0)</f>
        <v>0.78680555555911269</v>
      </c>
      <c r="AE703" s="255">
        <f>IF(N703&gt;0,AD703,0)</f>
        <v>0.78680555555911269</v>
      </c>
      <c r="AF703" s="255">
        <f>IF(N703&lt;0,AD703,0)</f>
        <v>0</v>
      </c>
      <c r="AG703" s="255">
        <f>IF(N703=0,AD703,0)</f>
        <v>0</v>
      </c>
    </row>
    <row r="704" spans="2:33" ht="15" customHeight="1" x14ac:dyDescent="0.3">
      <c r="B704" s="196" t="s">
        <v>19</v>
      </c>
      <c r="C704" s="197" t="s">
        <v>15</v>
      </c>
      <c r="D704" s="246" t="str">
        <f>IF(E704&lt;&gt;"",IF(K704&lt;&gt;"","C","O"),"")</f>
        <v>C</v>
      </c>
      <c r="E704" s="199">
        <v>44616.1875</v>
      </c>
      <c r="F704" s="200" t="s">
        <v>88</v>
      </c>
      <c r="G704" s="235">
        <v>1914.43</v>
      </c>
      <c r="H704" s="235">
        <v>1911.12</v>
      </c>
      <c r="I704" s="247">
        <f>ABS(G704-H704)</f>
        <v>3.3100000000001728</v>
      </c>
      <c r="J704" s="235">
        <v>1954.12</v>
      </c>
      <c r="K704" s="199">
        <v>44616.498611111114</v>
      </c>
      <c r="L704" s="235">
        <v>1954.12</v>
      </c>
      <c r="M704" s="248">
        <f>ROUND(IF(C704="L",(L704-G704),(G704-L704)),4)</f>
        <v>39.69</v>
      </c>
      <c r="N704" s="249">
        <f>IFERROR(ROUND((M704/I704),2),"")</f>
        <v>11.99</v>
      </c>
      <c r="O704" s="250">
        <f>IF(D704="O",IF(N704&lt;0,N704,0),0)</f>
        <v>0</v>
      </c>
      <c r="P704" s="251">
        <f>IF(N704&gt;= 0,N704,0)</f>
        <v>11.99</v>
      </c>
      <c r="Q704" s="251">
        <f>IF(N704&lt;0,N704,0)</f>
        <v>0</v>
      </c>
      <c r="R7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19535</v>
      </c>
      <c r="T7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19535</v>
      </c>
      <c r="U70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04" s="254">
        <f>IF(B704="FX",N704,0)</f>
        <v>0</v>
      </c>
      <c r="W704" s="254">
        <f>IF(D704="O",IF(V704&lt;0,V704,0),0)</f>
        <v>0</v>
      </c>
      <c r="X704" s="254">
        <f>IF(B704="COM",N704,0)</f>
        <v>11.99</v>
      </c>
      <c r="Y704" s="254">
        <f>IF(D704="O",IF(X704&lt;0,X704,0),0)</f>
        <v>0</v>
      </c>
      <c r="Z704" s="254">
        <f>IF(B704="IND",N704,0)</f>
        <v>0</v>
      </c>
      <c r="AA704" s="250">
        <f>IF(D704="O",IF(Z704&lt;0,Z704,0),0)</f>
        <v>0</v>
      </c>
      <c r="AB704" s="254">
        <f>IF(B704="CRYPTO",N704,0)</f>
        <v>0</v>
      </c>
      <c r="AC704" s="250">
        <f>IF(D704="O",IF(AB704&lt;0,AB704,0),0)</f>
        <v>0</v>
      </c>
      <c r="AD704" s="255">
        <f>IF(K704&lt;&gt;"",K704-E704,0)</f>
        <v>0.31111111111385981</v>
      </c>
      <c r="AE704" s="255">
        <f>IF(N704&gt;0,AD704,0)</f>
        <v>0.31111111111385981</v>
      </c>
      <c r="AF704" s="255">
        <f>IF(N704&lt;0,AD704,0)</f>
        <v>0</v>
      </c>
      <c r="AG704" s="255">
        <f>IF(N704=0,AD704,0)</f>
        <v>0</v>
      </c>
    </row>
    <row r="705" spans="2:33" ht="15" customHeight="1" x14ac:dyDescent="0.3">
      <c r="B705" s="196" t="s">
        <v>5</v>
      </c>
      <c r="C705" s="197" t="s">
        <v>13</v>
      </c>
      <c r="D705" s="246" t="str">
        <f>IF(E705&lt;&gt;"",IF(K705&lt;&gt;"","C","O"),"")</f>
        <v>C</v>
      </c>
      <c r="E705" s="199">
        <v>44615.90625</v>
      </c>
      <c r="F705" s="200" t="s">
        <v>93</v>
      </c>
      <c r="G705" s="235">
        <v>13572.05</v>
      </c>
      <c r="H705" s="235">
        <v>13626.69</v>
      </c>
      <c r="I705" s="247">
        <f>ABS(G705-H705)</f>
        <v>54.640000000001237</v>
      </c>
      <c r="J705" s="235">
        <v>12989.18</v>
      </c>
      <c r="K705" s="199">
        <v>44616.45208333333</v>
      </c>
      <c r="L705" s="235">
        <v>13207.08</v>
      </c>
      <c r="M705" s="248">
        <f>ROUND(IF(C705="L",(L705-G705),(G705-L705)),4)</f>
        <v>364.97</v>
      </c>
      <c r="N705" s="249">
        <f>IFERROR(ROUND((M705/I705),2),"")</f>
        <v>6.68</v>
      </c>
      <c r="O705" s="250">
        <f>IF(D705="O",IF(N705&lt;0,N705,0),0)</f>
        <v>0</v>
      </c>
      <c r="P705" s="251">
        <f>IF(N705&gt;= 0,N705,0)</f>
        <v>6.68</v>
      </c>
      <c r="Q705" s="251">
        <f>IF(N705&lt;0,N705,0)</f>
        <v>0</v>
      </c>
      <c r="R7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18336</v>
      </c>
      <c r="T7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18336</v>
      </c>
      <c r="U70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05" s="254">
        <f>IF(B705="FX",N705,0)</f>
        <v>0</v>
      </c>
      <c r="W705" s="254">
        <f>IF(D705="O",IF(V705&lt;0,V705,0),0)</f>
        <v>0</v>
      </c>
      <c r="X705" s="254">
        <f>IF(B705="COM",N705,0)</f>
        <v>0</v>
      </c>
      <c r="Y705" s="254">
        <f>IF(D705="O",IF(X705&lt;0,X705,0),0)</f>
        <v>0</v>
      </c>
      <c r="Z705" s="254">
        <f>IF(B705="IND",N705,0)</f>
        <v>6.68</v>
      </c>
      <c r="AA705" s="250">
        <f>IF(D705="O",IF(Z705&lt;0,Z705,0),0)</f>
        <v>0</v>
      </c>
      <c r="AB705" s="254">
        <f>IF(B705="CRYPTO",N705,0)</f>
        <v>0</v>
      </c>
      <c r="AC705" s="250">
        <f>IF(D705="O",IF(AB705&lt;0,AB705,0),0)</f>
        <v>0</v>
      </c>
      <c r="AD705" s="255">
        <f>IF(K705&lt;&gt;"",K705-E705,0)</f>
        <v>0.54583333332993789</v>
      </c>
      <c r="AE705" s="255">
        <f>IF(N705&gt;0,AD705,0)</f>
        <v>0.54583333332993789</v>
      </c>
      <c r="AF705" s="255">
        <f>IF(N705&lt;0,AD705,0)</f>
        <v>0</v>
      </c>
      <c r="AG705" s="255">
        <f>IF(N705=0,AD705,0)</f>
        <v>0</v>
      </c>
    </row>
    <row r="706" spans="2:33" ht="15" customHeight="1" x14ac:dyDescent="0.3">
      <c r="B706" s="196" t="s">
        <v>5</v>
      </c>
      <c r="C706" s="197" t="s">
        <v>13</v>
      </c>
      <c r="D706" s="246" t="str">
        <f>IF(E706&lt;&gt;"",IF(K706&lt;&gt;"","C","O"),"")</f>
        <v>C</v>
      </c>
      <c r="E706" s="199">
        <v>44616.21875</v>
      </c>
      <c r="F706" s="200" t="s">
        <v>91</v>
      </c>
      <c r="G706" s="235">
        <v>14217.2</v>
      </c>
      <c r="H706" s="235">
        <v>14288.5</v>
      </c>
      <c r="I706" s="247">
        <f>ABS(G706-H706)</f>
        <v>71.299999999999272</v>
      </c>
      <c r="J706" s="235">
        <v>12886.35</v>
      </c>
      <c r="K706" s="199">
        <v>44616.422222222223</v>
      </c>
      <c r="L706" s="235">
        <v>14076.7</v>
      </c>
      <c r="M706" s="248">
        <f>ROUND(IF(C706="L",(L706-G706),(G706-L706)),4)</f>
        <v>140.5</v>
      </c>
      <c r="N706" s="249">
        <f>IFERROR(ROUND((M706/I706),2),"")</f>
        <v>1.97</v>
      </c>
      <c r="O706" s="250">
        <f>IF(D706="O",IF(N706&lt;0,N706,0),0)</f>
        <v>0</v>
      </c>
      <c r="P706" s="251">
        <f>IF(N706&gt;= 0,N706,0)</f>
        <v>1.97</v>
      </c>
      <c r="Q706" s="251">
        <f>IF(N706&lt;0,N706,0)</f>
        <v>0</v>
      </c>
      <c r="R7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17668</v>
      </c>
      <c r="T7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17668</v>
      </c>
      <c r="U70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06" s="254">
        <f>IF(B706="FX",N706,0)</f>
        <v>0</v>
      </c>
      <c r="W706" s="254">
        <f>IF(D706="O",IF(V706&lt;0,V706,0),0)</f>
        <v>0</v>
      </c>
      <c r="X706" s="254">
        <f>IF(B706="COM",N706,0)</f>
        <v>0</v>
      </c>
      <c r="Y706" s="254">
        <f>IF(D706="O",IF(X706&lt;0,X706,0),0)</f>
        <v>0</v>
      </c>
      <c r="Z706" s="254">
        <f>IF(B706="IND",N706,0)</f>
        <v>1.97</v>
      </c>
      <c r="AA706" s="250">
        <f>IF(D706="O",IF(Z706&lt;0,Z706,0),0)</f>
        <v>0</v>
      </c>
      <c r="AB706" s="254">
        <f>IF(B706="CRYPTO",N706,0)</f>
        <v>0</v>
      </c>
      <c r="AC706" s="250">
        <f>IF(D706="O",IF(AB706&lt;0,AB706,0),0)</f>
        <v>0</v>
      </c>
      <c r="AD706" s="255">
        <f>IF(K706&lt;&gt;"",K706-E706,0)</f>
        <v>0.20347222222335404</v>
      </c>
      <c r="AE706" s="255">
        <f>IF(N706&gt;0,AD706,0)</f>
        <v>0.20347222222335404</v>
      </c>
      <c r="AF706" s="255">
        <f>IF(N706&lt;0,AD706,0)</f>
        <v>0</v>
      </c>
      <c r="AG706" s="255">
        <f>IF(N706=0,AD706,0)</f>
        <v>0</v>
      </c>
    </row>
    <row r="707" spans="2:33" ht="15" customHeight="1" x14ac:dyDescent="0.3">
      <c r="B707" s="196" t="s">
        <v>7</v>
      </c>
      <c r="C707" s="197" t="s">
        <v>13</v>
      </c>
      <c r="D707" s="246" t="str">
        <f>IF(E707&lt;&gt;"",IF(K707&lt;&gt;"","C","O"),"")</f>
        <v>C</v>
      </c>
      <c r="E707" s="199">
        <v>44616.375</v>
      </c>
      <c r="F707" s="200" t="s">
        <v>116</v>
      </c>
      <c r="G707" s="235">
        <v>114.431</v>
      </c>
      <c r="H707" s="235">
        <v>114.571</v>
      </c>
      <c r="I707" s="247">
        <f>ABS(G707-H707)</f>
        <v>0.14000000000000057</v>
      </c>
      <c r="J707" s="235">
        <v>112.974</v>
      </c>
      <c r="K707" s="199">
        <v>44616.404166666667</v>
      </c>
      <c r="L707" s="235">
        <v>114.571</v>
      </c>
      <c r="M707" s="248">
        <f>ROUND(IF(C707="L",(L707-G707),(G707-L707)),4)</f>
        <v>-0.14000000000000001</v>
      </c>
      <c r="N707" s="249">
        <f>IFERROR(ROUND((M707/I707),2),"")</f>
        <v>-1</v>
      </c>
      <c r="O707" s="250">
        <f>IF(D707="O",IF(N707&lt;0,N707,0),0)</f>
        <v>0</v>
      </c>
      <c r="P707" s="251">
        <f>IF(N707&gt;= 0,N707,0)</f>
        <v>0</v>
      </c>
      <c r="Q707" s="251">
        <f>IF(N707&lt;0,N707,0)</f>
        <v>-1</v>
      </c>
      <c r="R7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17471</v>
      </c>
      <c r="T7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17571</v>
      </c>
      <c r="U707" s="253">
        <f ca="1">IF(Tabla33610673[[#This Row],[Equity]]&lt;Tabla33610673[[#This Row],[Equity Peak]],(Tabla33610673[[#This Row],[Equity Peak]]-Tabla33610673[[#This Row],[Equity]])/Tabla33610673[[#This Row],[Equity Peak]],"")</f>
        <v>5.6911957202208183E-3</v>
      </c>
      <c r="V707" s="254">
        <f>IF(B707="FX",N707,0)</f>
        <v>-1</v>
      </c>
      <c r="W707" s="254">
        <f>IF(D707="O",IF(V707&lt;0,V707,0),0)</f>
        <v>0</v>
      </c>
      <c r="X707" s="254">
        <f>IF(B707="COM",N707,0)</f>
        <v>0</v>
      </c>
      <c r="Y707" s="254">
        <f>IF(D707="O",IF(X707&lt;0,X707,0),0)</f>
        <v>0</v>
      </c>
      <c r="Z707" s="254">
        <f>IF(B707="IND",N707,0)</f>
        <v>0</v>
      </c>
      <c r="AA707" s="250">
        <f>IF(D707="O",IF(Z707&lt;0,Z707,0),0)</f>
        <v>0</v>
      </c>
      <c r="AB707" s="254">
        <f>IF(B707="CRYPTO",N707,0)</f>
        <v>0</v>
      </c>
      <c r="AC707" s="250">
        <f>IF(D707="O",IF(AB707&lt;0,AB707,0),0)</f>
        <v>0</v>
      </c>
      <c r="AD707" s="255">
        <f>IF(K707&lt;&gt;"",K707-E707,0)</f>
        <v>2.9166666667151731E-2</v>
      </c>
      <c r="AE707" s="255">
        <f>IF(N707&gt;0,AD707,0)</f>
        <v>0</v>
      </c>
      <c r="AF707" s="255">
        <f>IF(N707&lt;0,AD707,0)</f>
        <v>2.9166666667151731E-2</v>
      </c>
      <c r="AG707" s="255">
        <f>IF(N707=0,AD707,0)</f>
        <v>0</v>
      </c>
    </row>
    <row r="708" spans="2:33" ht="15" customHeight="1" x14ac:dyDescent="0.3">
      <c r="B708" s="196" t="s">
        <v>7</v>
      </c>
      <c r="C708" s="197" t="s">
        <v>13</v>
      </c>
      <c r="D708" s="246" t="str">
        <f>IF(E708&lt;&gt;"",IF(K708&lt;&gt;"","C","O"),"")</f>
        <v>C</v>
      </c>
      <c r="E708" s="199">
        <v>44615.895833333336</v>
      </c>
      <c r="F708" s="200" t="s">
        <v>115</v>
      </c>
      <c r="G708" s="235">
        <v>155.67699999999999</v>
      </c>
      <c r="H708" s="235">
        <v>156.08000000000001</v>
      </c>
      <c r="I708" s="247">
        <f>ABS(G708-H708)</f>
        <v>0.40300000000002001</v>
      </c>
      <c r="J708" s="235">
        <v>154.52699999999999</v>
      </c>
      <c r="K708" s="199">
        <v>44616.262499999997</v>
      </c>
      <c r="L708" s="235">
        <v>154.52699999999999</v>
      </c>
      <c r="M708" s="248">
        <f>ROUND(IF(C708="L",(L708-G708),(G708-L708)),4)</f>
        <v>1.1499999999999999</v>
      </c>
      <c r="N708" s="249">
        <f>IFERROR(ROUND((M708/I708),2),"")</f>
        <v>2.85</v>
      </c>
      <c r="O708" s="250">
        <f>IF(D708="O",IF(N708&lt;0,N708,0),0)</f>
        <v>0</v>
      </c>
      <c r="P708" s="251">
        <f>IF(N708&gt;= 0,N708,0)</f>
        <v>2.85</v>
      </c>
      <c r="Q708" s="251">
        <f>IF(N708&lt;0,N708,0)</f>
        <v>0</v>
      </c>
      <c r="R7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17571</v>
      </c>
      <c r="T7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17571</v>
      </c>
      <c r="U70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08" s="254">
        <f>IF(B708="FX",N708,0)</f>
        <v>2.85</v>
      </c>
      <c r="W708" s="254">
        <f>IF(D708="O",IF(V708&lt;0,V708,0),0)</f>
        <v>0</v>
      </c>
      <c r="X708" s="254">
        <f>IF(B708="COM",N708,0)</f>
        <v>0</v>
      </c>
      <c r="Y708" s="254">
        <f>IF(D708="O",IF(X708&lt;0,X708,0),0)</f>
        <v>0</v>
      </c>
      <c r="Z708" s="254">
        <f>IF(B708="IND",N708,0)</f>
        <v>0</v>
      </c>
      <c r="AA708" s="250">
        <f>IF(D708="O",IF(Z708&lt;0,Z708,0),0)</f>
        <v>0</v>
      </c>
      <c r="AB708" s="254">
        <f>IF(B708="CRYPTO",N708,0)</f>
        <v>0</v>
      </c>
      <c r="AC708" s="250">
        <f>IF(D708="O",IF(AB708&lt;0,AB708,0),0)</f>
        <v>0</v>
      </c>
      <c r="AD708" s="255">
        <f>IF(K708&lt;&gt;"",K708-E708,0)</f>
        <v>0.36666666666133096</v>
      </c>
      <c r="AE708" s="255">
        <f>IF(N708&gt;0,AD708,0)</f>
        <v>0.36666666666133096</v>
      </c>
      <c r="AF708" s="255">
        <f>IF(N708&lt;0,AD708,0)</f>
        <v>0</v>
      </c>
      <c r="AG708" s="255">
        <f>IF(N708=0,AD708,0)</f>
        <v>0</v>
      </c>
    </row>
    <row r="709" spans="2:33" ht="15" customHeight="1" x14ac:dyDescent="0.3">
      <c r="B709" s="196" t="s">
        <v>7</v>
      </c>
      <c r="C709" s="197" t="s">
        <v>13</v>
      </c>
      <c r="D709" s="246" t="str">
        <f>IF(E709&lt;&gt;"",IF(K709&lt;&gt;"","C","O"),"")</f>
        <v>C</v>
      </c>
      <c r="E709" s="199">
        <v>44616.125</v>
      </c>
      <c r="F709" s="200" t="s">
        <v>114</v>
      </c>
      <c r="G709" s="235">
        <v>1.12761</v>
      </c>
      <c r="H709" s="235">
        <v>1.1286799999999999</v>
      </c>
      <c r="I709" s="247">
        <f>ABS(G709-H709)</f>
        <v>1.0699999999999044E-3</v>
      </c>
      <c r="J709" s="235">
        <v>1.1180099999999999</v>
      </c>
      <c r="K709" s="199">
        <v>44616.140972222223</v>
      </c>
      <c r="L709" s="235">
        <v>1.1286799999999999</v>
      </c>
      <c r="M709" s="248">
        <f>ROUND(IF(C709="L",(L709-G709),(G709-L709)),4)</f>
        <v>-1.1000000000000001E-3</v>
      </c>
      <c r="N709" s="249">
        <f>IFERROR(ROUND((M709/I709),2),"")</f>
        <v>-1.03</v>
      </c>
      <c r="O709" s="250">
        <f>IF(D709="O",IF(N709&lt;0,N709,0),0)</f>
        <v>0</v>
      </c>
      <c r="P709" s="251">
        <f>IF(N709&gt;= 0,N709,0)</f>
        <v>0</v>
      </c>
      <c r="Q709" s="251">
        <f>IF(N709&lt;0,N709,0)</f>
        <v>-1.03</v>
      </c>
      <c r="R7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17286</v>
      </c>
      <c r="T7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17488</v>
      </c>
      <c r="U709" s="253">
        <f ca="1">IF(Tabla33610673[[#This Row],[Equity]]&lt;Tabla33610673[[#This Row],[Equity Peak]],(Tabla33610673[[#This Row],[Equity Peak]]-Tabla33610673[[#This Row],[Equity]])/Tabla33610673[[#This Row],[Equity Peak]],"")</f>
        <v>1.1550777676120769E-2</v>
      </c>
      <c r="V709" s="254">
        <f>IF(B709="FX",N709,0)</f>
        <v>-1.03</v>
      </c>
      <c r="W709" s="254">
        <f>IF(D709="O",IF(V709&lt;0,V709,0),0)</f>
        <v>0</v>
      </c>
      <c r="X709" s="254">
        <f>IF(B709="COM",N709,0)</f>
        <v>0</v>
      </c>
      <c r="Y709" s="254">
        <f>IF(D709="O",IF(X709&lt;0,X709,0),0)</f>
        <v>0</v>
      </c>
      <c r="Z709" s="254">
        <f>IF(B709="IND",N709,0)</f>
        <v>0</v>
      </c>
      <c r="AA709" s="250">
        <f>IF(D709="O",IF(Z709&lt;0,Z709,0),0)</f>
        <v>0</v>
      </c>
      <c r="AB709" s="254">
        <f>IF(B709="CRYPTO",N709,0)</f>
        <v>0</v>
      </c>
      <c r="AC709" s="250">
        <f>IF(D709="O",IF(AB709&lt;0,AB709,0),0)</f>
        <v>0</v>
      </c>
      <c r="AD709" s="255">
        <f>IF(K709&lt;&gt;"",K709-E709,0)</f>
        <v>1.5972222223354038E-2</v>
      </c>
      <c r="AE709" s="255">
        <f>IF(N709&gt;0,AD709,0)</f>
        <v>0</v>
      </c>
      <c r="AF709" s="255">
        <f>IF(N709&lt;0,AD709,0)</f>
        <v>1.5972222223354038E-2</v>
      </c>
      <c r="AG709" s="255">
        <f>IF(N709=0,AD709,0)</f>
        <v>0</v>
      </c>
    </row>
    <row r="710" spans="2:33" ht="15" customHeight="1" x14ac:dyDescent="0.3">
      <c r="B710" s="196" t="s">
        <v>7</v>
      </c>
      <c r="C710" s="197" t="s">
        <v>15</v>
      </c>
      <c r="D710" s="246" t="str">
        <f>IF(E710&lt;&gt;"",IF(K710&lt;&gt;"","C","O"),"")</f>
        <v>C</v>
      </c>
      <c r="E710" s="199">
        <v>44615.40625</v>
      </c>
      <c r="F710" s="200" t="s">
        <v>115</v>
      </c>
      <c r="G710" s="235">
        <v>156.54</v>
      </c>
      <c r="H710" s="235">
        <v>156.14099999999999</v>
      </c>
      <c r="I710" s="247">
        <f>ABS(G710-H710)</f>
        <v>0.39900000000000091</v>
      </c>
      <c r="J710" s="235">
        <v>157.68</v>
      </c>
      <c r="K710" s="199">
        <v>44615.709027777775</v>
      </c>
      <c r="L710" s="235">
        <v>156.28</v>
      </c>
      <c r="M710" s="248">
        <f>ROUND(IF(C710="L",(L710-G710),(G710-L710)),4)</f>
        <v>-0.26</v>
      </c>
      <c r="N710" s="249">
        <f>IFERROR(ROUND((M710/I710),2),"")</f>
        <v>-0.65</v>
      </c>
      <c r="O710" s="250">
        <f>IF(D710="O",IF(N710&lt;0,N710,0),0)</f>
        <v>0</v>
      </c>
      <c r="P710" s="251">
        <f>IF(N710&gt;= 0,N710,0)</f>
        <v>0</v>
      </c>
      <c r="Q710" s="251">
        <f>IF(N710&lt;0,N710,0)</f>
        <v>-0.65</v>
      </c>
      <c r="R7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17389</v>
      </c>
      <c r="T7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17488</v>
      </c>
      <c r="U710" s="253">
        <f ca="1">IF(Tabla33610673[[#This Row],[Equity]]&lt;Tabla33610673[[#This Row],[Equity Peak]],(Tabla33610673[[#This Row],[Equity Peak]]-Tabla33610673[[#This Row],[Equity]])/Tabla33610673[[#This Row],[Equity Peak]],"")</f>
        <v>5.6610247026532478E-3</v>
      </c>
      <c r="V710" s="254">
        <f>IF(B710="FX",N710,0)</f>
        <v>-0.65</v>
      </c>
      <c r="W710" s="254">
        <f>IF(D710="O",IF(V710&lt;0,V710,0),0)</f>
        <v>0</v>
      </c>
      <c r="X710" s="254">
        <f>IF(B710="COM",N710,0)</f>
        <v>0</v>
      </c>
      <c r="Y710" s="254">
        <f>IF(D710="O",IF(X710&lt;0,X710,0),0)</f>
        <v>0</v>
      </c>
      <c r="Z710" s="254">
        <f>IF(B710="IND",N710,0)</f>
        <v>0</v>
      </c>
      <c r="AA710" s="250">
        <f>IF(D710="O",IF(Z710&lt;0,Z710,0),0)</f>
        <v>0</v>
      </c>
      <c r="AB710" s="254">
        <f>IF(B710="CRYPTO",N710,0)</f>
        <v>0</v>
      </c>
      <c r="AC710" s="250">
        <f>IF(D710="O",IF(AB710&lt;0,AB710,0),0)</f>
        <v>0</v>
      </c>
      <c r="AD710" s="255">
        <f>IF(K710&lt;&gt;"",K710-E710,0)</f>
        <v>0.30277777777519077</v>
      </c>
      <c r="AE710" s="255">
        <f>IF(N710&gt;0,AD710,0)</f>
        <v>0</v>
      </c>
      <c r="AF710" s="255">
        <f>IF(N710&lt;0,AD710,0)</f>
        <v>0.30277777777519077</v>
      </c>
      <c r="AG710" s="255">
        <f>IF(N710=0,AD710,0)</f>
        <v>0</v>
      </c>
    </row>
    <row r="711" spans="2:33" ht="15" customHeight="1" x14ac:dyDescent="0.3">
      <c r="B711" s="196" t="s">
        <v>5</v>
      </c>
      <c r="C711" s="197" t="s">
        <v>13</v>
      </c>
      <c r="D711" s="246" t="str">
        <f>IF(E711&lt;&gt;"",IF(K711&lt;&gt;"","C","O"),"")</f>
        <v>C</v>
      </c>
      <c r="E711" s="199">
        <v>44613.791666666664</v>
      </c>
      <c r="F711" s="200" t="s">
        <v>92</v>
      </c>
      <c r="G711" s="235">
        <v>13766.39</v>
      </c>
      <c r="H711" s="235">
        <v>13825.79</v>
      </c>
      <c r="I711" s="247">
        <f>ABS(G711-H711)</f>
        <v>59.400000000001455</v>
      </c>
      <c r="J711" s="235">
        <v>12657.68</v>
      </c>
      <c r="K711" s="199">
        <v>44614.509027777778</v>
      </c>
      <c r="L711" s="235">
        <v>13786.01</v>
      </c>
      <c r="M711" s="248">
        <f>ROUND(IF(C711="L",(L711-G711),(G711-L711)),4)</f>
        <v>-19.62</v>
      </c>
      <c r="N711" s="249">
        <f>IFERROR(ROUND((M711/I711),2),"")</f>
        <v>-0.33</v>
      </c>
      <c r="O711" s="250">
        <f>IF(D711="O",IF(N711&lt;0,N711,0),0)</f>
        <v>0</v>
      </c>
      <c r="P711" s="251">
        <f>IF(N711&gt;= 0,N711,0)</f>
        <v>0</v>
      </c>
      <c r="Q711" s="251">
        <f>IF(N711&lt;0,N711,0)</f>
        <v>-0.33</v>
      </c>
      <c r="R7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17454</v>
      </c>
      <c r="T7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17488</v>
      </c>
      <c r="U711" s="253">
        <f ca="1">IF(Tabla33610673[[#This Row],[Equity]]&lt;Tabla33610673[[#This Row],[Equity Peak]],(Tabla33610673[[#This Row],[Equity Peak]]-Tabla33610673[[#This Row],[Equity]])/Tabla33610673[[#This Row],[Equity Peak]],"")</f>
        <v>1.9441903019213175E-3</v>
      </c>
      <c r="V711" s="254">
        <f>IF(B711="FX",N711,0)</f>
        <v>0</v>
      </c>
      <c r="W711" s="254">
        <f>IF(D711="O",IF(V711&lt;0,V711,0),0)</f>
        <v>0</v>
      </c>
      <c r="X711" s="254">
        <f>IF(B711="COM",N711,0)</f>
        <v>0</v>
      </c>
      <c r="Y711" s="254">
        <f>IF(D711="O",IF(X711&lt;0,X711,0),0)</f>
        <v>0</v>
      </c>
      <c r="Z711" s="254">
        <f>IF(B711="IND",N711,0)</f>
        <v>-0.33</v>
      </c>
      <c r="AA711" s="250">
        <f>IF(D711="O",IF(Z711&lt;0,Z711,0),0)</f>
        <v>0</v>
      </c>
      <c r="AB711" s="254">
        <f>IF(B711="CRYPTO",N711,0)</f>
        <v>0</v>
      </c>
      <c r="AC711" s="250">
        <f>IF(D711="O",IF(AB711&lt;0,AB711,0),0)</f>
        <v>0</v>
      </c>
      <c r="AD711" s="255">
        <f>IF(K711&lt;&gt;"",K711-E711,0)</f>
        <v>0.71736111111385981</v>
      </c>
      <c r="AE711" s="255">
        <f>IF(N711&gt;0,AD711,0)</f>
        <v>0</v>
      </c>
      <c r="AF711" s="255">
        <f>IF(N711&lt;0,AD711,0)</f>
        <v>0.71736111111385981</v>
      </c>
      <c r="AG711" s="255">
        <f>IF(N711=0,AD711,0)</f>
        <v>0</v>
      </c>
    </row>
    <row r="712" spans="2:33" ht="15" customHeight="1" x14ac:dyDescent="0.3">
      <c r="B712" s="196" t="s">
        <v>7</v>
      </c>
      <c r="C712" s="197" t="s">
        <v>13</v>
      </c>
      <c r="D712" s="246" t="str">
        <f>IF(E712&lt;&gt;"",IF(K712&lt;&gt;"","C","O"),"")</f>
        <v>C</v>
      </c>
      <c r="E712" s="199">
        <v>44613.895833333336</v>
      </c>
      <c r="F712" s="200" t="s">
        <v>115</v>
      </c>
      <c r="G712" s="235">
        <v>156.06899999999999</v>
      </c>
      <c r="H712" s="235">
        <v>156.453</v>
      </c>
      <c r="I712" s="247">
        <f>ABS(G712-H712)</f>
        <v>0.38400000000001455</v>
      </c>
      <c r="J712" s="235">
        <v>154.97200000000001</v>
      </c>
      <c r="K712" s="199">
        <v>44614.488194444442</v>
      </c>
      <c r="L712" s="235">
        <v>156.071</v>
      </c>
      <c r="M712" s="248">
        <f>ROUND(IF(C712="L",(L712-G712),(G712-L712)),4)</f>
        <v>-2E-3</v>
      </c>
      <c r="N712" s="249">
        <f>IFERROR(ROUND((M712/I712),2),"")</f>
        <v>-0.01</v>
      </c>
      <c r="O712" s="250">
        <f>IF(D712="O",IF(N712&lt;0,N712,0),0)</f>
        <v>0</v>
      </c>
      <c r="P712" s="251">
        <f>IF(N712&gt;= 0,N712,0)</f>
        <v>0</v>
      </c>
      <c r="Q712" s="251">
        <f>IF(N712&lt;0,N712,0)</f>
        <v>-0.01</v>
      </c>
      <c r="R7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17487</v>
      </c>
      <c r="T7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17488</v>
      </c>
      <c r="U712" s="253">
        <f ca="1">IF(Tabla33610673[[#This Row],[Equity]]&lt;Tabla33610673[[#This Row],[Equity Peak]],(Tabla33610673[[#This Row],[Equity Peak]]-Tabla33610673[[#This Row],[Equity]])/Tabla33610673[[#This Row],[Equity Peak]],"")</f>
        <v>5.7182067703568164E-5</v>
      </c>
      <c r="V712" s="254">
        <f>IF(B712="FX",N712,0)</f>
        <v>-0.01</v>
      </c>
      <c r="W712" s="254">
        <f>IF(D712="O",IF(V712&lt;0,V712,0),0)</f>
        <v>0</v>
      </c>
      <c r="X712" s="254">
        <f>IF(B712="COM",N712,0)</f>
        <v>0</v>
      </c>
      <c r="Y712" s="254">
        <f>IF(D712="O",IF(X712&lt;0,X712,0),0)</f>
        <v>0</v>
      </c>
      <c r="Z712" s="254">
        <f>IF(B712="IND",N712,0)</f>
        <v>0</v>
      </c>
      <c r="AA712" s="250">
        <f>IF(D712="O",IF(Z712&lt;0,Z712,0),0)</f>
        <v>0</v>
      </c>
      <c r="AB712" s="254">
        <f>IF(B712="CRYPTO",N712,0)</f>
        <v>0</v>
      </c>
      <c r="AC712" s="250">
        <f>IF(D712="O",IF(AB712&lt;0,AB712,0),0)</f>
        <v>0</v>
      </c>
      <c r="AD712" s="255">
        <f>IF(K712&lt;&gt;"",K712-E712,0)</f>
        <v>0.59236111110658385</v>
      </c>
      <c r="AE712" s="255">
        <f>IF(N712&gt;0,AD712,0)</f>
        <v>0</v>
      </c>
      <c r="AF712" s="255">
        <f>IF(N712&lt;0,AD712,0)</f>
        <v>0.59236111110658385</v>
      </c>
      <c r="AG712" s="255">
        <f>IF(N712=0,AD712,0)</f>
        <v>0</v>
      </c>
    </row>
    <row r="713" spans="2:33" ht="15" customHeight="1" x14ac:dyDescent="0.3">
      <c r="B713" s="196" t="s">
        <v>5</v>
      </c>
      <c r="C713" s="197" t="s">
        <v>13</v>
      </c>
      <c r="D713" s="246" t="str">
        <f>IF(E713&lt;&gt;"",IF(K713&lt;&gt;"","C","O"),"")</f>
        <v>C</v>
      </c>
      <c r="E713" s="199">
        <v>44613.791666666664</v>
      </c>
      <c r="F713" s="200" t="s">
        <v>93</v>
      </c>
      <c r="G713" s="235">
        <v>13766.39</v>
      </c>
      <c r="H713" s="235">
        <v>13828.6</v>
      </c>
      <c r="I713" s="247">
        <f>ABS(G713-H713)</f>
        <v>62.210000000000946</v>
      </c>
      <c r="J713" s="235">
        <v>13102.84</v>
      </c>
      <c r="K713" s="199">
        <v>44614.480555555558</v>
      </c>
      <c r="L713" s="235">
        <v>13753.04</v>
      </c>
      <c r="M713" s="248">
        <f>ROUND(IF(C713="L",(L713-G713),(G713-L713)),4)</f>
        <v>13.35</v>
      </c>
      <c r="N713" s="249">
        <f>IFERROR(ROUND((M713/I713),2),"")</f>
        <v>0.21</v>
      </c>
      <c r="O713" s="250">
        <f>IF(D713="O",IF(N713&lt;0,N713,0),0)</f>
        <v>0</v>
      </c>
      <c r="P713" s="251">
        <f>IF(N713&gt;= 0,N713,0)</f>
        <v>0.21</v>
      </c>
      <c r="Q713" s="251">
        <f>IF(N713&lt;0,N713,0)</f>
        <v>0</v>
      </c>
      <c r="R7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17488</v>
      </c>
      <c r="T7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17488</v>
      </c>
      <c r="U71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13" s="254">
        <f>IF(B713="FX",N713,0)</f>
        <v>0</v>
      </c>
      <c r="W713" s="254">
        <f>IF(D713="O",IF(V713&lt;0,V713,0),0)</f>
        <v>0</v>
      </c>
      <c r="X713" s="254">
        <f>IF(B713="COM",N713,0)</f>
        <v>0</v>
      </c>
      <c r="Y713" s="254">
        <f>IF(D713="O",IF(X713&lt;0,X713,0),0)</f>
        <v>0</v>
      </c>
      <c r="Z713" s="254">
        <f>IF(B713="IND",N713,0)</f>
        <v>0.21</v>
      </c>
      <c r="AA713" s="250">
        <f>IF(D713="O",IF(Z713&lt;0,Z713,0),0)</f>
        <v>0</v>
      </c>
      <c r="AB713" s="254">
        <f>IF(B713="CRYPTO",N713,0)</f>
        <v>0</v>
      </c>
      <c r="AC713" s="250">
        <f>IF(D713="O",IF(AB713&lt;0,AB713,0),0)</f>
        <v>0</v>
      </c>
      <c r="AD713" s="255">
        <f>IF(K713&lt;&gt;"",K713-E713,0)</f>
        <v>0.68888888889341615</v>
      </c>
      <c r="AE713" s="255">
        <f>IF(N713&gt;0,AD713,0)</f>
        <v>0.68888888889341615</v>
      </c>
      <c r="AF713" s="255">
        <f>IF(N713&lt;0,AD713,0)</f>
        <v>0</v>
      </c>
      <c r="AG713" s="255">
        <f>IF(N713=0,AD713,0)</f>
        <v>0</v>
      </c>
    </row>
    <row r="714" spans="2:33" ht="15" customHeight="1" x14ac:dyDescent="0.3">
      <c r="B714" s="196" t="s">
        <v>5</v>
      </c>
      <c r="C714" s="197" t="s">
        <v>13</v>
      </c>
      <c r="D714" s="246" t="str">
        <f>IF(E714&lt;&gt;"",IF(K714&lt;&gt;"","C","O"),"")</f>
        <v>C</v>
      </c>
      <c r="E714" s="199">
        <v>44613.614583333336</v>
      </c>
      <c r="F714" s="200" t="s">
        <v>91</v>
      </c>
      <c r="G714" s="235">
        <v>14866.07</v>
      </c>
      <c r="H714" s="235">
        <v>14915.03</v>
      </c>
      <c r="I714" s="247">
        <f>ABS(G714-H714)</f>
        <v>48.960000000000946</v>
      </c>
      <c r="J714" s="235">
        <v>13952.18</v>
      </c>
      <c r="K714" s="199">
        <v>44614.445138888892</v>
      </c>
      <c r="L714" s="235">
        <v>14518.16</v>
      </c>
      <c r="M714" s="248">
        <f>ROUND(IF(C714="L",(L714-G714),(G714-L714)),4)</f>
        <v>347.91</v>
      </c>
      <c r="N714" s="249">
        <f>IFERROR(ROUND((M714/I714),2),"")</f>
        <v>7.11</v>
      </c>
      <c r="O714" s="250">
        <f>IF(D714="O",IF(N714&lt;0,N714,0),0)</f>
        <v>0</v>
      </c>
      <c r="P714" s="251">
        <f>IF(N714&gt;= 0,N714,0)</f>
        <v>7.11</v>
      </c>
      <c r="Q714" s="251">
        <f>IF(N714&lt;0,N714,0)</f>
        <v>0</v>
      </c>
      <c r="R7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17467</v>
      </c>
      <c r="T7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17467</v>
      </c>
      <c r="U71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14" s="254">
        <f>IF(B714="FX",N714,0)</f>
        <v>0</v>
      </c>
      <c r="W714" s="254">
        <f>IF(D714="O",IF(V714&lt;0,V714,0),0)</f>
        <v>0</v>
      </c>
      <c r="X714" s="254">
        <f>IF(B714="COM",N714,0)</f>
        <v>0</v>
      </c>
      <c r="Y714" s="254">
        <f>IF(D714="O",IF(X714&lt;0,X714,0),0)</f>
        <v>0</v>
      </c>
      <c r="Z714" s="254">
        <f>IF(B714="IND",N714,0)</f>
        <v>7.11</v>
      </c>
      <c r="AA714" s="250">
        <f>IF(D714="O",IF(Z714&lt;0,Z714,0),0)</f>
        <v>0</v>
      </c>
      <c r="AB714" s="254">
        <f>IF(B714="CRYPTO",N714,0)</f>
        <v>0</v>
      </c>
      <c r="AC714" s="250">
        <f>IF(D714="O",IF(AB714&lt;0,AB714,0),0)</f>
        <v>0</v>
      </c>
      <c r="AD714" s="255">
        <f>IF(K714&lt;&gt;"",K714-E714,0)</f>
        <v>0.83055555555620231</v>
      </c>
      <c r="AE714" s="255">
        <f>IF(N714&gt;0,AD714,0)</f>
        <v>0.83055555555620231</v>
      </c>
      <c r="AF714" s="255">
        <f>IF(N714&lt;0,AD714,0)</f>
        <v>0</v>
      </c>
      <c r="AG714" s="255">
        <f>IF(N714=0,AD714,0)</f>
        <v>0</v>
      </c>
    </row>
    <row r="715" spans="2:33" ht="15" customHeight="1" x14ac:dyDescent="0.3">
      <c r="B715" s="196" t="s">
        <v>7</v>
      </c>
      <c r="C715" s="197" t="s">
        <v>13</v>
      </c>
      <c r="D715" s="246" t="str">
        <f>IF(E715&lt;&gt;"",IF(K715&lt;&gt;"","C","O"),"")</f>
        <v>C</v>
      </c>
      <c r="E715" s="199">
        <v>44613.854166666664</v>
      </c>
      <c r="F715" s="200" t="s">
        <v>116</v>
      </c>
      <c r="G715" s="235">
        <v>114.76900000000001</v>
      </c>
      <c r="H715" s="235">
        <v>114.914</v>
      </c>
      <c r="I715" s="247">
        <f>ABS(G715-H715)</f>
        <v>0.14499999999999602</v>
      </c>
      <c r="J715" s="235">
        <v>113.265</v>
      </c>
      <c r="K715" s="199">
        <v>44614.119444444441</v>
      </c>
      <c r="L715" s="235">
        <v>114.765</v>
      </c>
      <c r="M715" s="248">
        <f>ROUND(IF(C715="L",(L715-G715),(G715-L715)),4)</f>
        <v>4.0000000000000001E-3</v>
      </c>
      <c r="N715" s="249">
        <f>IFERROR(ROUND((M715/I715),2),"")</f>
        <v>0.03</v>
      </c>
      <c r="O715" s="250">
        <f>IF(D715="O",IF(N715&lt;0,N715,0),0)</f>
        <v>0</v>
      </c>
      <c r="P715" s="251">
        <f>IF(N715&gt;= 0,N715,0)</f>
        <v>0.03</v>
      </c>
      <c r="Q715" s="251">
        <f>IF(N715&lt;0,N715,0)</f>
        <v>0</v>
      </c>
      <c r="R7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16756</v>
      </c>
      <c r="T7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17053</v>
      </c>
      <c r="U715" s="253">
        <f ca="1">IF(Tabla33610673[[#This Row],[Equity]]&lt;Tabla33610673[[#This Row],[Equity Peak]],(Tabla33610673[[#This Row],[Equity Peak]]-Tabla33610673[[#This Row],[Equity]])/Tabla33610673[[#This Row],[Equity Peak]],"")</f>
        <v>1.7416290388787895E-2</v>
      </c>
      <c r="V715" s="254">
        <f>IF(B715="FX",N715,0)</f>
        <v>0.03</v>
      </c>
      <c r="W715" s="254">
        <f>IF(D715="O",IF(V715&lt;0,V715,0),0)</f>
        <v>0</v>
      </c>
      <c r="X715" s="254">
        <f>IF(B715="COM",N715,0)</f>
        <v>0</v>
      </c>
      <c r="Y715" s="254">
        <f>IF(D715="O",IF(X715&lt;0,X715,0),0)</f>
        <v>0</v>
      </c>
      <c r="Z715" s="254">
        <f>IF(B715="IND",N715,0)</f>
        <v>0</v>
      </c>
      <c r="AA715" s="250">
        <f>IF(D715="O",IF(Z715&lt;0,Z715,0),0)</f>
        <v>0</v>
      </c>
      <c r="AB715" s="254">
        <f>IF(B715="CRYPTO",N715,0)</f>
        <v>0</v>
      </c>
      <c r="AC715" s="250">
        <f>IF(D715="O",IF(AB715&lt;0,AB715,0),0)</f>
        <v>0</v>
      </c>
      <c r="AD715" s="255">
        <f>IF(K715&lt;&gt;"",K715-E715,0)</f>
        <v>0.26527777777664596</v>
      </c>
      <c r="AE715" s="255">
        <f>IF(N715&gt;0,AD715,0)</f>
        <v>0.26527777777664596</v>
      </c>
      <c r="AF715" s="255">
        <f>IF(N715&lt;0,AD715,0)</f>
        <v>0</v>
      </c>
      <c r="AG715" s="255">
        <f>IF(N715=0,AD715,0)</f>
        <v>0</v>
      </c>
    </row>
    <row r="716" spans="2:33" ht="15" customHeight="1" x14ac:dyDescent="0.3">
      <c r="B716" s="196" t="s">
        <v>19</v>
      </c>
      <c r="C716" s="197" t="s">
        <v>15</v>
      </c>
      <c r="D716" s="246" t="str">
        <f>IF(E716&lt;&gt;"",IF(K716&lt;&gt;"","C","O"),"")</f>
        <v>C</v>
      </c>
      <c r="E716" s="199">
        <v>44614.052083333336</v>
      </c>
      <c r="F716" s="200" t="s">
        <v>88</v>
      </c>
      <c r="G716" s="235">
        <v>1912.18</v>
      </c>
      <c r="H716" s="235">
        <v>1908.89</v>
      </c>
      <c r="I716" s="247">
        <f>ABS(G716-H716)</f>
        <v>3.2899999999999636</v>
      </c>
      <c r="J716" s="235">
        <v>1951.62</v>
      </c>
      <c r="K716" s="199">
        <v>44614.064583333333</v>
      </c>
      <c r="L716" s="235">
        <v>1908.89</v>
      </c>
      <c r="M716" s="248">
        <f>ROUND(IF(C716="L",(L716-G716),(G716-L716)),4)</f>
        <v>-3.29</v>
      </c>
      <c r="N716" s="249">
        <f>IFERROR(ROUND((M716/I716),2),"")</f>
        <v>-1</v>
      </c>
      <c r="O716" s="250">
        <f>IF(D716="O",IF(N716&lt;0,N716,0),0)</f>
        <v>0</v>
      </c>
      <c r="P716" s="251">
        <f>IF(N716&gt;= 0,N716,0)</f>
        <v>0</v>
      </c>
      <c r="Q716" s="251">
        <f>IF(N716&lt;0,N716,0)</f>
        <v>-1</v>
      </c>
      <c r="R7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16753</v>
      </c>
      <c r="T7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17053</v>
      </c>
      <c r="U716" s="253">
        <f ca="1">IF(Tabla33610673[[#This Row],[Equity]]&lt;Tabla33610673[[#This Row],[Equity Peak]],(Tabla33610673[[#This Row],[Equity Peak]]-Tabla33610673[[#This Row],[Equity]])/Tabla33610673[[#This Row],[Equity Peak]],"")</f>
        <v>1.7592212513927168E-2</v>
      </c>
      <c r="V716" s="254">
        <f>IF(B716="FX",N716,0)</f>
        <v>0</v>
      </c>
      <c r="W716" s="254">
        <f>IF(D716="O",IF(V716&lt;0,V716,0),0)</f>
        <v>0</v>
      </c>
      <c r="X716" s="254">
        <f>IF(B716="COM",N716,0)</f>
        <v>-1</v>
      </c>
      <c r="Y716" s="254">
        <f>IF(D716="O",IF(X716&lt;0,X716,0),0)</f>
        <v>0</v>
      </c>
      <c r="Z716" s="254">
        <f>IF(B716="IND",N716,0)</f>
        <v>0</v>
      </c>
      <c r="AA716" s="250">
        <f>IF(D716="O",IF(Z716&lt;0,Z716,0),0)</f>
        <v>0</v>
      </c>
      <c r="AB716" s="254">
        <f>IF(B716="CRYPTO",N716,0)</f>
        <v>0</v>
      </c>
      <c r="AC716" s="250">
        <f>IF(D716="O",IF(AB716&lt;0,AB716,0),0)</f>
        <v>0</v>
      </c>
      <c r="AD716" s="255">
        <f>IF(K716&lt;&gt;"",K716-E716,0)</f>
        <v>1.2499999997089617E-2</v>
      </c>
      <c r="AE716" s="255">
        <f>IF(N716&gt;0,AD716,0)</f>
        <v>0</v>
      </c>
      <c r="AF716" s="255">
        <f>IF(N716&lt;0,AD716,0)</f>
        <v>1.2499999997089617E-2</v>
      </c>
      <c r="AG716" s="255">
        <f>IF(N716=0,AD716,0)</f>
        <v>0</v>
      </c>
    </row>
    <row r="717" spans="2:33" ht="15" customHeight="1" x14ac:dyDescent="0.3">
      <c r="B717" s="196" t="s">
        <v>5</v>
      </c>
      <c r="C717" s="197" t="s">
        <v>13</v>
      </c>
      <c r="D717" s="246" t="str">
        <f>IF(E717&lt;&gt;"",IF(K717&lt;&gt;"","C","O"),"")</f>
        <v>C</v>
      </c>
      <c r="E717" s="199">
        <v>44613.645833333336</v>
      </c>
      <c r="F717" s="200" t="s">
        <v>93</v>
      </c>
      <c r="G717" s="235">
        <v>13798.04</v>
      </c>
      <c r="H717" s="235">
        <v>13866.22</v>
      </c>
      <c r="I717" s="247">
        <f>ABS(G717-H717)</f>
        <v>68.179999999998472</v>
      </c>
      <c r="J717" s="235">
        <v>13070.79</v>
      </c>
      <c r="K717" s="199">
        <v>44613.680555555555</v>
      </c>
      <c r="L717" s="235">
        <v>13866.22</v>
      </c>
      <c r="M717" s="248">
        <f>ROUND(IF(C717="L",(L717-G717),(G717-L717)),4)</f>
        <v>-68.180000000000007</v>
      </c>
      <c r="N717" s="249">
        <f>IFERROR(ROUND((M717/I717),2),"")</f>
        <v>-1</v>
      </c>
      <c r="O717" s="250">
        <f>IF(D717="O",IF(N717&lt;0,N717,0),0)</f>
        <v>0</v>
      </c>
      <c r="P717" s="251">
        <f>IF(N717&gt;= 0,N717,0)</f>
        <v>0</v>
      </c>
      <c r="Q717" s="251">
        <f>IF(N717&lt;0,N717,0)</f>
        <v>-1</v>
      </c>
      <c r="R7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16853</v>
      </c>
      <c r="T7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17053</v>
      </c>
      <c r="U717" s="253">
        <f ca="1">IF(Tabla33610673[[#This Row],[Equity]]&lt;Tabla33610673[[#This Row],[Equity Peak]],(Tabla33610673[[#This Row],[Equity Peak]]-Tabla33610673[[#This Row],[Equity]])/Tabla33610673[[#This Row],[Equity Peak]],"")</f>
        <v>1.1728141675951445E-2</v>
      </c>
      <c r="V717" s="254">
        <f>IF(B717="FX",N717,0)</f>
        <v>0</v>
      </c>
      <c r="W717" s="254">
        <f>IF(D717="O",IF(V717&lt;0,V717,0),0)</f>
        <v>0</v>
      </c>
      <c r="X717" s="254">
        <f>IF(B717="COM",N717,0)</f>
        <v>0</v>
      </c>
      <c r="Y717" s="254">
        <f>IF(D717="O",IF(X717&lt;0,X717,0),0)</f>
        <v>0</v>
      </c>
      <c r="Z717" s="254">
        <f>IF(B717="IND",N717,0)</f>
        <v>-1</v>
      </c>
      <c r="AA717" s="250">
        <f>IF(D717="O",IF(Z717&lt;0,Z717,0),0)</f>
        <v>0</v>
      </c>
      <c r="AB717" s="254">
        <f>IF(B717="CRYPTO",N717,0)</f>
        <v>0</v>
      </c>
      <c r="AC717" s="250">
        <f>IF(D717="O",IF(AB717&lt;0,AB717,0),0)</f>
        <v>0</v>
      </c>
      <c r="AD717" s="255">
        <f>IF(K717&lt;&gt;"",K717-E717,0)</f>
        <v>3.4722222218988463E-2</v>
      </c>
      <c r="AE717" s="255">
        <f>IF(N717&gt;0,AD717,0)</f>
        <v>0</v>
      </c>
      <c r="AF717" s="255">
        <f>IF(N717&lt;0,AD717,0)</f>
        <v>3.4722222218988463E-2</v>
      </c>
      <c r="AG717" s="255">
        <f>IF(N717=0,AD717,0)</f>
        <v>0</v>
      </c>
    </row>
    <row r="718" spans="2:33" ht="15" customHeight="1" x14ac:dyDescent="0.3">
      <c r="B718" s="196" t="s">
        <v>5</v>
      </c>
      <c r="C718" s="197" t="s">
        <v>13</v>
      </c>
      <c r="D718" s="246" t="str">
        <f>IF(E718&lt;&gt;"",IF(K718&lt;&gt;"","C","O"),"")</f>
        <v>C</v>
      </c>
      <c r="E718" s="199">
        <v>44613.645833333336</v>
      </c>
      <c r="F718" s="200" t="s">
        <v>92</v>
      </c>
      <c r="G718" s="235">
        <v>13798.04</v>
      </c>
      <c r="H718" s="235">
        <v>13860.69</v>
      </c>
      <c r="I718" s="247">
        <f>ABS(G718-H718)</f>
        <v>62.649999999999636</v>
      </c>
      <c r="J718" s="235">
        <v>12628.49</v>
      </c>
      <c r="K718" s="199">
        <v>44613.665277777778</v>
      </c>
      <c r="L718" s="235">
        <v>13860.69</v>
      </c>
      <c r="M718" s="248">
        <f>ROUND(IF(C718="L",(L718-G718),(G718-L718)),4)</f>
        <v>-62.65</v>
      </c>
      <c r="N718" s="249">
        <f>IFERROR(ROUND((M718/I718),2),"")</f>
        <v>-1</v>
      </c>
      <c r="O718" s="250">
        <f>IF(D718="O",IF(N718&lt;0,N718,0),0)</f>
        <v>0</v>
      </c>
      <c r="P718" s="251">
        <f>IF(N718&gt;= 0,N718,0)</f>
        <v>0</v>
      </c>
      <c r="Q718" s="251">
        <f>IF(N718&lt;0,N718,0)</f>
        <v>-1</v>
      </c>
      <c r="R7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16953</v>
      </c>
      <c r="T7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17053</v>
      </c>
      <c r="U718" s="253">
        <f ca="1">IF(Tabla33610673[[#This Row],[Equity]]&lt;Tabla33610673[[#This Row],[Equity Peak]],(Tabla33610673[[#This Row],[Equity Peak]]-Tabla33610673[[#This Row],[Equity]])/Tabla33610673[[#This Row],[Equity Peak]],"")</f>
        <v>5.8640708379757225E-3</v>
      </c>
      <c r="V718" s="254">
        <f>IF(B718="FX",N718,0)</f>
        <v>0</v>
      </c>
      <c r="W718" s="254">
        <f>IF(D718="O",IF(V718&lt;0,V718,0),0)</f>
        <v>0</v>
      </c>
      <c r="X718" s="254">
        <f>IF(B718="COM",N718,0)</f>
        <v>0</v>
      </c>
      <c r="Y718" s="254">
        <f>IF(D718="O",IF(X718&lt;0,X718,0),0)</f>
        <v>0</v>
      </c>
      <c r="Z718" s="254">
        <f>IF(B718="IND",N718,0)</f>
        <v>-1</v>
      </c>
      <c r="AA718" s="250">
        <f>IF(D718="O",IF(Z718&lt;0,Z718,0),0)</f>
        <v>0</v>
      </c>
      <c r="AB718" s="254">
        <f>IF(B718="CRYPTO",N718,0)</f>
        <v>0</v>
      </c>
      <c r="AC718" s="250">
        <f>IF(D718="O",IF(AB718&lt;0,AB718,0),0)</f>
        <v>0</v>
      </c>
      <c r="AD718" s="255">
        <f>IF(K718&lt;&gt;"",K718-E718,0)</f>
        <v>1.9444444442342501E-2</v>
      </c>
      <c r="AE718" s="255">
        <f>IF(N718&gt;0,AD718,0)</f>
        <v>0</v>
      </c>
      <c r="AF718" s="255">
        <f>IF(N718&lt;0,AD718,0)</f>
        <v>1.9444444442342501E-2</v>
      </c>
      <c r="AG718" s="255">
        <f>IF(N718=0,AD718,0)</f>
        <v>0</v>
      </c>
    </row>
    <row r="719" spans="2:33" ht="15" customHeight="1" x14ac:dyDescent="0.3">
      <c r="B719" s="196" t="s">
        <v>19</v>
      </c>
      <c r="C719" s="197" t="s">
        <v>15</v>
      </c>
      <c r="D719" s="246" t="str">
        <f>IF(E719&lt;&gt;"",IF(K719&lt;&gt;"","C","O"),"")</f>
        <v>C</v>
      </c>
      <c r="E719" s="199">
        <v>44609.4375</v>
      </c>
      <c r="F719" s="200" t="s">
        <v>88</v>
      </c>
      <c r="G719" s="235">
        <v>1884.61</v>
      </c>
      <c r="H719" s="235">
        <v>1880.96</v>
      </c>
      <c r="I719" s="247">
        <f>ABS(G719-H719)</f>
        <v>3.6499999999998636</v>
      </c>
      <c r="J719" s="235">
        <v>1928.39</v>
      </c>
      <c r="K719" s="199">
        <v>44613.147222222222</v>
      </c>
      <c r="L719" s="235">
        <v>1891.93</v>
      </c>
      <c r="M719" s="248">
        <f>ROUND(IF(C719="L",(L719-G719),(G719-L719)),4)</f>
        <v>7.32</v>
      </c>
      <c r="N719" s="249">
        <f>IFERROR(ROUND((M719/I719),2),"")</f>
        <v>2.0099999999999998</v>
      </c>
      <c r="O719" s="250">
        <f>IF(D719="O",IF(N719&lt;0,N719,0),0)</f>
        <v>0</v>
      </c>
      <c r="P719" s="251">
        <f>IF(N719&gt;= 0,N719,0)</f>
        <v>2.0099999999999998</v>
      </c>
      <c r="Q719" s="251">
        <f>IF(N719&lt;0,N719,0)</f>
        <v>0</v>
      </c>
      <c r="R7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17053</v>
      </c>
      <c r="T7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17053</v>
      </c>
      <c r="U71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19" s="254">
        <f>IF(B719="FX",N719,0)</f>
        <v>0</v>
      </c>
      <c r="W719" s="254">
        <f>IF(D719="O",IF(V719&lt;0,V719,0),0)</f>
        <v>0</v>
      </c>
      <c r="X719" s="254">
        <f>IF(B719="COM",N719,0)</f>
        <v>2.0099999999999998</v>
      </c>
      <c r="Y719" s="254">
        <f>IF(D719="O",IF(X719&lt;0,X719,0),0)</f>
        <v>0</v>
      </c>
      <c r="Z719" s="254">
        <f>IF(B719="IND",N719,0)</f>
        <v>0</v>
      </c>
      <c r="AA719" s="250">
        <f>IF(D719="O",IF(Z719&lt;0,Z719,0),0)</f>
        <v>0</v>
      </c>
      <c r="AB719" s="254">
        <f>IF(B719="CRYPTO",N719,0)</f>
        <v>0</v>
      </c>
      <c r="AC719" s="250">
        <f>IF(D719="O",IF(AB719&lt;0,AB719,0),0)</f>
        <v>0</v>
      </c>
      <c r="AD719" s="255">
        <f>IF(K719&lt;&gt;"",K719-E719,0)</f>
        <v>3.7097222222218988</v>
      </c>
      <c r="AE719" s="255">
        <f>IF(N719&gt;0,AD719,0)</f>
        <v>3.7097222222218988</v>
      </c>
      <c r="AF719" s="255">
        <f>IF(N719&lt;0,AD719,0)</f>
        <v>0</v>
      </c>
      <c r="AG719" s="255">
        <f>IF(N719=0,AD719,0)</f>
        <v>0</v>
      </c>
    </row>
    <row r="720" spans="2:33" ht="15" customHeight="1" x14ac:dyDescent="0.3">
      <c r="B720" s="196" t="s">
        <v>7</v>
      </c>
      <c r="C720" s="197" t="s">
        <v>13</v>
      </c>
      <c r="D720" s="246" t="str">
        <f>IF(E720&lt;&gt;"",IF(K720&lt;&gt;"","C","O"),"")</f>
        <v>C</v>
      </c>
      <c r="E720" s="199">
        <v>44613.0625</v>
      </c>
      <c r="F720" s="200" t="s">
        <v>115</v>
      </c>
      <c r="G720" s="235">
        <v>156.10599999999999</v>
      </c>
      <c r="H720" s="235">
        <v>156.542</v>
      </c>
      <c r="I720" s="247">
        <f>ABS(G720-H720)</f>
        <v>0.43600000000000705</v>
      </c>
      <c r="J720" s="235">
        <v>154.86099999999999</v>
      </c>
      <c r="K720" s="199">
        <v>44613.120138888888</v>
      </c>
      <c r="L720" s="235">
        <v>156.542</v>
      </c>
      <c r="M720" s="248">
        <f>ROUND(IF(C720="L",(L720-G720),(G720-L720)),4)</f>
        <v>-0.436</v>
      </c>
      <c r="N720" s="249">
        <f>IFERROR(ROUND((M720/I720),2),"")</f>
        <v>-1</v>
      </c>
      <c r="O720" s="250">
        <f>IF(D720="O",IF(N720&lt;0,N720,0),0)</f>
        <v>0</v>
      </c>
      <c r="P720" s="251">
        <f>IF(N720&gt;= 0,N720,0)</f>
        <v>0</v>
      </c>
      <c r="Q720" s="251">
        <f>IF(N720&lt;0,N720,0)</f>
        <v>-1</v>
      </c>
      <c r="R7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16852</v>
      </c>
      <c r="T7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0" s="253">
        <f ca="1">IF(Tabla33610673[[#This Row],[Equity]]&lt;Tabla33610673[[#This Row],[Equity Peak]],(Tabla33610673[[#This Row],[Equity Peak]]-Tabla33610673[[#This Row],[Equity]])/Tabla33610673[[#This Row],[Equity Peak]],"")</f>
        <v>5.957647613991624E-3</v>
      </c>
      <c r="V720" s="254">
        <f>IF(B720="FX",N720,0)</f>
        <v>-1</v>
      </c>
      <c r="W720" s="254">
        <f>IF(D720="O",IF(V720&lt;0,V720,0),0)</f>
        <v>0</v>
      </c>
      <c r="X720" s="254">
        <f>IF(B720="COM",N720,0)</f>
        <v>0</v>
      </c>
      <c r="Y720" s="254">
        <f>IF(D720="O",IF(X720&lt;0,X720,0),0)</f>
        <v>0</v>
      </c>
      <c r="Z720" s="254">
        <f>IF(B720="IND",N720,0)</f>
        <v>0</v>
      </c>
      <c r="AA720" s="250">
        <f>IF(D720="O",IF(Z720&lt;0,Z720,0),0)</f>
        <v>0</v>
      </c>
      <c r="AB720" s="254">
        <f>IF(B720="CRYPTO",N720,0)</f>
        <v>0</v>
      </c>
      <c r="AC720" s="250">
        <f>IF(D720="O",IF(AB720&lt;0,AB720,0),0)</f>
        <v>0</v>
      </c>
      <c r="AD720" s="255">
        <f>IF(K720&lt;&gt;"",K720-E720,0)</f>
        <v>5.7638888887595385E-2</v>
      </c>
      <c r="AE720" s="255">
        <f>IF(N720&gt;0,AD720,0)</f>
        <v>0</v>
      </c>
      <c r="AF720" s="255">
        <f>IF(N720&lt;0,AD720,0)</f>
        <v>5.7638888887595385E-2</v>
      </c>
      <c r="AG720" s="255">
        <f>IF(N720=0,AD720,0)</f>
        <v>0</v>
      </c>
    </row>
    <row r="721" spans="2:33" ht="15" customHeight="1" x14ac:dyDescent="0.3">
      <c r="B721" s="196" t="s">
        <v>5</v>
      </c>
      <c r="C721" s="197" t="s">
        <v>13</v>
      </c>
      <c r="D721" s="246" t="str">
        <f>IF(E721&lt;&gt;"",IF(K721&lt;&gt;"","C","O"),"")</f>
        <v>C</v>
      </c>
      <c r="E721" s="199">
        <v>44609.84375</v>
      </c>
      <c r="F721" s="200" t="s">
        <v>92</v>
      </c>
      <c r="G721" s="235">
        <v>14304.31</v>
      </c>
      <c r="H721" s="235">
        <v>14350.7</v>
      </c>
      <c r="I721" s="247">
        <f>ABS(G721-H721)</f>
        <v>46.390000000001237</v>
      </c>
      <c r="J721" s="235">
        <v>13438.45</v>
      </c>
      <c r="K721" s="199">
        <v>44610.894444444442</v>
      </c>
      <c r="L721" s="235">
        <v>14083.22</v>
      </c>
      <c r="M721" s="248">
        <f>ROUND(IF(C721="L",(L721-G721),(G721-L721)),4)</f>
        <v>221.09</v>
      </c>
      <c r="N721" s="249">
        <f>IFERROR(ROUND((M721/I721),2),"")</f>
        <v>4.7699999999999996</v>
      </c>
      <c r="O721" s="250">
        <f>IF(D721="O",IF(N721&lt;0,N721,0),0)</f>
        <v>0</v>
      </c>
      <c r="P721" s="251">
        <f>IF(N721&gt;= 0,N721,0)</f>
        <v>4.7699999999999996</v>
      </c>
      <c r="Q721" s="251">
        <f>IF(N721&lt;0,N721,0)</f>
        <v>0</v>
      </c>
      <c r="R7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16952</v>
      </c>
      <c r="T7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1" s="253">
        <f ca="1">IF(Tabla33610673[[#This Row],[Equity]]&lt;Tabla33610673[[#This Row],[Equity Peak]],(Tabla33610673[[#This Row],[Equity Peak]]-Tabla33610673[[#This Row],[Equity]])/Tabla33610673[[#This Row],[Equity Peak]],"")</f>
        <v>5.8986610039521029E-5</v>
      </c>
      <c r="V721" s="254">
        <f>IF(B721="FX",N721,0)</f>
        <v>0</v>
      </c>
      <c r="W721" s="254">
        <f>IF(D721="O",IF(V721&lt;0,V721,0),0)</f>
        <v>0</v>
      </c>
      <c r="X721" s="254">
        <f>IF(B721="COM",N721,0)</f>
        <v>0</v>
      </c>
      <c r="Y721" s="254">
        <f>IF(D721="O",IF(X721&lt;0,X721,0),0)</f>
        <v>0</v>
      </c>
      <c r="Z721" s="254">
        <f>IF(B721="IND",N721,0)</f>
        <v>4.7699999999999996</v>
      </c>
      <c r="AA721" s="250">
        <f>IF(D721="O",IF(Z721&lt;0,Z721,0),0)</f>
        <v>0</v>
      </c>
      <c r="AB721" s="254">
        <f>IF(B721="CRYPTO",N721,0)</f>
        <v>0</v>
      </c>
      <c r="AC721" s="250">
        <f>IF(D721="O",IF(AB721&lt;0,AB721,0),0)</f>
        <v>0</v>
      </c>
      <c r="AD721" s="255">
        <f>IF(K721&lt;&gt;"",K721-E721,0)</f>
        <v>1.0506944444423425</v>
      </c>
      <c r="AE721" s="255">
        <f>IF(N721&gt;0,AD721,0)</f>
        <v>1.0506944444423425</v>
      </c>
      <c r="AF721" s="255">
        <f>IF(N721&lt;0,AD721,0)</f>
        <v>0</v>
      </c>
      <c r="AG721" s="255">
        <f>IF(N721=0,AD721,0)</f>
        <v>0</v>
      </c>
    </row>
    <row r="722" spans="2:33" ht="15" customHeight="1" x14ac:dyDescent="0.3">
      <c r="B722" s="196" t="s">
        <v>7</v>
      </c>
      <c r="C722" s="197" t="s">
        <v>15</v>
      </c>
      <c r="D722" s="246" t="str">
        <f>IF(E722&lt;&gt;"",IF(K722&lt;&gt;"","C","O"),"")</f>
        <v>C</v>
      </c>
      <c r="E722" s="199">
        <v>44610.447916666664</v>
      </c>
      <c r="F722" s="200" t="s">
        <v>115</v>
      </c>
      <c r="G722" s="235">
        <v>157.136</v>
      </c>
      <c r="H722" s="235">
        <v>156.69300000000001</v>
      </c>
      <c r="I722" s="247">
        <f>ABS(G722-H722)</f>
        <v>0.44299999999998363</v>
      </c>
      <c r="J722" s="235">
        <v>158.40199999999999</v>
      </c>
      <c r="K722" s="199">
        <v>44610.629861111112</v>
      </c>
      <c r="L722" s="235">
        <v>156.69300000000001</v>
      </c>
      <c r="M722" s="248">
        <f>ROUND(IF(C722="L",(L722-G722),(G722-L722)),4)</f>
        <v>-0.443</v>
      </c>
      <c r="N722" s="249">
        <f>IFERROR(ROUND((M722/I722),2),"")</f>
        <v>-1</v>
      </c>
      <c r="O722" s="250">
        <f>IF(D722="O",IF(N722&lt;0,N722,0),0)</f>
        <v>0</v>
      </c>
      <c r="P722" s="251">
        <f>IF(N722&gt;= 0,N722,0)</f>
        <v>0</v>
      </c>
      <c r="Q722" s="251">
        <f>IF(N722&lt;0,N722,0)</f>
        <v>-1</v>
      </c>
      <c r="R7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16475</v>
      </c>
      <c r="T7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2" s="253">
        <f ca="1">IF(Tabla33610673[[#This Row],[Equity]]&lt;Tabla33610673[[#This Row],[Equity Peak]],(Tabla33610673[[#This Row],[Equity Peak]]-Tabla33610673[[#This Row],[Equity]])/Tabla33610673[[#This Row],[Equity Peak]],"")</f>
        <v>2.8195599598891053E-2</v>
      </c>
      <c r="V722" s="254">
        <f>IF(B722="FX",N722,0)</f>
        <v>-1</v>
      </c>
      <c r="W722" s="254">
        <f>IF(D722="O",IF(V722&lt;0,V722,0),0)</f>
        <v>0</v>
      </c>
      <c r="X722" s="254">
        <f>IF(B722="COM",N722,0)</f>
        <v>0</v>
      </c>
      <c r="Y722" s="254">
        <f>IF(D722="O",IF(X722&lt;0,X722,0),0)</f>
        <v>0</v>
      </c>
      <c r="Z722" s="254">
        <f>IF(B722="IND",N722,0)</f>
        <v>0</v>
      </c>
      <c r="AA722" s="250">
        <f>IF(D722="O",IF(Z722&lt;0,Z722,0),0)</f>
        <v>0</v>
      </c>
      <c r="AB722" s="254">
        <f>IF(B722="CRYPTO",N722,0)</f>
        <v>0</v>
      </c>
      <c r="AC722" s="250">
        <f>IF(D722="O",IF(AB722&lt;0,AB722,0),0)</f>
        <v>0</v>
      </c>
      <c r="AD722" s="255">
        <f>IF(K722&lt;&gt;"",K722-E722,0)</f>
        <v>0.18194444444816327</v>
      </c>
      <c r="AE722" s="255">
        <f>IF(N722&gt;0,AD722,0)</f>
        <v>0</v>
      </c>
      <c r="AF722" s="255">
        <f>IF(N722&lt;0,AD722,0)</f>
        <v>0.18194444444816327</v>
      </c>
      <c r="AG722" s="255">
        <f>IF(N722=0,AD722,0)</f>
        <v>0</v>
      </c>
    </row>
    <row r="723" spans="2:33" ht="15" customHeight="1" x14ac:dyDescent="0.3">
      <c r="B723" s="196" t="s">
        <v>5</v>
      </c>
      <c r="C723" s="197" t="s">
        <v>13</v>
      </c>
      <c r="D723" s="246" t="str">
        <f>IF(E723&lt;&gt;"",IF(K723&lt;&gt;"","C","O"),"")</f>
        <v>C</v>
      </c>
      <c r="E723" s="199">
        <v>44609.84375</v>
      </c>
      <c r="F723" s="200" t="s">
        <v>93</v>
      </c>
      <c r="G723" s="235">
        <v>14304.31</v>
      </c>
      <c r="H723" s="235">
        <v>14355.39</v>
      </c>
      <c r="I723" s="247">
        <f>ABS(G723-H723)</f>
        <v>51.079999999999927</v>
      </c>
      <c r="J723" s="235">
        <v>13759.47</v>
      </c>
      <c r="K723" s="199">
        <v>44610.154166666667</v>
      </c>
      <c r="L723" s="235">
        <v>14257.36</v>
      </c>
      <c r="M723" s="248">
        <f>ROUND(IF(C723="L",(L723-G723),(G723-L723)),4)</f>
        <v>46.95</v>
      </c>
      <c r="N723" s="249">
        <f>IFERROR(ROUND((M723/I723),2),"")</f>
        <v>0.92</v>
      </c>
      <c r="O723" s="250">
        <f>IF(D723="O",IF(N723&lt;0,N723,0),0)</f>
        <v>0</v>
      </c>
      <c r="P723" s="251">
        <f>IF(N723&gt;= 0,N723,0)</f>
        <v>0.92</v>
      </c>
      <c r="Q723" s="251">
        <f>IF(N723&lt;0,N723,0)</f>
        <v>0</v>
      </c>
      <c r="R7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16575</v>
      </c>
      <c r="T7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3" s="253">
        <f ca="1">IF(Tabla33610673[[#This Row],[Equity]]&lt;Tabla33610673[[#This Row],[Equity Peak]],(Tabla33610673[[#This Row],[Equity Peak]]-Tabla33610673[[#This Row],[Equity]])/Tabla33610673[[#This Row],[Equity Peak]],"")</f>
        <v>2.2296938594938948E-2</v>
      </c>
      <c r="V723" s="254">
        <f>IF(B723="FX",N723,0)</f>
        <v>0</v>
      </c>
      <c r="W723" s="254">
        <f>IF(D723="O",IF(V723&lt;0,V723,0),0)</f>
        <v>0</v>
      </c>
      <c r="X723" s="254">
        <f>IF(B723="COM",N723,0)</f>
        <v>0</v>
      </c>
      <c r="Y723" s="254">
        <f>IF(D723="O",IF(X723&lt;0,X723,0),0)</f>
        <v>0</v>
      </c>
      <c r="Z723" s="254">
        <f>IF(B723="IND",N723,0)</f>
        <v>0.92</v>
      </c>
      <c r="AA723" s="250">
        <f>IF(D723="O",IF(Z723&lt;0,Z723,0),0)</f>
        <v>0</v>
      </c>
      <c r="AB723" s="254">
        <f>IF(B723="CRYPTO",N723,0)</f>
        <v>0</v>
      </c>
      <c r="AC723" s="250">
        <f>IF(D723="O",IF(AB723&lt;0,AB723,0),0)</f>
        <v>0</v>
      </c>
      <c r="AD723" s="255">
        <f>IF(K723&lt;&gt;"",K723-E723,0)</f>
        <v>0.31041666666715173</v>
      </c>
      <c r="AE723" s="255">
        <f>IF(N723&gt;0,AD723,0)</f>
        <v>0.31041666666715173</v>
      </c>
      <c r="AF723" s="255">
        <f>IF(N723&lt;0,AD723,0)</f>
        <v>0</v>
      </c>
      <c r="AG723" s="255">
        <f>IF(N723=0,AD723,0)</f>
        <v>0</v>
      </c>
    </row>
    <row r="724" spans="2:33" ht="15" customHeight="1" x14ac:dyDescent="0.3">
      <c r="B724" s="196" t="s">
        <v>5</v>
      </c>
      <c r="C724" s="197" t="s">
        <v>13</v>
      </c>
      <c r="D724" s="246" t="str">
        <f>IF(E724&lt;&gt;"",IF(K724&lt;&gt;"","C","O"),"")</f>
        <v>C</v>
      </c>
      <c r="E724" s="199">
        <v>44609.729166666664</v>
      </c>
      <c r="F724" s="200" t="s">
        <v>92</v>
      </c>
      <c r="G724" s="235">
        <v>14338.68</v>
      </c>
      <c r="H724" s="235">
        <v>14388.57</v>
      </c>
      <c r="I724" s="247">
        <f>ABS(G724-H724)</f>
        <v>49.889999999999418</v>
      </c>
      <c r="J724" s="235">
        <v>13407.43</v>
      </c>
      <c r="K724" s="199">
        <v>44609.761805555558</v>
      </c>
      <c r="L724" s="235">
        <v>14388.57</v>
      </c>
      <c r="M724" s="248">
        <f>ROUND(IF(C724="L",(L724-G724),(G724-L724)),4)</f>
        <v>-49.89</v>
      </c>
      <c r="N724" s="249">
        <f>IFERROR(ROUND((M724/I724),2),"")</f>
        <v>-1</v>
      </c>
      <c r="O724" s="250">
        <f>IF(D724="O",IF(N724&lt;0,N724,0),0)</f>
        <v>0</v>
      </c>
      <c r="P724" s="251">
        <f>IF(N724&gt;= 0,N724,0)</f>
        <v>0</v>
      </c>
      <c r="Q724" s="251">
        <f>IF(N724&lt;0,N724,0)</f>
        <v>-1</v>
      </c>
      <c r="R7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16483</v>
      </c>
      <c r="T7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4" s="253">
        <f ca="1">IF(Tabla33610673[[#This Row],[Equity]]&lt;Tabla33610673[[#This Row],[Equity Peak]],(Tabla33610673[[#This Row],[Equity Peak]]-Tabla33610673[[#This Row],[Equity]])/Tabla33610673[[#This Row],[Equity Peak]],"")</f>
        <v>2.7723706718574884E-2</v>
      </c>
      <c r="V724" s="254">
        <f>IF(B724="FX",N724,0)</f>
        <v>0</v>
      </c>
      <c r="W724" s="254">
        <f>IF(D724="O",IF(V724&lt;0,V724,0),0)</f>
        <v>0</v>
      </c>
      <c r="X724" s="254">
        <f>IF(B724="COM",N724,0)</f>
        <v>0</v>
      </c>
      <c r="Y724" s="254">
        <f>IF(D724="O",IF(X724&lt;0,X724,0),0)</f>
        <v>0</v>
      </c>
      <c r="Z724" s="254">
        <f>IF(B724="IND",N724,0)</f>
        <v>-1</v>
      </c>
      <c r="AA724" s="250">
        <f>IF(D724="O",IF(Z724&lt;0,Z724,0),0)</f>
        <v>0</v>
      </c>
      <c r="AB724" s="254">
        <f>IF(B724="CRYPTO",N724,0)</f>
        <v>0</v>
      </c>
      <c r="AC724" s="250">
        <f>IF(D724="O",IF(AB724&lt;0,AB724,0),0)</f>
        <v>0</v>
      </c>
      <c r="AD724" s="255">
        <f>IF(K724&lt;&gt;"",K724-E724,0)</f>
        <v>3.2638888893416151E-2</v>
      </c>
      <c r="AE724" s="255">
        <f>IF(N724&gt;0,AD724,0)</f>
        <v>0</v>
      </c>
      <c r="AF724" s="255">
        <f>IF(N724&lt;0,AD724,0)</f>
        <v>3.2638888893416151E-2</v>
      </c>
      <c r="AG724" s="255">
        <f>IF(N724=0,AD724,0)</f>
        <v>0</v>
      </c>
    </row>
    <row r="725" spans="2:33" ht="15" customHeight="1" x14ac:dyDescent="0.3">
      <c r="B725" s="196" t="s">
        <v>5</v>
      </c>
      <c r="C725" s="197" t="s">
        <v>13</v>
      </c>
      <c r="D725" s="246" t="str">
        <f>IF(E725&lt;&gt;"",IF(K725&lt;&gt;"","C","O"),"")</f>
        <v>C</v>
      </c>
      <c r="E725" s="199">
        <v>44609.729166666664</v>
      </c>
      <c r="F725" s="200" t="s">
        <v>93</v>
      </c>
      <c r="G725" s="235">
        <v>14338.68</v>
      </c>
      <c r="H725" s="235">
        <v>14388.16</v>
      </c>
      <c r="I725" s="247">
        <f>ABS(G725-H725)</f>
        <v>49.479999999999563</v>
      </c>
      <c r="J725" s="235">
        <v>13810.89</v>
      </c>
      <c r="K725" s="199">
        <v>44609.761805555558</v>
      </c>
      <c r="L725" s="235">
        <v>14388.16</v>
      </c>
      <c r="M725" s="248">
        <f>ROUND(IF(C725="L",(L725-G725),(G725-L725)),4)</f>
        <v>-49.48</v>
      </c>
      <c r="N725" s="249">
        <f>IFERROR(ROUND((M725/I725),2),"")</f>
        <v>-1</v>
      </c>
      <c r="O725" s="250">
        <f>IF(D725="O",IF(N725&lt;0,N725,0),0)</f>
        <v>0</v>
      </c>
      <c r="P725" s="251">
        <f>IF(N725&gt;= 0,N725,0)</f>
        <v>0</v>
      </c>
      <c r="Q725" s="251">
        <f>IF(N725&lt;0,N725,0)</f>
        <v>-1</v>
      </c>
      <c r="R7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16583</v>
      </c>
      <c r="T7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5" s="253">
        <f ca="1">IF(Tabla33610673[[#This Row],[Equity]]&lt;Tabla33610673[[#This Row],[Equity Peak]],(Tabla33610673[[#This Row],[Equity Peak]]-Tabla33610673[[#This Row],[Equity]])/Tabla33610673[[#This Row],[Equity Peak]],"")</f>
        <v>2.1825045714622782E-2</v>
      </c>
      <c r="V725" s="254">
        <f>IF(B725="FX",N725,0)</f>
        <v>0</v>
      </c>
      <c r="W725" s="254">
        <f>IF(D725="O",IF(V725&lt;0,V725,0),0)</f>
        <v>0</v>
      </c>
      <c r="X725" s="254">
        <f>IF(B725="COM",N725,0)</f>
        <v>0</v>
      </c>
      <c r="Y725" s="254">
        <f>IF(D725="O",IF(X725&lt;0,X725,0),0)</f>
        <v>0</v>
      </c>
      <c r="Z725" s="254">
        <f>IF(B725="IND",N725,0)</f>
        <v>-1</v>
      </c>
      <c r="AA725" s="250">
        <f>IF(D725="O",IF(Z725&lt;0,Z725,0),0)</f>
        <v>0</v>
      </c>
      <c r="AB725" s="254">
        <f>IF(B725="CRYPTO",N725,0)</f>
        <v>0</v>
      </c>
      <c r="AC725" s="250">
        <f>IF(D725="O",IF(AB725&lt;0,AB725,0),0)</f>
        <v>0</v>
      </c>
      <c r="AD725" s="255">
        <f>IF(K725&lt;&gt;"",K725-E725,0)</f>
        <v>3.2638888893416151E-2</v>
      </c>
      <c r="AE725" s="255">
        <f>IF(N725&gt;0,AD725,0)</f>
        <v>0</v>
      </c>
      <c r="AF725" s="255">
        <f>IF(N725&lt;0,AD725,0)</f>
        <v>3.2638888893416151E-2</v>
      </c>
      <c r="AG725" s="255">
        <f>IF(N725=0,AD725,0)</f>
        <v>0</v>
      </c>
    </row>
    <row r="726" spans="2:33" ht="15" customHeight="1" x14ac:dyDescent="0.3">
      <c r="B726" s="196" t="s">
        <v>7</v>
      </c>
      <c r="C726" s="197" t="s">
        <v>13</v>
      </c>
      <c r="D726" s="246" t="str">
        <f>IF(E726&lt;&gt;"",IF(K726&lt;&gt;"","C","O"),"")</f>
        <v>C</v>
      </c>
      <c r="E726" s="199">
        <v>44609.25</v>
      </c>
      <c r="F726" s="200" t="s">
        <v>115</v>
      </c>
      <c r="G726" s="235">
        <v>156.209</v>
      </c>
      <c r="H726" s="235">
        <v>156.56899999999999</v>
      </c>
      <c r="I726" s="247">
        <f>ABS(G726-H726)</f>
        <v>0.35999999999998522</v>
      </c>
      <c r="J726" s="235">
        <v>155.179</v>
      </c>
      <c r="K726" s="199">
        <v>44609.259027777778</v>
      </c>
      <c r="L726" s="235">
        <v>156.56899999999999</v>
      </c>
      <c r="M726" s="248">
        <f>ROUND(IF(C726="L",(L726-G726),(G726-L726)),4)</f>
        <v>-0.36</v>
      </c>
      <c r="N726" s="249">
        <f>IFERROR(ROUND((M726/I726),2),"")</f>
        <v>-1</v>
      </c>
      <c r="O726" s="250">
        <f>IF(D726="O",IF(N726&lt;0,N726,0),0)</f>
        <v>0</v>
      </c>
      <c r="P726" s="251">
        <f>IF(N726&gt;= 0,N726,0)</f>
        <v>0</v>
      </c>
      <c r="Q726" s="251">
        <f>IF(N726&lt;0,N726,0)</f>
        <v>-1</v>
      </c>
      <c r="R7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16683</v>
      </c>
      <c r="T7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6" s="253">
        <f ca="1">IF(Tabla33610673[[#This Row],[Equity]]&lt;Tabla33610673[[#This Row],[Equity Peak]],(Tabla33610673[[#This Row],[Equity Peak]]-Tabla33610673[[#This Row],[Equity]])/Tabla33610673[[#This Row],[Equity Peak]],"")</f>
        <v>1.5926384710670677E-2</v>
      </c>
      <c r="V726" s="254">
        <f>IF(B726="FX",N726,0)</f>
        <v>-1</v>
      </c>
      <c r="W726" s="254">
        <f>IF(D726="O",IF(V726&lt;0,V726,0),0)</f>
        <v>0</v>
      </c>
      <c r="X726" s="254">
        <f>IF(B726="COM",N726,0)</f>
        <v>0</v>
      </c>
      <c r="Y726" s="254">
        <f>IF(D726="O",IF(X726&lt;0,X726,0),0)</f>
        <v>0</v>
      </c>
      <c r="Z726" s="254">
        <f>IF(B726="IND",N726,0)</f>
        <v>0</v>
      </c>
      <c r="AA726" s="250">
        <f>IF(D726="O",IF(Z726&lt;0,Z726,0),0)</f>
        <v>0</v>
      </c>
      <c r="AB726" s="254">
        <f>IF(B726="CRYPTO",N726,0)</f>
        <v>0</v>
      </c>
      <c r="AC726" s="250">
        <f>IF(D726="O",IF(AB726&lt;0,AB726,0),0)</f>
        <v>0</v>
      </c>
      <c r="AD726" s="255">
        <f>IF(K726&lt;&gt;"",K726-E726,0)</f>
        <v>9.0277777781011537E-3</v>
      </c>
      <c r="AE726" s="255">
        <f>IF(N726&gt;0,AD726,0)</f>
        <v>0</v>
      </c>
      <c r="AF726" s="255">
        <f>IF(N726&lt;0,AD726,0)</f>
        <v>9.0277777781011537E-3</v>
      </c>
      <c r="AG726" s="255">
        <f>IF(N726=0,AD726,0)</f>
        <v>0</v>
      </c>
    </row>
    <row r="727" spans="2:33" ht="15" customHeight="1" x14ac:dyDescent="0.3">
      <c r="B727" s="196" t="s">
        <v>7</v>
      </c>
      <c r="C727" s="197" t="s">
        <v>15</v>
      </c>
      <c r="D727" s="246" t="str">
        <f>IF(E727&lt;&gt;"",IF(K727&lt;&gt;"","C","O"),"")</f>
        <v>C</v>
      </c>
      <c r="E727" s="199">
        <v>44608.385416666664</v>
      </c>
      <c r="F727" s="200" t="s">
        <v>115</v>
      </c>
      <c r="G727" s="235">
        <v>156.83699999999999</v>
      </c>
      <c r="H727" s="235">
        <v>156.47</v>
      </c>
      <c r="I727" s="247">
        <f>ABS(G727-H727)</f>
        <v>0.36699999999999022</v>
      </c>
      <c r="J727" s="235">
        <v>157.886</v>
      </c>
      <c r="K727" s="199">
        <v>44608.658333333333</v>
      </c>
      <c r="L727" s="235">
        <v>156.58099999999999</v>
      </c>
      <c r="M727" s="248">
        <f>ROUND(IF(C727="L",(L727-G727),(G727-L727)),4)</f>
        <v>-0.25600000000000001</v>
      </c>
      <c r="N727" s="249">
        <f>IFERROR(ROUND((M727/I727),2),"")</f>
        <v>-0.7</v>
      </c>
      <c r="O727" s="250">
        <f>IF(D727="O",IF(N727&lt;0,N727,0),0)</f>
        <v>0</v>
      </c>
      <c r="P727" s="251">
        <f>IF(N727&gt;= 0,N727,0)</f>
        <v>0</v>
      </c>
      <c r="Q727" s="251">
        <f>IF(N727&lt;0,N727,0)</f>
        <v>-0.7</v>
      </c>
      <c r="R7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16783</v>
      </c>
      <c r="T7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7" s="253">
        <f ca="1">IF(Tabla33610673[[#This Row],[Equity]]&lt;Tabla33610673[[#This Row],[Equity Peak]],(Tabla33610673[[#This Row],[Equity Peak]]-Tabla33610673[[#This Row],[Equity]])/Tabla33610673[[#This Row],[Equity Peak]],"")</f>
        <v>1.0027723706718575E-2</v>
      </c>
      <c r="V727" s="254">
        <f>IF(B727="FX",N727,0)</f>
        <v>-0.7</v>
      </c>
      <c r="W727" s="254">
        <f>IF(D727="O",IF(V727&lt;0,V727,0),0)</f>
        <v>0</v>
      </c>
      <c r="X727" s="254">
        <f>IF(B727="COM",N727,0)</f>
        <v>0</v>
      </c>
      <c r="Y727" s="254">
        <f>IF(D727="O",IF(X727&lt;0,X727,0),0)</f>
        <v>0</v>
      </c>
      <c r="Z727" s="254">
        <f>IF(B727="IND",N727,0)</f>
        <v>0</v>
      </c>
      <c r="AA727" s="250">
        <f>IF(D727="O",IF(Z727&lt;0,Z727,0),0)</f>
        <v>0</v>
      </c>
      <c r="AB727" s="254">
        <f>IF(B727="CRYPTO",N727,0)</f>
        <v>0</v>
      </c>
      <c r="AC727" s="250">
        <f>IF(D727="O",IF(AB727&lt;0,AB727,0),0)</f>
        <v>0</v>
      </c>
      <c r="AD727" s="255">
        <f>IF(K727&lt;&gt;"",K727-E727,0)</f>
        <v>0.27291666666860692</v>
      </c>
      <c r="AE727" s="255">
        <f>IF(N727&gt;0,AD727,0)</f>
        <v>0</v>
      </c>
      <c r="AF727" s="255">
        <f>IF(N727&lt;0,AD727,0)</f>
        <v>0.27291666666860692</v>
      </c>
      <c r="AG727" s="255">
        <f>IF(N727=0,AD727,0)</f>
        <v>0</v>
      </c>
    </row>
    <row r="728" spans="2:33" ht="15" customHeight="1" x14ac:dyDescent="0.3">
      <c r="B728" s="196" t="s">
        <v>5</v>
      </c>
      <c r="C728" s="197" t="s">
        <v>15</v>
      </c>
      <c r="D728" s="246" t="str">
        <f>IF(E728&lt;&gt;"",IF(K728&lt;&gt;"","C","O"),"")</f>
        <v>C</v>
      </c>
      <c r="E728" s="199">
        <v>44608.4375</v>
      </c>
      <c r="F728" s="200" t="s">
        <v>93</v>
      </c>
      <c r="G728" s="235">
        <v>14636.74</v>
      </c>
      <c r="H728" s="235">
        <v>14596.37</v>
      </c>
      <c r="I728" s="247">
        <f>ABS(G728-H728)</f>
        <v>40.369999999998981</v>
      </c>
      <c r="J728" s="235">
        <v>15067.39</v>
      </c>
      <c r="K728" s="199">
        <v>44608.500694444447</v>
      </c>
      <c r="L728" s="235">
        <v>14596.37</v>
      </c>
      <c r="M728" s="248">
        <f>ROUND(IF(C728="L",(L728-G728),(G728-L728)),4)</f>
        <v>-40.369999999999997</v>
      </c>
      <c r="N728" s="249">
        <f>IFERROR(ROUND((M728/I728),2),"")</f>
        <v>-1</v>
      </c>
      <c r="O728" s="250">
        <f>IF(D728="O",IF(N728&lt;0,N728,0),0)</f>
        <v>0</v>
      </c>
      <c r="P728" s="251">
        <f>IF(N728&gt;= 0,N728,0)</f>
        <v>0</v>
      </c>
      <c r="Q728" s="251">
        <f>IF(N728&lt;0,N728,0)</f>
        <v>-1</v>
      </c>
      <c r="R7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16853</v>
      </c>
      <c r="T7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8" s="253">
        <f ca="1">IF(Tabla33610673[[#This Row],[Equity]]&lt;Tabla33610673[[#This Row],[Equity Peak]],(Tabla33610673[[#This Row],[Equity Peak]]-Tabla33610673[[#This Row],[Equity]])/Tabla33610673[[#This Row],[Equity Peak]],"")</f>
        <v>5.8986610039521029E-3</v>
      </c>
      <c r="V728" s="254">
        <f>IF(B728="FX",N728,0)</f>
        <v>0</v>
      </c>
      <c r="W728" s="254">
        <f>IF(D728="O",IF(V728&lt;0,V728,0),0)</f>
        <v>0</v>
      </c>
      <c r="X728" s="254">
        <f>IF(B728="COM",N728,0)</f>
        <v>0</v>
      </c>
      <c r="Y728" s="254">
        <f>IF(D728="O",IF(X728&lt;0,X728,0),0)</f>
        <v>0</v>
      </c>
      <c r="Z728" s="254">
        <f>IF(B728="IND",N728,0)</f>
        <v>-1</v>
      </c>
      <c r="AA728" s="250">
        <f>IF(D728="O",IF(Z728&lt;0,Z728,0),0)</f>
        <v>0</v>
      </c>
      <c r="AB728" s="254">
        <f>IF(B728="CRYPTO",N728,0)</f>
        <v>0</v>
      </c>
      <c r="AC728" s="250">
        <f>IF(D728="O",IF(AB728&lt;0,AB728,0),0)</f>
        <v>0</v>
      </c>
      <c r="AD728" s="255">
        <f>IF(K728&lt;&gt;"",K728-E728,0)</f>
        <v>6.3194444446708076E-2</v>
      </c>
      <c r="AE728" s="255">
        <f>IF(N728&gt;0,AD728,0)</f>
        <v>0</v>
      </c>
      <c r="AF728" s="255">
        <f>IF(N728&lt;0,AD728,0)</f>
        <v>6.3194444446708076E-2</v>
      </c>
      <c r="AG728" s="255">
        <f>IF(N728=0,AD728,0)</f>
        <v>0</v>
      </c>
    </row>
    <row r="729" spans="2:33" ht="15" customHeight="1" x14ac:dyDescent="0.3">
      <c r="B729" s="196" t="s">
        <v>19</v>
      </c>
      <c r="C729" s="197" t="s">
        <v>15</v>
      </c>
      <c r="D729" s="246" t="str">
        <f>IF(E729&lt;&gt;"",IF(K729&lt;&gt;"","C","O"),"")</f>
        <v>C</v>
      </c>
      <c r="E729" s="199">
        <v>44603.864583333336</v>
      </c>
      <c r="F729" s="200" t="s">
        <v>88</v>
      </c>
      <c r="G729" s="235">
        <v>1850.15</v>
      </c>
      <c r="H729" s="235">
        <v>1847.25</v>
      </c>
      <c r="I729" s="247">
        <f>ABS(G729-H729)</f>
        <v>2.9000000000000909</v>
      </c>
      <c r="J729" s="235">
        <v>1884.97</v>
      </c>
      <c r="K729" s="199">
        <v>44607.448611111111</v>
      </c>
      <c r="L729" s="235">
        <v>1863</v>
      </c>
      <c r="M729" s="248">
        <f>ROUND(IF(C729="L",(L729-G729),(G729-L729)),4)</f>
        <v>12.85</v>
      </c>
      <c r="N729" s="249">
        <f>IFERROR(ROUND((M729/I729),2),"")</f>
        <v>4.43</v>
      </c>
      <c r="O729" s="250">
        <f>IF(D729="O",IF(N729&lt;0,N729,0),0)</f>
        <v>0</v>
      </c>
      <c r="P729" s="251">
        <f>IF(N729&gt;= 0,N729,0)</f>
        <v>4.43</v>
      </c>
      <c r="Q729" s="251">
        <f>IF(N729&lt;0,N729,0)</f>
        <v>0</v>
      </c>
      <c r="R7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16953</v>
      </c>
      <c r="T7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16953</v>
      </c>
      <c r="U72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29" s="254">
        <f>IF(B729="FX",N729,0)</f>
        <v>0</v>
      </c>
      <c r="W729" s="254">
        <f>IF(D729="O",IF(V729&lt;0,V729,0),0)</f>
        <v>0</v>
      </c>
      <c r="X729" s="254">
        <f>IF(B729="COM",N729,0)</f>
        <v>4.43</v>
      </c>
      <c r="Y729" s="254">
        <f>IF(D729="O",IF(X729&lt;0,X729,0),0)</f>
        <v>0</v>
      </c>
      <c r="Z729" s="254">
        <f>IF(B729="IND",N729,0)</f>
        <v>0</v>
      </c>
      <c r="AA729" s="250">
        <f>IF(D729="O",IF(Z729&lt;0,Z729,0),0)</f>
        <v>0</v>
      </c>
      <c r="AB729" s="254">
        <f>IF(B729="CRYPTO",N729,0)</f>
        <v>0</v>
      </c>
      <c r="AC729" s="250">
        <f>IF(D729="O",IF(AB729&lt;0,AB729,0),0)</f>
        <v>0</v>
      </c>
      <c r="AD729" s="255">
        <f>IF(K729&lt;&gt;"",K729-E729,0)</f>
        <v>3.5840277777751908</v>
      </c>
      <c r="AE729" s="255">
        <f>IF(N729&gt;0,AD729,0)</f>
        <v>3.5840277777751908</v>
      </c>
      <c r="AF729" s="255">
        <f>IF(N729&lt;0,AD729,0)</f>
        <v>0</v>
      </c>
      <c r="AG729" s="255">
        <f>IF(N729=0,AD729,0)</f>
        <v>0</v>
      </c>
    </row>
    <row r="730" spans="2:33" ht="15" customHeight="1" x14ac:dyDescent="0.3">
      <c r="B730" s="196" t="s">
        <v>7</v>
      </c>
      <c r="C730" s="197" t="s">
        <v>13</v>
      </c>
      <c r="D730" s="246" t="str">
        <f>IF(E730&lt;&gt;"",IF(K730&lt;&gt;"","C","O"),"")</f>
        <v>C</v>
      </c>
      <c r="E730" s="199">
        <v>44603.864583333336</v>
      </c>
      <c r="F730" s="200" t="s">
        <v>114</v>
      </c>
      <c r="G730" s="235">
        <v>1.1354900000000001</v>
      </c>
      <c r="H730" s="235">
        <v>1.1377699999999999</v>
      </c>
      <c r="I730" s="247">
        <f>ABS(G730-H730)</f>
        <v>2.2799999999998377E-3</v>
      </c>
      <c r="J730" s="235">
        <v>1.11494</v>
      </c>
      <c r="K730" s="199">
        <v>44607.422222222223</v>
      </c>
      <c r="L730" s="235">
        <v>1.1329899999999999</v>
      </c>
      <c r="M730" s="248">
        <f>ROUND(IF(C730="L",(L730-G730),(G730-L730)),4)</f>
        <v>2.5000000000000001E-3</v>
      </c>
      <c r="N730" s="249">
        <f>IFERROR(ROUND((M730/I730),2),"")</f>
        <v>1.1000000000000001</v>
      </c>
      <c r="O730" s="250">
        <f>IF(D730="O",IF(N730&lt;0,N730,0),0)</f>
        <v>0</v>
      </c>
      <c r="P730" s="251">
        <f>IF(N730&gt;= 0,N730,0)</f>
        <v>1.1000000000000001</v>
      </c>
      <c r="Q730" s="251">
        <f>IF(N730&lt;0,N730,0)</f>
        <v>0</v>
      </c>
      <c r="R7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16510</v>
      </c>
      <c r="T7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16510</v>
      </c>
      <c r="U73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30" s="254">
        <f>IF(B730="FX",N730,0)</f>
        <v>1.1000000000000001</v>
      </c>
      <c r="W730" s="254">
        <f>IF(D730="O",IF(V730&lt;0,V730,0),0)</f>
        <v>0</v>
      </c>
      <c r="X730" s="254">
        <f>IF(B730="COM",N730,0)</f>
        <v>0</v>
      </c>
      <c r="Y730" s="254">
        <f>IF(D730="O",IF(X730&lt;0,X730,0),0)</f>
        <v>0</v>
      </c>
      <c r="Z730" s="254">
        <f>IF(B730="IND",N730,0)</f>
        <v>0</v>
      </c>
      <c r="AA730" s="250">
        <f>IF(D730="O",IF(Z730&lt;0,Z730,0),0)</f>
        <v>0</v>
      </c>
      <c r="AB730" s="254">
        <f>IF(B730="CRYPTO",N730,0)</f>
        <v>0</v>
      </c>
      <c r="AC730" s="250">
        <f>IF(D730="O",IF(AB730&lt;0,AB730,0),0)</f>
        <v>0</v>
      </c>
      <c r="AD730" s="255">
        <f>IF(K730&lt;&gt;"",K730-E730,0)</f>
        <v>3.5576388888875954</v>
      </c>
      <c r="AE730" s="255">
        <f>IF(N730&gt;0,AD730,0)</f>
        <v>3.5576388888875954</v>
      </c>
      <c r="AF730" s="255">
        <f>IF(N730&lt;0,AD730,0)</f>
        <v>0</v>
      </c>
      <c r="AG730" s="255">
        <f>IF(N730=0,AD730,0)</f>
        <v>0</v>
      </c>
    </row>
    <row r="731" spans="2:33" ht="15" customHeight="1" x14ac:dyDescent="0.3">
      <c r="B731" s="196" t="s">
        <v>5</v>
      </c>
      <c r="C731" s="197" t="s">
        <v>13</v>
      </c>
      <c r="D731" s="246" t="str">
        <f>IF(E731&lt;&gt;"",IF(K731&lt;&gt;"","C","O"),"")</f>
        <v>C</v>
      </c>
      <c r="E731" s="199">
        <v>44603.833333333336</v>
      </c>
      <c r="F731" s="200" t="s">
        <v>92</v>
      </c>
      <c r="G731" s="235">
        <v>14511.44</v>
      </c>
      <c r="H731" s="235">
        <v>14565.03</v>
      </c>
      <c r="I731" s="247">
        <f>ABS(G731-H731)</f>
        <v>53.590000000000146</v>
      </c>
      <c r="J731" s="235">
        <v>13511.02</v>
      </c>
      <c r="K731" s="199">
        <v>44606.70208333333</v>
      </c>
      <c r="L731" s="235">
        <v>14299.48</v>
      </c>
      <c r="M731" s="248">
        <f>ROUND(IF(C731="L",(L731-G731),(G731-L731)),4)</f>
        <v>211.96</v>
      </c>
      <c r="N731" s="249">
        <f>IFERROR(ROUND((M731/I731),2),"")</f>
        <v>3.96</v>
      </c>
      <c r="O731" s="250">
        <f>IF(D731="O",IF(N731&lt;0,N731,0),0)</f>
        <v>0</v>
      </c>
      <c r="P731" s="251">
        <f>IF(N731&gt;= 0,N731,0)</f>
        <v>3.96</v>
      </c>
      <c r="Q731" s="251">
        <f>IF(N731&lt;0,N731,0)</f>
        <v>0</v>
      </c>
      <c r="R7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16400</v>
      </c>
      <c r="T7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16400</v>
      </c>
      <c r="U73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31" s="254">
        <f>IF(B731="FX",N731,0)</f>
        <v>0</v>
      </c>
      <c r="W731" s="254">
        <f>IF(D731="O",IF(V731&lt;0,V731,0),0)</f>
        <v>0</v>
      </c>
      <c r="X731" s="254">
        <f>IF(B731="COM",N731,0)</f>
        <v>0</v>
      </c>
      <c r="Y731" s="254">
        <f>IF(D731="O",IF(X731&lt;0,X731,0),0)</f>
        <v>0</v>
      </c>
      <c r="Z731" s="254">
        <f>IF(B731="IND",N731,0)</f>
        <v>3.96</v>
      </c>
      <c r="AA731" s="250">
        <f>IF(D731="O",IF(Z731&lt;0,Z731,0),0)</f>
        <v>0</v>
      </c>
      <c r="AB731" s="254">
        <f>IF(B731="CRYPTO",N731,0)</f>
        <v>0</v>
      </c>
      <c r="AC731" s="250">
        <f>IF(D731="O",IF(AB731&lt;0,AB731,0),0)</f>
        <v>0</v>
      </c>
      <c r="AD731" s="255">
        <f>IF(K731&lt;&gt;"",K731-E731,0)</f>
        <v>2.8687499999941792</v>
      </c>
      <c r="AE731" s="255">
        <f>IF(N731&gt;0,AD731,0)</f>
        <v>2.8687499999941792</v>
      </c>
      <c r="AF731" s="255">
        <f>IF(N731&lt;0,AD731,0)</f>
        <v>0</v>
      </c>
      <c r="AG731" s="255">
        <f>IF(N731=0,AD731,0)</f>
        <v>0</v>
      </c>
    </row>
    <row r="732" spans="2:33" ht="15" customHeight="1" x14ac:dyDescent="0.3">
      <c r="B732" s="196" t="s">
        <v>5</v>
      </c>
      <c r="C732" s="197" t="s">
        <v>13</v>
      </c>
      <c r="D732" s="246" t="str">
        <f>IF(E732&lt;&gt;"",IF(K732&lt;&gt;"","C","O"),"")</f>
        <v>C</v>
      </c>
      <c r="E732" s="199">
        <v>44603.833333333336</v>
      </c>
      <c r="F732" s="200" t="s">
        <v>93</v>
      </c>
      <c r="G732" s="235">
        <v>14511.44</v>
      </c>
      <c r="H732" s="235">
        <v>14570.34</v>
      </c>
      <c r="I732" s="247">
        <f>ABS(G732-H732)</f>
        <v>58.899999999999636</v>
      </c>
      <c r="J732" s="235">
        <v>13883.14</v>
      </c>
      <c r="K732" s="199">
        <v>44606.613194444442</v>
      </c>
      <c r="L732" s="235">
        <v>14221.39</v>
      </c>
      <c r="M732" s="248">
        <f>ROUND(IF(C732="L",(L732-G732),(G732-L732)),4)</f>
        <v>290.05</v>
      </c>
      <c r="N732" s="249">
        <f>IFERROR(ROUND((M732/I732),2),"")</f>
        <v>4.92</v>
      </c>
      <c r="O732" s="250">
        <f>IF(D732="O",IF(N732&lt;0,N732,0),0)</f>
        <v>0</v>
      </c>
      <c r="P732" s="251">
        <f>IF(N732&gt;= 0,N732,0)</f>
        <v>4.92</v>
      </c>
      <c r="Q732" s="251">
        <f>IF(N732&lt;0,N732,0)</f>
        <v>0</v>
      </c>
      <c r="R7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16004</v>
      </c>
      <c r="T7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16004</v>
      </c>
      <c r="U73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32" s="254">
        <f>IF(B732="FX",N732,0)</f>
        <v>0</v>
      </c>
      <c r="W732" s="254">
        <f>IF(D732="O",IF(V732&lt;0,V732,0),0)</f>
        <v>0</v>
      </c>
      <c r="X732" s="254">
        <f>IF(B732="COM",N732,0)</f>
        <v>0</v>
      </c>
      <c r="Y732" s="254">
        <f>IF(D732="O",IF(X732&lt;0,X732,0),0)</f>
        <v>0</v>
      </c>
      <c r="Z732" s="254">
        <f>IF(B732="IND",N732,0)</f>
        <v>4.92</v>
      </c>
      <c r="AA732" s="250">
        <f>IF(D732="O",IF(Z732&lt;0,Z732,0),0)</f>
        <v>0</v>
      </c>
      <c r="AB732" s="254">
        <f>IF(B732="CRYPTO",N732,0)</f>
        <v>0</v>
      </c>
      <c r="AC732" s="250">
        <f>IF(D732="O",IF(AB732&lt;0,AB732,0),0)</f>
        <v>0</v>
      </c>
      <c r="AD732" s="255">
        <f>IF(K732&lt;&gt;"",K732-E732,0)</f>
        <v>2.7798611111065838</v>
      </c>
      <c r="AE732" s="255">
        <f>IF(N732&gt;0,AD732,0)</f>
        <v>2.7798611111065838</v>
      </c>
      <c r="AF732" s="255">
        <f>IF(N732&lt;0,AD732,0)</f>
        <v>0</v>
      </c>
      <c r="AG732" s="255">
        <f>IF(N732=0,AD732,0)</f>
        <v>0</v>
      </c>
    </row>
    <row r="733" spans="2:33" ht="15" customHeight="1" x14ac:dyDescent="0.3">
      <c r="B733" s="196" t="s">
        <v>7</v>
      </c>
      <c r="C733" s="197" t="s">
        <v>13</v>
      </c>
      <c r="D733" s="246" t="str">
        <f>IF(E733&lt;&gt;"",IF(K733&lt;&gt;"","C","O"),"")</f>
        <v>C</v>
      </c>
      <c r="E733" s="199">
        <v>44606.4375</v>
      </c>
      <c r="F733" s="200" t="s">
        <v>115</v>
      </c>
      <c r="G733" s="235">
        <v>155.624</v>
      </c>
      <c r="H733" s="235">
        <v>156.09</v>
      </c>
      <c r="I733" s="247">
        <f>ABS(G733-H733)</f>
        <v>0.46600000000000819</v>
      </c>
      <c r="J733" s="235">
        <v>154.291</v>
      </c>
      <c r="K733" s="199">
        <v>44606.609027777777</v>
      </c>
      <c r="L733" s="235">
        <v>155.935</v>
      </c>
      <c r="M733" s="248">
        <f>ROUND(IF(C733="L",(L733-G733),(G733-L733)),4)</f>
        <v>-0.311</v>
      </c>
      <c r="N733" s="249">
        <f>IFERROR(ROUND((M733/I733),2),"")</f>
        <v>-0.67</v>
      </c>
      <c r="O733" s="250">
        <f>IF(D733="O",IF(N733&lt;0,N733,0),0)</f>
        <v>0</v>
      </c>
      <c r="P733" s="251">
        <f>IF(N733&gt;= 0,N733,0)</f>
        <v>0</v>
      </c>
      <c r="Q733" s="251">
        <f>IF(N733&lt;0,N733,0)</f>
        <v>-0.67</v>
      </c>
      <c r="R7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15512</v>
      </c>
      <c r="T7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15690</v>
      </c>
      <c r="U733" s="253">
        <f ca="1">IF(Tabla33610673[[#This Row],[Equity]]&lt;Tabla33610673[[#This Row],[Equity Peak]],(Tabla33610673[[#This Row],[Equity Peak]]-Tabla33610673[[#This Row],[Equity]])/Tabla33610673[[#This Row],[Equity Peak]],"")</f>
        <v>1.1344805608667942E-2</v>
      </c>
      <c r="V733" s="254">
        <f>IF(B733="FX",N733,0)</f>
        <v>-0.67</v>
      </c>
      <c r="W733" s="254">
        <f>IF(D733="O",IF(V733&lt;0,V733,0),0)</f>
        <v>0</v>
      </c>
      <c r="X733" s="254">
        <f>IF(B733="COM",N733,0)</f>
        <v>0</v>
      </c>
      <c r="Y733" s="254">
        <f>IF(D733="O",IF(X733&lt;0,X733,0),0)</f>
        <v>0</v>
      </c>
      <c r="Z733" s="254">
        <f>IF(B733="IND",N733,0)</f>
        <v>0</v>
      </c>
      <c r="AA733" s="250">
        <f>IF(D733="O",IF(Z733&lt;0,Z733,0),0)</f>
        <v>0</v>
      </c>
      <c r="AB733" s="254">
        <f>IF(B733="CRYPTO",N733,0)</f>
        <v>0</v>
      </c>
      <c r="AC733" s="250">
        <f>IF(D733="O",IF(AB733&lt;0,AB733,0),0)</f>
        <v>0</v>
      </c>
      <c r="AD733" s="255">
        <f>IF(K733&lt;&gt;"",K733-E733,0)</f>
        <v>0.17152777777664596</v>
      </c>
      <c r="AE733" s="255">
        <f>IF(N733&gt;0,AD733,0)</f>
        <v>0</v>
      </c>
      <c r="AF733" s="255">
        <f>IF(N733&lt;0,AD733,0)</f>
        <v>0.17152777777664596</v>
      </c>
      <c r="AG733" s="255">
        <f>IF(N733=0,AD733,0)</f>
        <v>0</v>
      </c>
    </row>
    <row r="734" spans="2:33" ht="15" customHeight="1" x14ac:dyDescent="0.3">
      <c r="B734" s="196" t="s">
        <v>5</v>
      </c>
      <c r="C734" s="197" t="s">
        <v>13</v>
      </c>
      <c r="D734" s="246" t="str">
        <f>IF(E734&lt;&gt;"",IF(K734&lt;&gt;"","C","O"),"")</f>
        <v>C</v>
      </c>
      <c r="E734" s="199">
        <v>44606.427083333336</v>
      </c>
      <c r="F734" s="200" t="s">
        <v>91</v>
      </c>
      <c r="G734" s="235">
        <v>15029.73</v>
      </c>
      <c r="H734" s="235">
        <v>15068.54</v>
      </c>
      <c r="I734" s="247">
        <f>ABS(G734-H734)</f>
        <v>38.81000000000131</v>
      </c>
      <c r="J734" s="235">
        <v>14305.22</v>
      </c>
      <c r="K734" s="199">
        <v>44606.532638888886</v>
      </c>
      <c r="L734" s="235">
        <v>14991.75</v>
      </c>
      <c r="M734" s="248">
        <f>ROUND(IF(C734="L",(L734-G734),(G734-L734)),4)</f>
        <v>37.979999999999997</v>
      </c>
      <c r="N734" s="249">
        <f>IFERROR(ROUND((M734/I734),2),"")</f>
        <v>0.98</v>
      </c>
      <c r="O734" s="250">
        <f>IF(D734="O",IF(N734&lt;0,N734,0),0)</f>
        <v>0</v>
      </c>
      <c r="P734" s="251">
        <f>IF(N734&gt;= 0,N734,0)</f>
        <v>0.98</v>
      </c>
      <c r="Q734" s="251">
        <f>IF(N734&lt;0,N734,0)</f>
        <v>0</v>
      </c>
      <c r="R7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15579</v>
      </c>
      <c r="T7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15690</v>
      </c>
      <c r="U734" s="253">
        <f ca="1">IF(Tabla33610673[[#This Row],[Equity]]&lt;Tabla33610673[[#This Row],[Equity Peak]],(Tabla33610673[[#This Row],[Equity Peak]]-Tabla33610673[[#This Row],[Equity]])/Tabla33610673[[#This Row],[Equity Peak]],"")</f>
        <v>7.0745697896749523E-3</v>
      </c>
      <c r="V734" s="254">
        <f>IF(B734="FX",N734,0)</f>
        <v>0</v>
      </c>
      <c r="W734" s="254">
        <f>IF(D734="O",IF(V734&lt;0,V734,0),0)</f>
        <v>0</v>
      </c>
      <c r="X734" s="254">
        <f>IF(B734="COM",N734,0)</f>
        <v>0</v>
      </c>
      <c r="Y734" s="254">
        <f>IF(D734="O",IF(X734&lt;0,X734,0),0)</f>
        <v>0</v>
      </c>
      <c r="Z734" s="254">
        <f>IF(B734="IND",N734,0)</f>
        <v>0.98</v>
      </c>
      <c r="AA734" s="250">
        <f>IF(D734="O",IF(Z734&lt;0,Z734,0),0)</f>
        <v>0</v>
      </c>
      <c r="AB734" s="254">
        <f>IF(B734="CRYPTO",N734,0)</f>
        <v>0</v>
      </c>
      <c r="AC734" s="250">
        <f>IF(D734="O",IF(AB734&lt;0,AB734,0),0)</f>
        <v>0</v>
      </c>
      <c r="AD734" s="255">
        <f>IF(K734&lt;&gt;"",K734-E734,0)</f>
        <v>0.10555555555038154</v>
      </c>
      <c r="AE734" s="255">
        <f>IF(N734&gt;0,AD734,0)</f>
        <v>0.10555555555038154</v>
      </c>
      <c r="AF734" s="255">
        <f>IF(N734&lt;0,AD734,0)</f>
        <v>0</v>
      </c>
      <c r="AG734" s="255">
        <f>IF(N734=0,AD734,0)</f>
        <v>0</v>
      </c>
    </row>
    <row r="735" spans="2:33" ht="15" customHeight="1" x14ac:dyDescent="0.3">
      <c r="B735" s="196" t="s">
        <v>7</v>
      </c>
      <c r="C735" s="197" t="s">
        <v>13</v>
      </c>
      <c r="D735" s="246" t="str">
        <f>IF(E735&lt;&gt;"",IF(K735&lt;&gt;"","C","O"),"")</f>
        <v>C</v>
      </c>
      <c r="E735" s="199">
        <v>44603.875</v>
      </c>
      <c r="F735" s="200" t="s">
        <v>115</v>
      </c>
      <c r="G735" s="235">
        <v>156.56899999999999</v>
      </c>
      <c r="H735" s="235">
        <v>156.97800000000001</v>
      </c>
      <c r="I735" s="247">
        <f>ABS(G735-H735)</f>
        <v>0.40900000000002024</v>
      </c>
      <c r="J735" s="235">
        <v>155.40100000000001</v>
      </c>
      <c r="K735" s="199">
        <v>44603.996527777781</v>
      </c>
      <c r="L735" s="235">
        <v>156.607</v>
      </c>
      <c r="M735" s="248">
        <f>ROUND(IF(C735="L",(L735-G735),(G735-L735)),4)</f>
        <v>-3.7999999999999999E-2</v>
      </c>
      <c r="N735" s="249">
        <f>IFERROR(ROUND((M735/I735),2),"")</f>
        <v>-0.09</v>
      </c>
      <c r="O735" s="250">
        <f>IF(D735="O",IF(N735&lt;0,N735,0),0)</f>
        <v>0</v>
      </c>
      <c r="P735" s="251">
        <f>IF(N735&gt;= 0,N735,0)</f>
        <v>0</v>
      </c>
      <c r="Q735" s="251">
        <f>IF(N735&lt;0,N735,0)</f>
        <v>-0.09</v>
      </c>
      <c r="R7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15481</v>
      </c>
      <c r="T7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15690</v>
      </c>
      <c r="U735" s="253">
        <f ca="1">IF(Tabla33610673[[#This Row],[Equity]]&lt;Tabla33610673[[#This Row],[Equity Peak]],(Tabla33610673[[#This Row],[Equity Peak]]-Tabla33610673[[#This Row],[Equity]])/Tabla33610673[[#This Row],[Equity Peak]],"")</f>
        <v>1.3320586360739324E-2</v>
      </c>
      <c r="V735" s="254">
        <f>IF(B735="FX",N735,0)</f>
        <v>-0.09</v>
      </c>
      <c r="W735" s="254">
        <f>IF(D735="O",IF(V735&lt;0,V735,0),0)</f>
        <v>0</v>
      </c>
      <c r="X735" s="254">
        <f>IF(B735="COM",N735,0)</f>
        <v>0</v>
      </c>
      <c r="Y735" s="254">
        <f>IF(D735="O",IF(X735&lt;0,X735,0),0)</f>
        <v>0</v>
      </c>
      <c r="Z735" s="254">
        <f>IF(B735="IND",N735,0)</f>
        <v>0</v>
      </c>
      <c r="AA735" s="250">
        <f>IF(D735="O",IF(Z735&lt;0,Z735,0),0)</f>
        <v>0</v>
      </c>
      <c r="AB735" s="254">
        <f>IF(B735="CRYPTO",N735,0)</f>
        <v>0</v>
      </c>
      <c r="AC735" s="250">
        <f>IF(D735="O",IF(AB735&lt;0,AB735,0),0)</f>
        <v>0</v>
      </c>
      <c r="AD735" s="255">
        <f>IF(K735&lt;&gt;"",K735-E735,0)</f>
        <v>0.12152777778101154</v>
      </c>
      <c r="AE735" s="255">
        <f>IF(N735&gt;0,AD735,0)</f>
        <v>0</v>
      </c>
      <c r="AF735" s="255">
        <f>IF(N735&lt;0,AD735,0)</f>
        <v>0.12152777778101154</v>
      </c>
      <c r="AG735" s="255">
        <f>IF(N735=0,AD735,0)</f>
        <v>0</v>
      </c>
    </row>
    <row r="736" spans="2:33" ht="15" customHeight="1" x14ac:dyDescent="0.3">
      <c r="B736" s="196" t="s">
        <v>5</v>
      </c>
      <c r="C736" s="197" t="s">
        <v>13</v>
      </c>
      <c r="D736" s="246" t="str">
        <f>IF(E736&lt;&gt;"",IF(K736&lt;&gt;"","C","O"),"")</f>
        <v>C</v>
      </c>
      <c r="E736" s="199">
        <v>44603.28125</v>
      </c>
      <c r="F736" s="200" t="s">
        <v>92</v>
      </c>
      <c r="G736" s="235">
        <v>14586.74</v>
      </c>
      <c r="H736" s="235">
        <v>14650.31</v>
      </c>
      <c r="I736" s="247">
        <f>ABS(G736-H736)</f>
        <v>63.569999999999709</v>
      </c>
      <c r="J736" s="235">
        <v>13400.09</v>
      </c>
      <c r="K736" s="199">
        <v>44603.422222222223</v>
      </c>
      <c r="L736" s="235">
        <v>14650.31</v>
      </c>
      <c r="M736" s="248">
        <f>ROUND(IF(C736="L",(L736-G736),(G736-L736)),4)</f>
        <v>-63.57</v>
      </c>
      <c r="N736" s="249">
        <f>IFERROR(ROUND((M736/I736),2),"")</f>
        <v>-1</v>
      </c>
      <c r="O736" s="250">
        <f>IF(D736="O",IF(N736&lt;0,N736,0),0)</f>
        <v>0</v>
      </c>
      <c r="P736" s="251">
        <f>IF(N736&gt;= 0,N736,0)</f>
        <v>0</v>
      </c>
      <c r="Q736" s="251">
        <f>IF(N736&lt;0,N736,0)</f>
        <v>-1</v>
      </c>
      <c r="R7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15490</v>
      </c>
      <c r="T7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15690</v>
      </c>
      <c r="U736" s="253">
        <f ca="1">IF(Tabla33610673[[#This Row],[Equity]]&lt;Tabla33610673[[#This Row],[Equity Peak]],(Tabla33610673[[#This Row],[Equity Peak]]-Tabla33610673[[#This Row],[Equity]])/Tabla33610673[[#This Row],[Equity Peak]],"")</f>
        <v>1.2746972594008922E-2</v>
      </c>
      <c r="V736" s="254">
        <f>IF(B736="FX",N736,0)</f>
        <v>0</v>
      </c>
      <c r="W736" s="254">
        <f>IF(D736="O",IF(V736&lt;0,V736,0),0)</f>
        <v>0</v>
      </c>
      <c r="X736" s="254">
        <f>IF(B736="COM",N736,0)</f>
        <v>0</v>
      </c>
      <c r="Y736" s="254">
        <f>IF(D736="O",IF(X736&lt;0,X736,0),0)</f>
        <v>0</v>
      </c>
      <c r="Z736" s="254">
        <f>IF(B736="IND",N736,0)</f>
        <v>-1</v>
      </c>
      <c r="AA736" s="250">
        <f>IF(D736="O",IF(Z736&lt;0,Z736,0),0)</f>
        <v>0</v>
      </c>
      <c r="AB736" s="254">
        <f>IF(B736="CRYPTO",N736,0)</f>
        <v>0</v>
      </c>
      <c r="AC736" s="250">
        <f>IF(D736="O",IF(AB736&lt;0,AB736,0),0)</f>
        <v>0</v>
      </c>
      <c r="AD736" s="255">
        <f>IF(K736&lt;&gt;"",K736-E736,0)</f>
        <v>0.14097222222335404</v>
      </c>
      <c r="AE736" s="255">
        <f>IF(N736&gt;0,AD736,0)</f>
        <v>0</v>
      </c>
      <c r="AF736" s="255">
        <f>IF(N736&lt;0,AD736,0)</f>
        <v>0.14097222222335404</v>
      </c>
      <c r="AG736" s="255">
        <f>IF(N736=0,AD736,0)</f>
        <v>0</v>
      </c>
    </row>
    <row r="737" spans="2:33" ht="15" customHeight="1" x14ac:dyDescent="0.3">
      <c r="B737" s="196" t="s">
        <v>5</v>
      </c>
      <c r="C737" s="197" t="s">
        <v>13</v>
      </c>
      <c r="D737" s="246" t="str">
        <f>IF(E737&lt;&gt;"",IF(K737&lt;&gt;"","C","O"),"")</f>
        <v>C</v>
      </c>
      <c r="E737" s="199">
        <v>44603.28125</v>
      </c>
      <c r="F737" s="200" t="s">
        <v>93</v>
      </c>
      <c r="G737" s="235">
        <v>14586.74</v>
      </c>
      <c r="H737" s="235">
        <v>14645.41</v>
      </c>
      <c r="I737" s="247">
        <f>ABS(G737-H737)</f>
        <v>58.670000000000073</v>
      </c>
      <c r="J737" s="235">
        <v>13960.93</v>
      </c>
      <c r="K737" s="199">
        <v>44603.422222222223</v>
      </c>
      <c r="L737" s="235">
        <v>14645.41</v>
      </c>
      <c r="M737" s="248">
        <f>ROUND(IF(C737="L",(L737-G737),(G737-L737)),4)</f>
        <v>-58.67</v>
      </c>
      <c r="N737" s="249">
        <f>IFERROR(ROUND((M737/I737),2),"")</f>
        <v>-1</v>
      </c>
      <c r="O737" s="250">
        <f>IF(D737="O",IF(N737&lt;0,N737,0),0)</f>
        <v>0</v>
      </c>
      <c r="P737" s="251">
        <f>IF(N737&gt;= 0,N737,0)</f>
        <v>0</v>
      </c>
      <c r="Q737" s="251">
        <f>IF(N737&lt;0,N737,0)</f>
        <v>-1</v>
      </c>
      <c r="R7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15590</v>
      </c>
      <c r="T7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15690</v>
      </c>
      <c r="U737" s="253">
        <f ca="1">IF(Tabla33610673[[#This Row],[Equity]]&lt;Tabla33610673[[#This Row],[Equity Peak]],(Tabla33610673[[#This Row],[Equity Peak]]-Tabla33610673[[#This Row],[Equity]])/Tabla33610673[[#This Row],[Equity Peak]],"")</f>
        <v>6.3734862970044612E-3</v>
      </c>
      <c r="V737" s="254">
        <f>IF(B737="FX",N737,0)</f>
        <v>0</v>
      </c>
      <c r="W737" s="254">
        <f>IF(D737="O",IF(V737&lt;0,V737,0),0)</f>
        <v>0</v>
      </c>
      <c r="X737" s="254">
        <f>IF(B737="COM",N737,0)</f>
        <v>0</v>
      </c>
      <c r="Y737" s="254">
        <f>IF(D737="O",IF(X737&lt;0,X737,0),0)</f>
        <v>0</v>
      </c>
      <c r="Z737" s="254">
        <f>IF(B737="IND",N737,0)</f>
        <v>-1</v>
      </c>
      <c r="AA737" s="250">
        <f>IF(D737="O",IF(Z737&lt;0,Z737,0),0)</f>
        <v>0</v>
      </c>
      <c r="AB737" s="254">
        <f>IF(B737="CRYPTO",N737,0)</f>
        <v>0</v>
      </c>
      <c r="AC737" s="250">
        <f>IF(D737="O",IF(AB737&lt;0,AB737,0),0)</f>
        <v>0</v>
      </c>
      <c r="AD737" s="255">
        <f>IF(K737&lt;&gt;"",K737-E737,0)</f>
        <v>0.14097222222335404</v>
      </c>
      <c r="AE737" s="255">
        <f>IF(N737&gt;0,AD737,0)</f>
        <v>0</v>
      </c>
      <c r="AF737" s="255">
        <f>IF(N737&lt;0,AD737,0)</f>
        <v>0.14097222222335404</v>
      </c>
      <c r="AG737" s="255">
        <f>IF(N737=0,AD737,0)</f>
        <v>0</v>
      </c>
    </row>
    <row r="738" spans="2:33" ht="15" customHeight="1" x14ac:dyDescent="0.3">
      <c r="B738" s="196" t="s">
        <v>7</v>
      </c>
      <c r="C738" s="197" t="s">
        <v>15</v>
      </c>
      <c r="D738" s="246" t="str">
        <f>IF(E738&lt;&gt;"",IF(K738&lt;&gt;"","C","O"),"")</f>
        <v>C</v>
      </c>
      <c r="E738" s="199">
        <v>44602.46875</v>
      </c>
      <c r="F738" s="200" t="s">
        <v>115</v>
      </c>
      <c r="G738" s="235">
        <v>157</v>
      </c>
      <c r="H738" s="235">
        <v>156.71100000000001</v>
      </c>
      <c r="I738" s="247">
        <f>ABS(G738-H738)</f>
        <v>0.28899999999998727</v>
      </c>
      <c r="J738" s="235">
        <v>157.82499999999999</v>
      </c>
      <c r="K738" s="199">
        <v>44602.738194444442</v>
      </c>
      <c r="L738" s="235">
        <v>157.82499999999999</v>
      </c>
      <c r="M738" s="248">
        <f>ROUND(IF(C738="L",(L738-G738),(G738-L738)),4)</f>
        <v>0.82499999999999996</v>
      </c>
      <c r="N738" s="249">
        <f>IFERROR(ROUND((M738/I738),2),"")</f>
        <v>2.85</v>
      </c>
      <c r="O738" s="250">
        <f>IF(D738="O",IF(N738&lt;0,N738,0),0)</f>
        <v>0</v>
      </c>
      <c r="P738" s="251">
        <f>IF(N738&gt;= 0,N738,0)</f>
        <v>2.85</v>
      </c>
      <c r="Q738" s="251">
        <f>IF(N738&lt;0,N738,0)</f>
        <v>0</v>
      </c>
      <c r="R73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15690</v>
      </c>
      <c r="T73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15690</v>
      </c>
      <c r="U73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38" s="254">
        <f>IF(B738="FX",N738,0)</f>
        <v>2.85</v>
      </c>
      <c r="W738" s="254">
        <f>IF(D738="O",IF(V738&lt;0,V738,0),0)</f>
        <v>0</v>
      </c>
      <c r="X738" s="254">
        <f>IF(B738="COM",N738,0)</f>
        <v>0</v>
      </c>
      <c r="Y738" s="254">
        <f>IF(D738="O",IF(X738&lt;0,X738,0),0)</f>
        <v>0</v>
      </c>
      <c r="Z738" s="254">
        <f>IF(B738="IND",N738,0)</f>
        <v>0</v>
      </c>
      <c r="AA738" s="250">
        <f>IF(D738="O",IF(Z738&lt;0,Z738,0),0)</f>
        <v>0</v>
      </c>
      <c r="AB738" s="254">
        <f>IF(B738="CRYPTO",N738,0)</f>
        <v>0</v>
      </c>
      <c r="AC738" s="250">
        <f>IF(D738="O",IF(AB738&lt;0,AB738,0),0)</f>
        <v>0</v>
      </c>
      <c r="AD738" s="255">
        <f>IF(K738&lt;&gt;"",K738-E738,0)</f>
        <v>0.2694444444423425</v>
      </c>
      <c r="AE738" s="255">
        <f>IF(N738&gt;0,AD738,0)</f>
        <v>0.2694444444423425</v>
      </c>
      <c r="AF738" s="255">
        <f>IF(N738&lt;0,AD738,0)</f>
        <v>0</v>
      </c>
      <c r="AG738" s="255">
        <f>IF(N738=0,AD738,0)</f>
        <v>0</v>
      </c>
    </row>
    <row r="739" spans="2:33" ht="15" customHeight="1" x14ac:dyDescent="0.3">
      <c r="B739" s="196" t="s">
        <v>7</v>
      </c>
      <c r="C739" s="197" t="s">
        <v>15</v>
      </c>
      <c r="D739" s="246" t="str">
        <f>IF(E739&lt;&gt;"",IF(K739&lt;&gt;"","C","O"),"")</f>
        <v>C</v>
      </c>
      <c r="E739" s="199">
        <v>44602.46875</v>
      </c>
      <c r="F739" s="200" t="s">
        <v>116</v>
      </c>
      <c r="G739" s="235">
        <v>115.822</v>
      </c>
      <c r="H739" s="235">
        <v>115.693</v>
      </c>
      <c r="I739" s="247">
        <f>ABS(G739-H739)</f>
        <v>0.12900000000000489</v>
      </c>
      <c r="J739" s="235">
        <v>117.163</v>
      </c>
      <c r="K739" s="199">
        <v>44602.709722222222</v>
      </c>
      <c r="L739" s="235">
        <v>116.071</v>
      </c>
      <c r="M739" s="248">
        <f>ROUND(IF(C739="L",(L739-G739),(G739-L739)),4)</f>
        <v>0.249</v>
      </c>
      <c r="N739" s="249">
        <f>IFERROR(ROUND((M739/I739),2),"")</f>
        <v>1.93</v>
      </c>
      <c r="O739" s="250">
        <f>IF(D739="O",IF(N739&lt;0,N739,0),0)</f>
        <v>0</v>
      </c>
      <c r="P739" s="251">
        <f>IF(N739&gt;= 0,N739,0)</f>
        <v>1.93</v>
      </c>
      <c r="Q739" s="251">
        <f>IF(N739&lt;0,N739,0)</f>
        <v>0</v>
      </c>
      <c r="R73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15405</v>
      </c>
      <c r="T73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39" s="253">
        <f ca="1">IF(Tabla33610673[[#This Row],[Equity]]&lt;Tabla33610673[[#This Row],[Equity Peak]],(Tabla33610673[[#This Row],[Equity Peak]]-Tabla33610673[[#This Row],[Equity]])/Tabla33610673[[#This Row],[Equity Peak]],"")</f>
        <v>9.5158490323410273E-3</v>
      </c>
      <c r="V739" s="254">
        <f>IF(B739="FX",N739,0)</f>
        <v>1.93</v>
      </c>
      <c r="W739" s="254">
        <f>IF(D739="O",IF(V739&lt;0,V739,0),0)</f>
        <v>0</v>
      </c>
      <c r="X739" s="254">
        <f>IF(B739="COM",N739,0)</f>
        <v>0</v>
      </c>
      <c r="Y739" s="254">
        <f>IF(D739="O",IF(X739&lt;0,X739,0),0)</f>
        <v>0</v>
      </c>
      <c r="Z739" s="254">
        <f>IF(B739="IND",N739,0)</f>
        <v>0</v>
      </c>
      <c r="AA739" s="250">
        <f>IF(D739="O",IF(Z739&lt;0,Z739,0),0)</f>
        <v>0</v>
      </c>
      <c r="AB739" s="254">
        <f>IF(B739="CRYPTO",N739,0)</f>
        <v>0</v>
      </c>
      <c r="AC739" s="250">
        <f>IF(D739="O",IF(AB739&lt;0,AB739,0),0)</f>
        <v>0</v>
      </c>
      <c r="AD739" s="255">
        <f>IF(K739&lt;&gt;"",K739-E739,0)</f>
        <v>0.24097222222189885</v>
      </c>
      <c r="AE739" s="255">
        <f>IF(N739&gt;0,AD739,0)</f>
        <v>0.24097222222189885</v>
      </c>
      <c r="AF739" s="255">
        <f>IF(N739&lt;0,AD739,0)</f>
        <v>0</v>
      </c>
      <c r="AG739" s="255">
        <f>IF(N739=0,AD739,0)</f>
        <v>0</v>
      </c>
    </row>
    <row r="740" spans="2:33" ht="15" customHeight="1" x14ac:dyDescent="0.3">
      <c r="B740" s="196" t="s">
        <v>5</v>
      </c>
      <c r="C740" s="197" t="s">
        <v>15</v>
      </c>
      <c r="D740" s="246" t="str">
        <f>IF(E740&lt;&gt;"",IF(K740&lt;&gt;"","C","O"),"")</f>
        <v>C</v>
      </c>
      <c r="E740" s="199">
        <v>44601.822916666664</v>
      </c>
      <c r="F740" s="200" t="s">
        <v>92</v>
      </c>
      <c r="G740" s="235">
        <v>14983.74</v>
      </c>
      <c r="H740" s="235">
        <v>14950.87</v>
      </c>
      <c r="I740" s="247">
        <f>ABS(G740-H740)</f>
        <v>32.869999999998981</v>
      </c>
      <c r="J740" s="235">
        <v>15597.29</v>
      </c>
      <c r="K740" s="199">
        <v>44602.645833333336</v>
      </c>
      <c r="L740" s="235">
        <v>14961.71</v>
      </c>
      <c r="M740" s="248">
        <f>ROUND(IF(C740="L",(L740-G740),(G740-L740)),4)</f>
        <v>-22.03</v>
      </c>
      <c r="N740" s="249">
        <f>IFERROR(ROUND((M740/I740),2),"")</f>
        <v>-0.67</v>
      </c>
      <c r="O740" s="250">
        <f>IF(D740="O",IF(N740&lt;0,N740,0),0)</f>
        <v>0</v>
      </c>
      <c r="P740" s="251">
        <f>IF(N740&gt;= 0,N740,0)</f>
        <v>0</v>
      </c>
      <c r="Q740" s="251">
        <f>IF(N740&lt;0,N740,0)</f>
        <v>-0.67</v>
      </c>
      <c r="R74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15212</v>
      </c>
      <c r="T74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0" s="253">
        <f ca="1">IF(Tabla33610673[[#This Row],[Equity]]&lt;Tabla33610673[[#This Row],[Equity Peak]],(Tabla33610673[[#This Row],[Equity Peak]]-Tabla33610673[[#This Row],[Equity]])/Tabla33610673[[#This Row],[Equity Peak]],"")</f>
        <v>2.192503054073169E-2</v>
      </c>
      <c r="V740" s="254">
        <f>IF(B740="FX",N740,0)</f>
        <v>0</v>
      </c>
      <c r="W740" s="254">
        <f>IF(D740="O",IF(V740&lt;0,V740,0),0)</f>
        <v>0</v>
      </c>
      <c r="X740" s="254">
        <f>IF(B740="COM",N740,0)</f>
        <v>0</v>
      </c>
      <c r="Y740" s="254">
        <f>IF(D740="O",IF(X740&lt;0,X740,0),0)</f>
        <v>0</v>
      </c>
      <c r="Z740" s="254">
        <f>IF(B740="IND",N740,0)</f>
        <v>-0.67</v>
      </c>
      <c r="AA740" s="250">
        <f>IF(D740="O",IF(Z740&lt;0,Z740,0),0)</f>
        <v>0</v>
      </c>
      <c r="AB740" s="254">
        <f>IF(B740="CRYPTO",N740,0)</f>
        <v>0</v>
      </c>
      <c r="AC740" s="250">
        <f>IF(D740="O",IF(AB740&lt;0,AB740,0),0)</f>
        <v>0</v>
      </c>
      <c r="AD740" s="255">
        <f>IF(K740&lt;&gt;"",K740-E740,0)</f>
        <v>0.82291666667151731</v>
      </c>
      <c r="AE740" s="255">
        <f>IF(N740&gt;0,AD740,0)</f>
        <v>0</v>
      </c>
      <c r="AF740" s="255">
        <f>IF(N740&lt;0,AD740,0)</f>
        <v>0.82291666667151731</v>
      </c>
      <c r="AG740" s="255">
        <f>IF(N740=0,AD740,0)</f>
        <v>0</v>
      </c>
    </row>
    <row r="741" spans="2:33" ht="15" customHeight="1" x14ac:dyDescent="0.3">
      <c r="B741" s="196" t="s">
        <v>5</v>
      </c>
      <c r="C741" s="197" t="s">
        <v>15</v>
      </c>
      <c r="D741" s="246" t="str">
        <f>IF(E741&lt;&gt;"",IF(K741&lt;&gt;"","C","O"),"")</f>
        <v>C</v>
      </c>
      <c r="E741" s="199">
        <v>44601.458333333336</v>
      </c>
      <c r="F741" s="200" t="s">
        <v>93</v>
      </c>
      <c r="G741" s="235">
        <v>14850.76</v>
      </c>
      <c r="H741" s="235">
        <v>14807.63</v>
      </c>
      <c r="I741" s="247">
        <f>ABS(G741-H741)</f>
        <v>43.130000000001019</v>
      </c>
      <c r="J741" s="235">
        <v>15310.86</v>
      </c>
      <c r="K741" s="199">
        <v>44602.181250000001</v>
      </c>
      <c r="L741" s="235">
        <v>14989.14</v>
      </c>
      <c r="M741" s="248">
        <f>ROUND(IF(C741="L",(L741-G741),(G741-L741)),4)</f>
        <v>138.38</v>
      </c>
      <c r="N741" s="249">
        <f>IFERROR(ROUND((M741/I741),2),"")</f>
        <v>3.21</v>
      </c>
      <c r="O741" s="250">
        <f>IF(D741="O",IF(N741&lt;0,N741,0),0)</f>
        <v>0</v>
      </c>
      <c r="P741" s="251">
        <f>IF(N741&gt;= 0,N741,0)</f>
        <v>3.21</v>
      </c>
      <c r="Q741" s="251">
        <f>IF(N741&lt;0,N741,0)</f>
        <v>0</v>
      </c>
      <c r="R74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15279</v>
      </c>
      <c r="T74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1" s="253">
        <f ca="1">IF(Tabla33610673[[#This Row],[Equity]]&lt;Tabla33610673[[#This Row],[Equity Peak]],(Tabla33610673[[#This Row],[Equity Peak]]-Tabla33610673[[#This Row],[Equity]])/Tabla33610673[[#This Row],[Equity Peak]],"")</f>
        <v>1.7617179965280009E-2</v>
      </c>
      <c r="V741" s="254">
        <f>IF(B741="FX",N741,0)</f>
        <v>0</v>
      </c>
      <c r="W741" s="254">
        <f>IF(D741="O",IF(V741&lt;0,V741,0),0)</f>
        <v>0</v>
      </c>
      <c r="X741" s="254">
        <f>IF(B741="COM",N741,0)</f>
        <v>0</v>
      </c>
      <c r="Y741" s="254">
        <f>IF(D741="O",IF(X741&lt;0,X741,0),0)</f>
        <v>0</v>
      </c>
      <c r="Z741" s="254">
        <f>IF(B741="IND",N741,0)</f>
        <v>3.21</v>
      </c>
      <c r="AA741" s="250">
        <f>IF(D741="O",IF(Z741&lt;0,Z741,0),0)</f>
        <v>0</v>
      </c>
      <c r="AB741" s="254">
        <f>IF(B741="CRYPTO",N741,0)</f>
        <v>0</v>
      </c>
      <c r="AC741" s="250">
        <f>IF(D741="O",IF(AB741&lt;0,AB741,0),0)</f>
        <v>0</v>
      </c>
      <c r="AD741" s="255">
        <f>IF(K741&lt;&gt;"",K741-E741,0)</f>
        <v>0.72291666666569654</v>
      </c>
      <c r="AE741" s="255">
        <f>IF(N741&gt;0,AD741,0)</f>
        <v>0.72291666666569654</v>
      </c>
      <c r="AF741" s="255">
        <f>IF(N741&lt;0,AD741,0)</f>
        <v>0</v>
      </c>
      <c r="AG741" s="255">
        <f>IF(N741=0,AD741,0)</f>
        <v>0</v>
      </c>
    </row>
    <row r="742" spans="2:33" ht="15" customHeight="1" x14ac:dyDescent="0.3">
      <c r="B742" s="196" t="s">
        <v>7</v>
      </c>
      <c r="C742" s="197" t="s">
        <v>15</v>
      </c>
      <c r="D742" s="246" t="str">
        <f>IF(E742&lt;&gt;"",IF(K742&lt;&gt;"","C","O"),"")</f>
        <v>C</v>
      </c>
      <c r="E742" s="199">
        <v>44600.354166666664</v>
      </c>
      <c r="F742" s="200" t="s">
        <v>115</v>
      </c>
      <c r="G742" s="235">
        <v>156.22999999999999</v>
      </c>
      <c r="H742" s="235">
        <v>155.90899999999999</v>
      </c>
      <c r="I742" s="247">
        <f>ABS(G742-H742)</f>
        <v>0.32099999999999795</v>
      </c>
      <c r="J742" s="235">
        <v>157.148</v>
      </c>
      <c r="K742" s="199">
        <v>44601.789583333331</v>
      </c>
      <c r="L742" s="235">
        <v>156.34800000000001</v>
      </c>
      <c r="M742" s="248">
        <f>ROUND(IF(C742="L",(L742-G742),(G742-L742)),4)</f>
        <v>0.11799999999999999</v>
      </c>
      <c r="N742" s="249">
        <f>IFERROR(ROUND((M742/I742),2),"")</f>
        <v>0.37</v>
      </c>
      <c r="O742" s="250">
        <f>IF(D742="O",IF(N742&lt;0,N742,0),0)</f>
        <v>0</v>
      </c>
      <c r="P742" s="251">
        <f>IF(N742&gt;= 0,N742,0)</f>
        <v>0.37</v>
      </c>
      <c r="Q742" s="251">
        <f>IF(N742&lt;0,N742,0)</f>
        <v>0</v>
      </c>
      <c r="R74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14958</v>
      </c>
      <c r="T74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2" s="253">
        <f ca="1">IF(Tabla33610673[[#This Row],[Equity]]&lt;Tabla33610673[[#This Row],[Equity Peak]],(Tabla33610673[[#This Row],[Equity Peak]]-Tabla33610673[[#This Row],[Equity]])/Tabla33610673[[#This Row],[Equity Peak]],"")</f>
        <v>3.8256284961100749E-2</v>
      </c>
      <c r="V742" s="254">
        <f>IF(B742="FX",N742,0)</f>
        <v>0.37</v>
      </c>
      <c r="W742" s="254">
        <f>IF(D742="O",IF(V742&lt;0,V742,0),0)</f>
        <v>0</v>
      </c>
      <c r="X742" s="254">
        <f>IF(B742="COM",N742,0)</f>
        <v>0</v>
      </c>
      <c r="Y742" s="254">
        <f>IF(D742="O",IF(X742&lt;0,X742,0),0)</f>
        <v>0</v>
      </c>
      <c r="Z742" s="254">
        <f>IF(B742="IND",N742,0)</f>
        <v>0</v>
      </c>
      <c r="AA742" s="250">
        <f>IF(D742="O",IF(Z742&lt;0,Z742,0),0)</f>
        <v>0</v>
      </c>
      <c r="AB742" s="254">
        <f>IF(B742="CRYPTO",N742,0)</f>
        <v>0</v>
      </c>
      <c r="AC742" s="250">
        <f>IF(D742="O",IF(AB742&lt;0,AB742,0),0)</f>
        <v>0</v>
      </c>
      <c r="AD742" s="255">
        <f>IF(K742&lt;&gt;"",K742-E742,0)</f>
        <v>1.4354166666671517</v>
      </c>
      <c r="AE742" s="255">
        <f>IF(N742&gt;0,AD742,0)</f>
        <v>1.4354166666671517</v>
      </c>
      <c r="AF742" s="255">
        <f>IF(N742&lt;0,AD742,0)</f>
        <v>0</v>
      </c>
      <c r="AG742" s="255">
        <f>IF(N742=0,AD742,0)</f>
        <v>0</v>
      </c>
    </row>
    <row r="743" spans="2:33" ht="15" customHeight="1" x14ac:dyDescent="0.3">
      <c r="B743" s="196" t="s">
        <v>5</v>
      </c>
      <c r="C743" s="197" t="s">
        <v>15</v>
      </c>
      <c r="D743" s="246" t="str">
        <f>IF(E743&lt;&gt;"",IF(K743&lt;&gt;"","C","O"),"")</f>
        <v>C</v>
      </c>
      <c r="E743" s="199">
        <v>44601.59375</v>
      </c>
      <c r="F743" s="200" t="s">
        <v>92</v>
      </c>
      <c r="G743" s="235">
        <v>14926.14</v>
      </c>
      <c r="H743" s="235">
        <v>14886.8</v>
      </c>
      <c r="I743" s="247">
        <f>ABS(G743-H743)</f>
        <v>39.340000000000146</v>
      </c>
      <c r="J743" s="235">
        <v>15660.46</v>
      </c>
      <c r="K743" s="199">
        <v>44601.7</v>
      </c>
      <c r="L743" s="235">
        <v>14886.8</v>
      </c>
      <c r="M743" s="248">
        <f>ROUND(IF(C743="L",(L743-G743),(G743-L743)),4)</f>
        <v>-39.340000000000003</v>
      </c>
      <c r="N743" s="249">
        <f>IFERROR(ROUND((M743/I743),2),"")</f>
        <v>-1</v>
      </c>
      <c r="O743" s="250">
        <f>IF(D743="O",IF(N743&lt;0,N743,0),0)</f>
        <v>0</v>
      </c>
      <c r="P743" s="251">
        <f>IF(N743&gt;= 0,N743,0)</f>
        <v>0</v>
      </c>
      <c r="Q743" s="251">
        <f>IF(N743&lt;0,N743,0)</f>
        <v>-1</v>
      </c>
      <c r="R74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14921</v>
      </c>
      <c r="T74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3" s="253">
        <f ca="1">IF(Tabla33610673[[#This Row],[Equity]]&lt;Tabla33610673[[#This Row],[Equity Peak]],(Tabla33610673[[#This Row],[Equity Peak]]-Tabla33610673[[#This Row],[Equity]])/Tabla33610673[[#This Row],[Equity Peak]],"")</f>
        <v>4.0635247219186009E-2</v>
      </c>
      <c r="V743" s="254">
        <f>IF(B743="FX",N743,0)</f>
        <v>0</v>
      </c>
      <c r="W743" s="254">
        <f>IF(D743="O",IF(V743&lt;0,V743,0),0)</f>
        <v>0</v>
      </c>
      <c r="X743" s="254">
        <f>IF(B743="COM",N743,0)</f>
        <v>0</v>
      </c>
      <c r="Y743" s="254">
        <f>IF(D743="O",IF(X743&lt;0,X743,0),0)</f>
        <v>0</v>
      </c>
      <c r="Z743" s="254">
        <f>IF(B743="IND",N743,0)</f>
        <v>-1</v>
      </c>
      <c r="AA743" s="250">
        <f>IF(D743="O",IF(Z743&lt;0,Z743,0),0)</f>
        <v>0</v>
      </c>
      <c r="AB743" s="254">
        <f>IF(B743="CRYPTO",N743,0)</f>
        <v>0</v>
      </c>
      <c r="AC743" s="250">
        <f>IF(D743="O",IF(AB743&lt;0,AB743,0),0)</f>
        <v>0</v>
      </c>
      <c r="AD743" s="255">
        <f>IF(K743&lt;&gt;"",K743-E743,0)</f>
        <v>0.10624999999708962</v>
      </c>
      <c r="AE743" s="255">
        <f>IF(N743&gt;0,AD743,0)</f>
        <v>0</v>
      </c>
      <c r="AF743" s="255">
        <f>IF(N743&lt;0,AD743,0)</f>
        <v>0.10624999999708962</v>
      </c>
      <c r="AG743" s="255">
        <f>IF(N743=0,AD743,0)</f>
        <v>0</v>
      </c>
    </row>
    <row r="744" spans="2:33" ht="15" customHeight="1" x14ac:dyDescent="0.3">
      <c r="B744" s="196" t="s">
        <v>5</v>
      </c>
      <c r="C744" s="197" t="s">
        <v>15</v>
      </c>
      <c r="D744" s="246" t="str">
        <f>IF(E744&lt;&gt;"",IF(K744&lt;&gt;"","C","O"),"")</f>
        <v>C</v>
      </c>
      <c r="E744" s="199">
        <v>44601.260416666664</v>
      </c>
      <c r="F744" s="200" t="s">
        <v>93</v>
      </c>
      <c r="G744" s="235">
        <v>14809.54</v>
      </c>
      <c r="H744" s="235">
        <v>14764.59</v>
      </c>
      <c r="I744" s="247">
        <f>ABS(G744-H744)</f>
        <v>44.950000000000728</v>
      </c>
      <c r="J744" s="235">
        <v>15289.02</v>
      </c>
      <c r="K744" s="199">
        <v>44601.402777777781</v>
      </c>
      <c r="L744" s="235">
        <v>14764.59</v>
      </c>
      <c r="M744" s="248">
        <f>ROUND(IF(C744="L",(L744-G744),(G744-L744)),4)</f>
        <v>-44.95</v>
      </c>
      <c r="N744" s="249">
        <f>IFERROR(ROUND((M744/I744),2),"")</f>
        <v>-1</v>
      </c>
      <c r="O744" s="250">
        <f>IF(D744="O",IF(N744&lt;0,N744,0),0)</f>
        <v>0</v>
      </c>
      <c r="P744" s="251">
        <f>IF(N744&gt;= 0,N744,0)</f>
        <v>0</v>
      </c>
      <c r="Q744" s="251">
        <f>IF(N744&lt;0,N744,0)</f>
        <v>-1</v>
      </c>
      <c r="R74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15021</v>
      </c>
      <c r="T74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4" s="253">
        <f ca="1">IF(Tabla33610673[[#This Row],[Equity]]&lt;Tabla33610673[[#This Row],[Equity Peak]],(Tabla33610673[[#This Row],[Equity Peak]]-Tabla33610673[[#This Row],[Equity]])/Tabla33610673[[#This Row],[Equity Peak]],"")</f>
        <v>3.4205619494631259E-2</v>
      </c>
      <c r="V744" s="254">
        <f>IF(B744="FX",N744,0)</f>
        <v>0</v>
      </c>
      <c r="W744" s="254">
        <f>IF(D744="O",IF(V744&lt;0,V744,0),0)</f>
        <v>0</v>
      </c>
      <c r="X744" s="254">
        <f>IF(B744="COM",N744,0)</f>
        <v>0</v>
      </c>
      <c r="Y744" s="254">
        <f>IF(D744="O",IF(X744&lt;0,X744,0),0)</f>
        <v>0</v>
      </c>
      <c r="Z744" s="254">
        <f>IF(B744="IND",N744,0)</f>
        <v>-1</v>
      </c>
      <c r="AA744" s="250">
        <f>IF(D744="O",IF(Z744&lt;0,Z744,0),0)</f>
        <v>0</v>
      </c>
      <c r="AB744" s="254">
        <f>IF(B744="CRYPTO",N744,0)</f>
        <v>0</v>
      </c>
      <c r="AC744" s="250">
        <f>IF(D744="O",IF(AB744&lt;0,AB744,0),0)</f>
        <v>0</v>
      </c>
      <c r="AD744" s="255">
        <f>IF(K744&lt;&gt;"",K744-E744,0)</f>
        <v>0.14236111111677019</v>
      </c>
      <c r="AE744" s="255">
        <f>IF(N744&gt;0,AD744,0)</f>
        <v>0</v>
      </c>
      <c r="AF744" s="255">
        <f>IF(N744&lt;0,AD744,0)</f>
        <v>0.14236111111677019</v>
      </c>
      <c r="AG744" s="255">
        <f>IF(N744=0,AD744,0)</f>
        <v>0</v>
      </c>
    </row>
    <row r="745" spans="2:33" ht="15" customHeight="1" x14ac:dyDescent="0.3">
      <c r="B745" s="196" t="s">
        <v>7</v>
      </c>
      <c r="C745" s="197" t="s">
        <v>13</v>
      </c>
      <c r="D745" s="246" t="str">
        <f>IF(E745&lt;&gt;"",IF(K745&lt;&gt;"","C","O"),"")</f>
        <v>C</v>
      </c>
      <c r="E745" s="199">
        <v>44599.489583333336</v>
      </c>
      <c r="F745" s="200" t="s">
        <v>115</v>
      </c>
      <c r="G745" s="235">
        <v>155.53299999999999</v>
      </c>
      <c r="H745" s="235">
        <v>155.88300000000001</v>
      </c>
      <c r="I745" s="247">
        <f>ABS(G745-H745)</f>
        <v>0.35000000000002274</v>
      </c>
      <c r="J745" s="235">
        <v>154.53399999999999</v>
      </c>
      <c r="K745" s="199">
        <v>44599.706250000003</v>
      </c>
      <c r="L745" s="235">
        <v>155.64599999999999</v>
      </c>
      <c r="M745" s="248">
        <f>ROUND(IF(C745="L",(L745-G745),(G745-L745)),4)</f>
        <v>-0.113</v>
      </c>
      <c r="N745" s="249">
        <f>IFERROR(ROUND((M745/I745),2),"")</f>
        <v>-0.32</v>
      </c>
      <c r="O745" s="250">
        <f>IF(D745="O",IF(N745&lt;0,N745,0),0)</f>
        <v>0</v>
      </c>
      <c r="P745" s="251">
        <f>IF(N745&gt;= 0,N745,0)</f>
        <v>0</v>
      </c>
      <c r="Q745" s="251">
        <f>IF(N745&lt;0,N745,0)</f>
        <v>-0.32</v>
      </c>
      <c r="R74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15121</v>
      </c>
      <c r="T74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5" s="253">
        <f ca="1">IF(Tabla33610673[[#This Row],[Equity]]&lt;Tabla33610673[[#This Row],[Equity Peak]],(Tabla33610673[[#This Row],[Equity Peak]]-Tabla33610673[[#This Row],[Equity]])/Tabla33610673[[#This Row],[Equity Peak]],"")</f>
        <v>2.7775991770076513E-2</v>
      </c>
      <c r="V745" s="254">
        <f>IF(B745="FX",N745,0)</f>
        <v>-0.32</v>
      </c>
      <c r="W745" s="254">
        <f>IF(D745="O",IF(V745&lt;0,V745,0),0)</f>
        <v>0</v>
      </c>
      <c r="X745" s="254">
        <f>IF(B745="COM",N745,0)</f>
        <v>0</v>
      </c>
      <c r="Y745" s="254">
        <f>IF(D745="O",IF(X745&lt;0,X745,0),0)</f>
        <v>0</v>
      </c>
      <c r="Z745" s="254">
        <f>IF(B745="IND",N745,0)</f>
        <v>0</v>
      </c>
      <c r="AA745" s="250">
        <f>IF(D745="O",IF(Z745&lt;0,Z745,0),0)</f>
        <v>0</v>
      </c>
      <c r="AB745" s="254">
        <f>IF(B745="CRYPTO",N745,0)</f>
        <v>0</v>
      </c>
      <c r="AC745" s="250">
        <f>IF(D745="O",IF(AB745&lt;0,AB745,0),0)</f>
        <v>0</v>
      </c>
      <c r="AD745" s="255">
        <f>IF(K745&lt;&gt;"",K745-E745,0)</f>
        <v>0.21666666666715173</v>
      </c>
      <c r="AE745" s="255">
        <f>IF(N745&gt;0,AD745,0)</f>
        <v>0</v>
      </c>
      <c r="AF745" s="255">
        <f>IF(N745&lt;0,AD745,0)</f>
        <v>0.21666666666715173</v>
      </c>
      <c r="AG745" s="255">
        <f>IF(N745=0,AD745,0)</f>
        <v>0</v>
      </c>
    </row>
    <row r="746" spans="2:33" ht="15" customHeight="1" x14ac:dyDescent="0.3">
      <c r="B746" s="196" t="s">
        <v>5</v>
      </c>
      <c r="C746" s="197" t="s">
        <v>13</v>
      </c>
      <c r="D746" s="246" t="str">
        <f>IF(E746&lt;&gt;"",IF(K746&lt;&gt;"","C","O"),"")</f>
        <v>C</v>
      </c>
      <c r="E746" s="199">
        <v>44596.666666666664</v>
      </c>
      <c r="F746" s="200" t="s">
        <v>91</v>
      </c>
      <c r="G746" s="235">
        <v>15087.85</v>
      </c>
      <c r="H746" s="235">
        <v>15125.62</v>
      </c>
      <c r="I746" s="247">
        <f>ABS(G746-H746)</f>
        <v>37.770000000000437</v>
      </c>
      <c r="J746" s="235">
        <v>14382.82</v>
      </c>
      <c r="K746" s="199">
        <v>44596.695833333331</v>
      </c>
      <c r="L746" s="235">
        <v>15125.62</v>
      </c>
      <c r="M746" s="248">
        <f>ROUND(IF(C746="L",(L746-G746),(G746-L746)),4)</f>
        <v>-37.770000000000003</v>
      </c>
      <c r="N746" s="249">
        <f>IFERROR(ROUND((M746/I746),2),"")</f>
        <v>-1</v>
      </c>
      <c r="O746" s="250">
        <f>IF(D746="O",IF(N746&lt;0,N746,0),0)</f>
        <v>0</v>
      </c>
      <c r="P746" s="251">
        <f>IF(N746&gt;= 0,N746,0)</f>
        <v>0</v>
      </c>
      <c r="Q746" s="251">
        <f>IF(N746&lt;0,N746,0)</f>
        <v>-1</v>
      </c>
      <c r="R74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15153</v>
      </c>
      <c r="T74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6" s="253">
        <f ca="1">IF(Tabla33610673[[#This Row],[Equity]]&lt;Tabla33610673[[#This Row],[Equity Peak]],(Tabla33610673[[#This Row],[Equity Peak]]-Tabla33610673[[#This Row],[Equity]])/Tabla33610673[[#This Row],[Equity Peak]],"")</f>
        <v>2.5718510898218992E-2</v>
      </c>
      <c r="V746" s="254">
        <f>IF(B746="FX",N746,0)</f>
        <v>0</v>
      </c>
      <c r="W746" s="254">
        <f>IF(D746="O",IF(V746&lt;0,V746,0),0)</f>
        <v>0</v>
      </c>
      <c r="X746" s="254">
        <f>IF(B746="COM",N746,0)</f>
        <v>0</v>
      </c>
      <c r="Y746" s="254">
        <f>IF(D746="O",IF(X746&lt;0,X746,0),0)</f>
        <v>0</v>
      </c>
      <c r="Z746" s="254">
        <f>IF(B746="IND",N746,0)</f>
        <v>-1</v>
      </c>
      <c r="AA746" s="250">
        <f>IF(D746="O",IF(Z746&lt;0,Z746,0),0)</f>
        <v>0</v>
      </c>
      <c r="AB746" s="254">
        <f>IF(B746="CRYPTO",N746,0)</f>
        <v>0</v>
      </c>
      <c r="AC746" s="250">
        <f>IF(D746="O",IF(AB746&lt;0,AB746,0),0)</f>
        <v>0</v>
      </c>
      <c r="AD746" s="255">
        <f>IF(K746&lt;&gt;"",K746-E746,0)</f>
        <v>2.9166666667151731E-2</v>
      </c>
      <c r="AE746" s="255">
        <f>IF(N746&gt;0,AD746,0)</f>
        <v>0</v>
      </c>
      <c r="AF746" s="255">
        <f>IF(N746&lt;0,AD746,0)</f>
        <v>2.9166666667151731E-2</v>
      </c>
      <c r="AG746" s="255">
        <f>IF(N746=0,AD746,0)</f>
        <v>0</v>
      </c>
    </row>
    <row r="747" spans="2:33" ht="15" customHeight="1" x14ac:dyDescent="0.3">
      <c r="B747" s="196" t="s">
        <v>5</v>
      </c>
      <c r="C747" s="197" t="s">
        <v>13</v>
      </c>
      <c r="D747" s="246" t="str">
        <f>IF(E747&lt;&gt;"",IF(K747&lt;&gt;"","C","O"),"")</f>
        <v>C</v>
      </c>
      <c r="E747" s="199">
        <v>44596.666666666664</v>
      </c>
      <c r="F747" s="200" t="s">
        <v>92</v>
      </c>
      <c r="G747" s="235">
        <v>14421.01</v>
      </c>
      <c r="H747" s="235">
        <v>14480.23</v>
      </c>
      <c r="I747" s="247">
        <f>ABS(G747-H747)</f>
        <v>59.219999999999345</v>
      </c>
      <c r="J747" s="235">
        <v>13315.63</v>
      </c>
      <c r="K747" s="199">
        <v>44596.679166666669</v>
      </c>
      <c r="L747" s="235">
        <v>14480.23</v>
      </c>
      <c r="M747" s="248">
        <f>ROUND(IF(C747="L",(L747-G747),(G747-L747)),4)</f>
        <v>-59.22</v>
      </c>
      <c r="N747" s="249">
        <f>IFERROR(ROUND((M747/I747),2),"")</f>
        <v>-1</v>
      </c>
      <c r="O747" s="250">
        <f>IF(D747="O",IF(N747&lt;0,N747,0),0)</f>
        <v>0</v>
      </c>
      <c r="P747" s="251">
        <f>IF(N747&gt;= 0,N747,0)</f>
        <v>0</v>
      </c>
      <c r="Q747" s="251">
        <f>IF(N747&lt;0,N747,0)</f>
        <v>-1</v>
      </c>
      <c r="R74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15253</v>
      </c>
      <c r="T74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7" s="253">
        <f ca="1">IF(Tabla33610673[[#This Row],[Equity]]&lt;Tabla33610673[[#This Row],[Equity Peak]],(Tabla33610673[[#This Row],[Equity Peak]]-Tabla33610673[[#This Row],[Equity]])/Tabla33610673[[#This Row],[Equity Peak]],"")</f>
        <v>1.9288883173664246E-2</v>
      </c>
      <c r="V747" s="254">
        <f>IF(B747="FX",N747,0)</f>
        <v>0</v>
      </c>
      <c r="W747" s="254">
        <f>IF(D747="O",IF(V747&lt;0,V747,0),0)</f>
        <v>0</v>
      </c>
      <c r="X747" s="254">
        <f>IF(B747="COM",N747,0)</f>
        <v>0</v>
      </c>
      <c r="Y747" s="254">
        <f>IF(D747="O",IF(X747&lt;0,X747,0),0)</f>
        <v>0</v>
      </c>
      <c r="Z747" s="254">
        <f>IF(B747="IND",N747,0)</f>
        <v>-1</v>
      </c>
      <c r="AA747" s="250">
        <f>IF(D747="O",IF(Z747&lt;0,Z747,0),0)</f>
        <v>0</v>
      </c>
      <c r="AB747" s="254">
        <f>IF(B747="CRYPTO",N747,0)</f>
        <v>0</v>
      </c>
      <c r="AC747" s="250">
        <f>IF(D747="O",IF(AB747&lt;0,AB747,0),0)</f>
        <v>0</v>
      </c>
      <c r="AD747" s="255">
        <f>IF(K747&lt;&gt;"",K747-E747,0)</f>
        <v>1.2500000004365575E-2</v>
      </c>
      <c r="AE747" s="255">
        <f>IF(N747&gt;0,AD747,0)</f>
        <v>0</v>
      </c>
      <c r="AF747" s="255">
        <f>IF(N747&lt;0,AD747,0)</f>
        <v>1.2500000004365575E-2</v>
      </c>
      <c r="AG747" s="255">
        <f>IF(N747=0,AD747,0)</f>
        <v>0</v>
      </c>
    </row>
    <row r="748" spans="2:33" ht="15" customHeight="1" x14ac:dyDescent="0.3">
      <c r="B748" s="196" t="s">
        <v>5</v>
      </c>
      <c r="C748" s="197" t="s">
        <v>13</v>
      </c>
      <c r="D748" s="246" t="str">
        <f>IF(E748&lt;&gt;"",IF(K748&lt;&gt;"","C","O"),"")</f>
        <v>C</v>
      </c>
      <c r="E748" s="199">
        <v>44596.666666666664</v>
      </c>
      <c r="F748" s="200" t="s">
        <v>93</v>
      </c>
      <c r="G748" s="235">
        <v>14421.01</v>
      </c>
      <c r="H748" s="235">
        <v>14486.1</v>
      </c>
      <c r="I748" s="247">
        <f>ABS(G748-H748)</f>
        <v>65.090000000000146</v>
      </c>
      <c r="J748" s="235">
        <v>13726.7</v>
      </c>
      <c r="K748" s="199">
        <v>44596.679166666669</v>
      </c>
      <c r="L748" s="235">
        <v>14486.1</v>
      </c>
      <c r="M748" s="248">
        <f>ROUND(IF(C748="L",(L748-G748),(G748-L748)),4)</f>
        <v>-65.09</v>
      </c>
      <c r="N748" s="249">
        <f>IFERROR(ROUND((M748/I748),2),"")</f>
        <v>-1</v>
      </c>
      <c r="O748" s="250">
        <f>IF(D748="O",IF(N748&lt;0,N748,0),0)</f>
        <v>0</v>
      </c>
      <c r="P748" s="251">
        <f>IF(N748&gt;= 0,N748,0)</f>
        <v>0</v>
      </c>
      <c r="Q748" s="251">
        <f>IF(N748&lt;0,N748,0)</f>
        <v>-1</v>
      </c>
      <c r="R74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15353</v>
      </c>
      <c r="T74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8" s="253">
        <f ca="1">IF(Tabla33610673[[#This Row],[Equity]]&lt;Tabla33610673[[#This Row],[Equity Peak]],(Tabla33610673[[#This Row],[Equity Peak]]-Tabla33610673[[#This Row],[Equity]])/Tabla33610673[[#This Row],[Equity Peak]],"")</f>
        <v>1.2859255449109496E-2</v>
      </c>
      <c r="V748" s="254">
        <f>IF(B748="FX",N748,0)</f>
        <v>0</v>
      </c>
      <c r="W748" s="254">
        <f>IF(D748="O",IF(V748&lt;0,V748,0),0)</f>
        <v>0</v>
      </c>
      <c r="X748" s="254">
        <f>IF(B748="COM",N748,0)</f>
        <v>0</v>
      </c>
      <c r="Y748" s="254">
        <f>IF(D748="O",IF(X748&lt;0,X748,0),0)</f>
        <v>0</v>
      </c>
      <c r="Z748" s="254">
        <f>IF(B748="IND",N748,0)</f>
        <v>-1</v>
      </c>
      <c r="AA748" s="250">
        <f>IF(D748="O",IF(Z748&lt;0,Z748,0),0)</f>
        <v>0</v>
      </c>
      <c r="AB748" s="254">
        <f>IF(B748="CRYPTO",N748,0)</f>
        <v>0</v>
      </c>
      <c r="AC748" s="250">
        <f>IF(D748="O",IF(AB748&lt;0,AB748,0),0)</f>
        <v>0</v>
      </c>
      <c r="AD748" s="255">
        <f>IF(K748&lt;&gt;"",K748-E748,0)</f>
        <v>1.2500000004365575E-2</v>
      </c>
      <c r="AE748" s="255">
        <f>IF(N748&gt;0,AD748,0)</f>
        <v>0</v>
      </c>
      <c r="AF748" s="255">
        <f>IF(N748&lt;0,AD748,0)</f>
        <v>1.2500000004365575E-2</v>
      </c>
      <c r="AG748" s="255">
        <f>IF(N748=0,AD748,0)</f>
        <v>0</v>
      </c>
    </row>
    <row r="749" spans="2:33" ht="15" customHeight="1" x14ac:dyDescent="0.3">
      <c r="B749" s="196" t="s">
        <v>5</v>
      </c>
      <c r="C749" s="197" t="s">
        <v>13</v>
      </c>
      <c r="D749" s="246" t="str">
        <f>IF(E749&lt;&gt;"",IF(K749&lt;&gt;"","C","O"),"")</f>
        <v>C</v>
      </c>
      <c r="E749" s="199">
        <v>44596.583333333336</v>
      </c>
      <c r="F749" s="200" t="s">
        <v>91</v>
      </c>
      <c r="G749" s="235">
        <v>15109.35</v>
      </c>
      <c r="H749" s="235">
        <v>15146.2</v>
      </c>
      <c r="I749" s="247">
        <f>ABS(G749-H749)</f>
        <v>36.850000000000364</v>
      </c>
      <c r="J749" s="235">
        <v>14421.47</v>
      </c>
      <c r="K749" s="199">
        <v>44596.588888888888</v>
      </c>
      <c r="L749" s="235">
        <v>15146.2</v>
      </c>
      <c r="M749" s="248">
        <f>ROUND(IF(C749="L",(L749-G749),(G749-L749)),4)</f>
        <v>-36.85</v>
      </c>
      <c r="N749" s="249">
        <f>IFERROR(ROUND((M749/I749),2),"")</f>
        <v>-1</v>
      </c>
      <c r="O749" s="250">
        <f>IF(D749="O",IF(N749&lt;0,N749,0),0)</f>
        <v>0</v>
      </c>
      <c r="P749" s="251">
        <f>IF(N749&gt;= 0,N749,0)</f>
        <v>0</v>
      </c>
      <c r="Q749" s="251">
        <f>IF(N749&lt;0,N749,0)</f>
        <v>-1</v>
      </c>
      <c r="R74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15453</v>
      </c>
      <c r="T74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49" s="253">
        <f ca="1">IF(Tabla33610673[[#This Row],[Equity]]&lt;Tabla33610673[[#This Row],[Equity Peak]],(Tabla33610673[[#This Row],[Equity Peak]]-Tabla33610673[[#This Row],[Equity]])/Tabla33610673[[#This Row],[Equity Peak]],"")</f>
        <v>6.4296277245547481E-3</v>
      </c>
      <c r="V749" s="254">
        <f>IF(B749="FX",N749,0)</f>
        <v>0</v>
      </c>
      <c r="W749" s="254">
        <f>IF(D749="O",IF(V749&lt;0,V749,0),0)</f>
        <v>0</v>
      </c>
      <c r="X749" s="254">
        <f>IF(B749="COM",N749,0)</f>
        <v>0</v>
      </c>
      <c r="Y749" s="254">
        <f>IF(D749="O",IF(X749&lt;0,X749,0),0)</f>
        <v>0</v>
      </c>
      <c r="Z749" s="254">
        <f>IF(B749="IND",N749,0)</f>
        <v>-1</v>
      </c>
      <c r="AA749" s="250">
        <f>IF(D749="O",IF(Z749&lt;0,Z749,0),0)</f>
        <v>0</v>
      </c>
      <c r="AB749" s="254">
        <f>IF(B749="CRYPTO",N749,0)</f>
        <v>0</v>
      </c>
      <c r="AC749" s="250">
        <f>IF(D749="O",IF(AB749&lt;0,AB749,0),0)</f>
        <v>0</v>
      </c>
      <c r="AD749" s="255">
        <f>IF(K749&lt;&gt;"",K749-E749,0)</f>
        <v>5.5555555518367328E-3</v>
      </c>
      <c r="AE749" s="255">
        <f>IF(N749&gt;0,AD749,0)</f>
        <v>0</v>
      </c>
      <c r="AF749" s="255">
        <f>IF(N749&lt;0,AD749,0)</f>
        <v>5.5555555518367328E-3</v>
      </c>
      <c r="AG749" s="255">
        <f>IF(N749=0,AD749,0)</f>
        <v>0</v>
      </c>
    </row>
    <row r="750" spans="2:33" ht="15" customHeight="1" x14ac:dyDescent="0.3">
      <c r="B750" s="196" t="s">
        <v>7</v>
      </c>
      <c r="C750" s="197" t="s">
        <v>15</v>
      </c>
      <c r="D750" s="246" t="str">
        <f>IF(E750&lt;&gt;"",IF(K750&lt;&gt;"","C","O"),"")</f>
        <v>C</v>
      </c>
      <c r="E750" s="199">
        <v>44595.65625</v>
      </c>
      <c r="F750" s="200" t="s">
        <v>114</v>
      </c>
      <c r="G750" s="235">
        <v>1.13375</v>
      </c>
      <c r="H750" s="235">
        <v>1.1315900000000001</v>
      </c>
      <c r="I750" s="247">
        <f>ABS(G750-H750)</f>
        <v>2.1599999999999397E-3</v>
      </c>
      <c r="J750" s="235">
        <v>1.1531899999999999</v>
      </c>
      <c r="K750" s="199">
        <v>44596.427083333336</v>
      </c>
      <c r="L750" s="235">
        <v>1.1441300000000001</v>
      </c>
      <c r="M750" s="248">
        <f>ROUND(IF(C750="L",(L750-G750),(G750-L750)),4)</f>
        <v>1.04E-2</v>
      </c>
      <c r="N750" s="249">
        <f>IFERROR(ROUND((M750/I750),2),"")</f>
        <v>4.8099999999999996</v>
      </c>
      <c r="O750" s="250">
        <f>IF(D750="O",IF(N750&lt;0,N750,0),0)</f>
        <v>0</v>
      </c>
      <c r="P750" s="251">
        <f>IF(N750&gt;= 0,N750,0)</f>
        <v>4.8099999999999996</v>
      </c>
      <c r="Q750" s="251">
        <f>IF(N750&lt;0,N750,0)</f>
        <v>0</v>
      </c>
      <c r="R75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15553</v>
      </c>
      <c r="T75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15553</v>
      </c>
      <c r="U75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50" s="254">
        <f>IF(B750="FX",N750,0)</f>
        <v>4.8099999999999996</v>
      </c>
      <c r="W750" s="254">
        <f>IF(D750="O",IF(V750&lt;0,V750,0),0)</f>
        <v>0</v>
      </c>
      <c r="X750" s="254">
        <f>IF(B750="COM",N750,0)</f>
        <v>0</v>
      </c>
      <c r="Y750" s="254">
        <f>IF(D750="O",IF(X750&lt;0,X750,0),0)</f>
        <v>0</v>
      </c>
      <c r="Z750" s="254">
        <f>IF(B750="IND",N750,0)</f>
        <v>0</v>
      </c>
      <c r="AA750" s="250">
        <f>IF(D750="O",IF(Z750&lt;0,Z750,0),0)</f>
        <v>0</v>
      </c>
      <c r="AB750" s="254">
        <f>IF(B750="CRYPTO",N750,0)</f>
        <v>0</v>
      </c>
      <c r="AC750" s="250">
        <f>IF(D750="O",IF(AB750&lt;0,AB750,0),0)</f>
        <v>0</v>
      </c>
      <c r="AD750" s="255">
        <f>IF(K750&lt;&gt;"",K750-E750,0)</f>
        <v>0.77083333333575865</v>
      </c>
      <c r="AE750" s="255">
        <f>IF(N750&gt;0,AD750,0)</f>
        <v>0.77083333333575865</v>
      </c>
      <c r="AF750" s="255">
        <f>IF(N750&lt;0,AD750,0)</f>
        <v>0</v>
      </c>
      <c r="AG750" s="255">
        <f>IF(N750=0,AD750,0)</f>
        <v>0</v>
      </c>
    </row>
    <row r="751" spans="2:33" ht="15" customHeight="1" x14ac:dyDescent="0.3">
      <c r="B751" s="196" t="s">
        <v>5</v>
      </c>
      <c r="C751" s="197" t="s">
        <v>13</v>
      </c>
      <c r="D751" s="246" t="str">
        <f>IF(E751&lt;&gt;"",IF(K751&lt;&gt;"","C","O"),"")</f>
        <v>C</v>
      </c>
      <c r="E751" s="199">
        <v>44595.791666666664</v>
      </c>
      <c r="F751" s="200" t="s">
        <v>92</v>
      </c>
      <c r="G751" s="235">
        <v>14672.86</v>
      </c>
      <c r="H751" s="235">
        <v>14728.13</v>
      </c>
      <c r="I751" s="247">
        <f>ABS(G751-H751)</f>
        <v>55.269999999998618</v>
      </c>
      <c r="J751" s="235">
        <v>13641.08</v>
      </c>
      <c r="K751" s="199">
        <v>44595.960416666669</v>
      </c>
      <c r="L751" s="235">
        <v>14689.51</v>
      </c>
      <c r="M751" s="248">
        <f>ROUND(IF(C751="L",(L751-G751),(G751-L751)),4)</f>
        <v>-16.649999999999999</v>
      </c>
      <c r="N751" s="249">
        <f>IFERROR(ROUND((M751/I751),2),"")</f>
        <v>-0.3</v>
      </c>
      <c r="O751" s="250">
        <f>IF(D751="O",IF(N751&lt;0,N751,0),0)</f>
        <v>0</v>
      </c>
      <c r="P751" s="251">
        <f>IF(N751&gt;= 0,N751,0)</f>
        <v>0</v>
      </c>
      <c r="Q751" s="251">
        <f>IF(N751&lt;0,N751,0)</f>
        <v>-0.3</v>
      </c>
      <c r="R75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15072</v>
      </c>
      <c r="T75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15232</v>
      </c>
      <c r="U751" s="253">
        <f ca="1">IF(Tabla33610673[[#This Row],[Equity]]&lt;Tabla33610673[[#This Row],[Equity Peak]],(Tabla33610673[[#This Row],[Equity Peak]]-Tabla33610673[[#This Row],[Equity]])/Tabla33610673[[#This Row],[Equity Peak]],"")</f>
        <v>1.050420168067227E-2</v>
      </c>
      <c r="V751" s="254">
        <f>IF(B751="FX",N751,0)</f>
        <v>0</v>
      </c>
      <c r="W751" s="254">
        <f>IF(D751="O",IF(V751&lt;0,V751,0),0)</f>
        <v>0</v>
      </c>
      <c r="X751" s="254">
        <f>IF(B751="COM",N751,0)</f>
        <v>0</v>
      </c>
      <c r="Y751" s="254">
        <f>IF(D751="O",IF(X751&lt;0,X751,0),0)</f>
        <v>0</v>
      </c>
      <c r="Z751" s="254">
        <f>IF(B751="IND",N751,0)</f>
        <v>-0.3</v>
      </c>
      <c r="AA751" s="250">
        <f>IF(D751="O",IF(Z751&lt;0,Z751,0),0)</f>
        <v>0</v>
      </c>
      <c r="AB751" s="254">
        <f>IF(B751="CRYPTO",N751,0)</f>
        <v>0</v>
      </c>
      <c r="AC751" s="250">
        <f>IF(D751="O",IF(AB751&lt;0,AB751,0),0)</f>
        <v>0</v>
      </c>
      <c r="AD751" s="255">
        <f>IF(K751&lt;&gt;"",K751-E751,0)</f>
        <v>0.16875000000436557</v>
      </c>
      <c r="AE751" s="255">
        <f>IF(N751&gt;0,AD751,0)</f>
        <v>0</v>
      </c>
      <c r="AF751" s="255">
        <f>IF(N751&lt;0,AD751,0)</f>
        <v>0.16875000000436557</v>
      </c>
      <c r="AG751" s="255">
        <f>IF(N751=0,AD751,0)</f>
        <v>0</v>
      </c>
    </row>
    <row r="752" spans="2:33" ht="15" customHeight="1" x14ac:dyDescent="0.3">
      <c r="B752" s="196" t="s">
        <v>5</v>
      </c>
      <c r="C752" s="197" t="s">
        <v>13</v>
      </c>
      <c r="D752" s="246" t="str">
        <f>IF(E752&lt;&gt;"",IF(K752&lt;&gt;"","C","O"),"")</f>
        <v>C</v>
      </c>
      <c r="E752" s="199">
        <v>44595.791666666664</v>
      </c>
      <c r="F752" s="200" t="s">
        <v>93</v>
      </c>
      <c r="G752" s="235">
        <v>14672.86</v>
      </c>
      <c r="H752" s="235">
        <v>14730.7</v>
      </c>
      <c r="I752" s="247">
        <f>ABS(G752-H752)</f>
        <v>57.840000000000146</v>
      </c>
      <c r="J752" s="235">
        <v>14055.91</v>
      </c>
      <c r="K752" s="199">
        <v>44595.959722222222</v>
      </c>
      <c r="L752" s="235">
        <v>14632.37</v>
      </c>
      <c r="M752" s="248">
        <f>ROUND(IF(C752="L",(L752-G752),(G752-L752)),4)</f>
        <v>40.49</v>
      </c>
      <c r="N752" s="249">
        <f>IFERROR(ROUND((M752/I752),2),"")</f>
        <v>0.7</v>
      </c>
      <c r="O752" s="250">
        <f>IF(D752="O",IF(N752&lt;0,N752,0),0)</f>
        <v>0</v>
      </c>
      <c r="P752" s="251">
        <f>IF(N752&gt;= 0,N752,0)</f>
        <v>0.7</v>
      </c>
      <c r="Q752" s="251">
        <f>IF(N752&lt;0,N752,0)</f>
        <v>0</v>
      </c>
      <c r="R75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15102</v>
      </c>
      <c r="T75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15232</v>
      </c>
      <c r="U752" s="253">
        <f ca="1">IF(Tabla33610673[[#This Row],[Equity]]&lt;Tabla33610673[[#This Row],[Equity Peak]],(Tabla33610673[[#This Row],[Equity Peak]]-Tabla33610673[[#This Row],[Equity]])/Tabla33610673[[#This Row],[Equity Peak]],"")</f>
        <v>8.5346638655462177E-3</v>
      </c>
      <c r="V752" s="254">
        <f>IF(B752="FX",N752,0)</f>
        <v>0</v>
      </c>
      <c r="W752" s="254">
        <f>IF(D752="O",IF(V752&lt;0,V752,0),0)</f>
        <v>0</v>
      </c>
      <c r="X752" s="254">
        <f>IF(B752="COM",N752,0)</f>
        <v>0</v>
      </c>
      <c r="Y752" s="254">
        <f>IF(D752="O",IF(X752&lt;0,X752,0),0)</f>
        <v>0</v>
      </c>
      <c r="Z752" s="254">
        <f>IF(B752="IND",N752,0)</f>
        <v>0.7</v>
      </c>
      <c r="AA752" s="250">
        <f>IF(D752="O",IF(Z752&lt;0,Z752,0),0)</f>
        <v>0</v>
      </c>
      <c r="AB752" s="254">
        <f>IF(B752="CRYPTO",N752,0)</f>
        <v>0</v>
      </c>
      <c r="AC752" s="250">
        <f>IF(D752="O",IF(AB752&lt;0,AB752,0),0)</f>
        <v>0</v>
      </c>
      <c r="AD752" s="255">
        <f>IF(K752&lt;&gt;"",K752-E752,0)</f>
        <v>0.1680555555576575</v>
      </c>
      <c r="AE752" s="255">
        <f>IF(N752&gt;0,AD752,0)</f>
        <v>0.1680555555576575</v>
      </c>
      <c r="AF752" s="255">
        <f>IF(N752&lt;0,AD752,0)</f>
        <v>0</v>
      </c>
      <c r="AG752" s="255">
        <f>IF(N752=0,AD752,0)</f>
        <v>0</v>
      </c>
    </row>
    <row r="753" spans="2:33" ht="15" customHeight="1" x14ac:dyDescent="0.3">
      <c r="B753" s="196" t="s">
        <v>5</v>
      </c>
      <c r="C753" s="197" t="s">
        <v>13</v>
      </c>
      <c r="D753" s="246" t="str">
        <f>IF(E753&lt;&gt;"",IF(K753&lt;&gt;"","C","O"),"")</f>
        <v>C</v>
      </c>
      <c r="E753" s="199">
        <v>44595.666666666664</v>
      </c>
      <c r="F753" s="200" t="s">
        <v>92</v>
      </c>
      <c r="G753" s="235">
        <v>14705.88</v>
      </c>
      <c r="H753" s="235">
        <v>14757.89</v>
      </c>
      <c r="I753" s="247">
        <f>ABS(G753-H753)</f>
        <v>52.010000000000218</v>
      </c>
      <c r="J753" s="235">
        <v>13735.08</v>
      </c>
      <c r="K753" s="199">
        <v>44595.692361111112</v>
      </c>
      <c r="L753" s="235">
        <v>14757.89</v>
      </c>
      <c r="M753" s="248">
        <f>ROUND(IF(C753="L",(L753-G753),(G753-L753)),4)</f>
        <v>-52.01</v>
      </c>
      <c r="N753" s="249">
        <f>IFERROR(ROUND((M753/I753),2),"")</f>
        <v>-1</v>
      </c>
      <c r="O753" s="250">
        <f>IF(D753="O",IF(N753&lt;0,N753,0),0)</f>
        <v>0</v>
      </c>
      <c r="P753" s="251">
        <f>IF(N753&gt;= 0,N753,0)</f>
        <v>0</v>
      </c>
      <c r="Q753" s="251">
        <f>IF(N753&lt;0,N753,0)</f>
        <v>-1</v>
      </c>
      <c r="R75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15032</v>
      </c>
      <c r="T75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15232</v>
      </c>
      <c r="U753" s="253">
        <f ca="1">IF(Tabla33610673[[#This Row],[Equity]]&lt;Tabla33610673[[#This Row],[Equity Peak]],(Tabla33610673[[#This Row],[Equity Peak]]-Tabla33610673[[#This Row],[Equity]])/Tabla33610673[[#This Row],[Equity Peak]],"")</f>
        <v>1.3130252100840336E-2</v>
      </c>
      <c r="V753" s="254">
        <f>IF(B753="FX",N753,0)</f>
        <v>0</v>
      </c>
      <c r="W753" s="254">
        <f>IF(D753="O",IF(V753&lt;0,V753,0),0)</f>
        <v>0</v>
      </c>
      <c r="X753" s="254">
        <f>IF(B753="COM",N753,0)</f>
        <v>0</v>
      </c>
      <c r="Y753" s="254">
        <f>IF(D753="O",IF(X753&lt;0,X753,0),0)</f>
        <v>0</v>
      </c>
      <c r="Z753" s="254">
        <f>IF(B753="IND",N753,0)</f>
        <v>-1</v>
      </c>
      <c r="AA753" s="250">
        <f>IF(D753="O",IF(Z753&lt;0,Z753,0),0)</f>
        <v>0</v>
      </c>
      <c r="AB753" s="254">
        <f>IF(B753="CRYPTO",N753,0)</f>
        <v>0</v>
      </c>
      <c r="AC753" s="250">
        <f>IF(D753="O",IF(AB753&lt;0,AB753,0),0)</f>
        <v>0</v>
      </c>
      <c r="AD753" s="255">
        <f>IF(K753&lt;&gt;"",K753-E753,0)</f>
        <v>2.5694444448163267E-2</v>
      </c>
      <c r="AE753" s="255">
        <f>IF(N753&gt;0,AD753,0)</f>
        <v>0</v>
      </c>
      <c r="AF753" s="255">
        <f>IF(N753&lt;0,AD753,0)</f>
        <v>2.5694444448163267E-2</v>
      </c>
      <c r="AG753" s="255">
        <f>IF(N753=0,AD753,0)</f>
        <v>0</v>
      </c>
    </row>
    <row r="754" spans="2:33" ht="15" customHeight="1" x14ac:dyDescent="0.3">
      <c r="B754" s="196" t="s">
        <v>5</v>
      </c>
      <c r="C754" s="197" t="s">
        <v>13</v>
      </c>
      <c r="D754" s="246" t="str">
        <f>IF(E754&lt;&gt;"",IF(K754&lt;&gt;"","C","O"),"")</f>
        <v>C</v>
      </c>
      <c r="E754" s="199">
        <v>44595.666666666664</v>
      </c>
      <c r="F754" s="200" t="s">
        <v>93</v>
      </c>
      <c r="G754" s="235">
        <v>14705.88</v>
      </c>
      <c r="H754" s="235">
        <v>14766</v>
      </c>
      <c r="I754" s="247">
        <f>ABS(G754-H754)</f>
        <v>60.1200000000008</v>
      </c>
      <c r="J754" s="235">
        <v>14064.62</v>
      </c>
      <c r="K754" s="199">
        <v>44595.692361111112</v>
      </c>
      <c r="L754" s="235">
        <v>14766</v>
      </c>
      <c r="M754" s="248">
        <f>ROUND(IF(C754="L",(L754-G754),(G754-L754)),4)</f>
        <v>-60.12</v>
      </c>
      <c r="N754" s="249">
        <f>IFERROR(ROUND((M754/I754),2),"")</f>
        <v>-1</v>
      </c>
      <c r="O754" s="250">
        <f>IF(D754="O",IF(N754&lt;0,N754,0),0)</f>
        <v>0</v>
      </c>
      <c r="P754" s="251">
        <f>IF(N754&gt;= 0,N754,0)</f>
        <v>0</v>
      </c>
      <c r="Q754" s="251">
        <f>IF(N754&lt;0,N754,0)</f>
        <v>-1</v>
      </c>
      <c r="R75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15132</v>
      </c>
      <c r="T75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15232</v>
      </c>
      <c r="U754" s="253">
        <f ca="1">IF(Tabla33610673[[#This Row],[Equity]]&lt;Tabla33610673[[#This Row],[Equity Peak]],(Tabla33610673[[#This Row],[Equity Peak]]-Tabla33610673[[#This Row],[Equity]])/Tabla33610673[[#This Row],[Equity Peak]],"")</f>
        <v>6.5651260504201682E-3</v>
      </c>
      <c r="V754" s="254">
        <f>IF(B754="FX",N754,0)</f>
        <v>0</v>
      </c>
      <c r="W754" s="254">
        <f>IF(D754="O",IF(V754&lt;0,V754,0),0)</f>
        <v>0</v>
      </c>
      <c r="X754" s="254">
        <f>IF(B754="COM",N754,0)</f>
        <v>0</v>
      </c>
      <c r="Y754" s="254">
        <f>IF(D754="O",IF(X754&lt;0,X754,0),0)</f>
        <v>0</v>
      </c>
      <c r="Z754" s="254">
        <f>IF(B754="IND",N754,0)</f>
        <v>-1</v>
      </c>
      <c r="AA754" s="250">
        <f>IF(D754="O",IF(Z754&lt;0,Z754,0),0)</f>
        <v>0</v>
      </c>
      <c r="AB754" s="254">
        <f>IF(B754="CRYPTO",N754,0)</f>
        <v>0</v>
      </c>
      <c r="AC754" s="250">
        <f>IF(D754="O",IF(AB754&lt;0,AB754,0),0)</f>
        <v>0</v>
      </c>
      <c r="AD754" s="255">
        <f>IF(K754&lt;&gt;"",K754-E754,0)</f>
        <v>2.5694444448163267E-2</v>
      </c>
      <c r="AE754" s="255">
        <f>IF(N754&gt;0,AD754,0)</f>
        <v>0</v>
      </c>
      <c r="AF754" s="255">
        <f>IF(N754&lt;0,AD754,0)</f>
        <v>2.5694444448163267E-2</v>
      </c>
      <c r="AG754" s="255">
        <f>IF(N754=0,AD754,0)</f>
        <v>0</v>
      </c>
    </row>
    <row r="755" spans="2:33" ht="15" customHeight="1" x14ac:dyDescent="0.3">
      <c r="B755" s="196" t="s">
        <v>7</v>
      </c>
      <c r="C755" s="197" t="s">
        <v>15</v>
      </c>
      <c r="D755" s="246" t="str">
        <f>IF(E755&lt;&gt;"",IF(K755&lt;&gt;"","C","O"),"")</f>
        <v>C</v>
      </c>
      <c r="E755" s="199">
        <v>44594.885416666664</v>
      </c>
      <c r="F755" s="200" t="s">
        <v>115</v>
      </c>
      <c r="G755" s="235">
        <v>155.345</v>
      </c>
      <c r="H755" s="235">
        <v>155.018</v>
      </c>
      <c r="I755" s="247">
        <f>ABS(G755-H755)</f>
        <v>0.32699999999999818</v>
      </c>
      <c r="J755" s="235">
        <v>156.279</v>
      </c>
      <c r="K755" s="199">
        <v>44595.585416666669</v>
      </c>
      <c r="L755" s="235">
        <v>156.279</v>
      </c>
      <c r="M755" s="248">
        <f>ROUND(IF(C755="L",(L755-G755),(G755-L755)),4)</f>
        <v>0.93400000000000005</v>
      </c>
      <c r="N755" s="249">
        <f>IFERROR(ROUND((M755/I755),2),"")</f>
        <v>2.86</v>
      </c>
      <c r="O755" s="250">
        <f>IF(D755="O",IF(N755&lt;0,N755,0),0)</f>
        <v>0</v>
      </c>
      <c r="P755" s="251">
        <f>IF(N755&gt;= 0,N755,0)</f>
        <v>2.86</v>
      </c>
      <c r="Q755" s="251">
        <f>IF(N755&lt;0,N755,0)</f>
        <v>0</v>
      </c>
      <c r="R75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15232</v>
      </c>
      <c r="T75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15232</v>
      </c>
      <c r="U75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55" s="254">
        <f>IF(B755="FX",N755,0)</f>
        <v>2.86</v>
      </c>
      <c r="W755" s="254">
        <f>IF(D755="O",IF(V755&lt;0,V755,0),0)</f>
        <v>0</v>
      </c>
      <c r="X755" s="254">
        <f>IF(B755="COM",N755,0)</f>
        <v>0</v>
      </c>
      <c r="Y755" s="254">
        <f>IF(D755="O",IF(X755&lt;0,X755,0),0)</f>
        <v>0</v>
      </c>
      <c r="Z755" s="254">
        <f>IF(B755="IND",N755,0)</f>
        <v>0</v>
      </c>
      <c r="AA755" s="250">
        <f>IF(D755="O",IF(Z755&lt;0,Z755,0),0)</f>
        <v>0</v>
      </c>
      <c r="AB755" s="254">
        <f>IF(B755="CRYPTO",N755,0)</f>
        <v>0</v>
      </c>
      <c r="AC755" s="250">
        <f>IF(D755="O",IF(AB755&lt;0,AB755,0),0)</f>
        <v>0</v>
      </c>
      <c r="AD755" s="255">
        <f>IF(K755&lt;&gt;"",K755-E755,0)</f>
        <v>0.70000000000436557</v>
      </c>
      <c r="AE755" s="255">
        <f>IF(N755&gt;0,AD755,0)</f>
        <v>0.70000000000436557</v>
      </c>
      <c r="AF755" s="255">
        <f>IF(N755&lt;0,AD755,0)</f>
        <v>0</v>
      </c>
      <c r="AG755" s="255">
        <f>IF(N755=0,AD755,0)</f>
        <v>0</v>
      </c>
    </row>
    <row r="756" spans="2:33" ht="15" customHeight="1" x14ac:dyDescent="0.3">
      <c r="B756" s="196" t="s">
        <v>7</v>
      </c>
      <c r="C756" s="197" t="s">
        <v>15</v>
      </c>
      <c r="D756" s="246" t="str">
        <f>IF(E756&lt;&gt;"",IF(K756&lt;&gt;"","C","O"),"")</f>
        <v>C</v>
      </c>
      <c r="E756" s="199">
        <v>44594.53125</v>
      </c>
      <c r="F756" s="200" t="s">
        <v>114</v>
      </c>
      <c r="G756" s="235">
        <v>1.13117</v>
      </c>
      <c r="H756" s="235">
        <v>1.12965</v>
      </c>
      <c r="I756" s="247">
        <f>ABS(G756-H756)</f>
        <v>1.5199999999999658E-3</v>
      </c>
      <c r="J756" s="235">
        <v>1.1448400000000001</v>
      </c>
      <c r="K756" s="199">
        <v>44594.716666666667</v>
      </c>
      <c r="L756" s="235">
        <v>1.1299699999999999</v>
      </c>
      <c r="M756" s="248">
        <f>ROUND(IF(C756="L",(L756-G756),(G756-L756)),4)</f>
        <v>-1.1999999999999999E-3</v>
      </c>
      <c r="N756" s="249">
        <f>IFERROR(ROUND((M756/I756),2),"")</f>
        <v>-0.79</v>
      </c>
      <c r="O756" s="250">
        <f>IF(D756="O",IF(N756&lt;0,N756,0),0)</f>
        <v>0</v>
      </c>
      <c r="P756" s="251">
        <f>IF(N756&gt;= 0,N756,0)</f>
        <v>0</v>
      </c>
      <c r="Q756" s="251">
        <f>IF(N756&lt;0,N756,0)</f>
        <v>-0.79</v>
      </c>
      <c r="R75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14946</v>
      </c>
      <c r="T75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15025</v>
      </c>
      <c r="U756" s="253">
        <f ca="1">IF(Tabla33610673[[#This Row],[Equity]]&lt;Tabla33610673[[#This Row],[Equity Peak]],(Tabla33610673[[#This Row],[Equity Peak]]-Tabla33610673[[#This Row],[Equity]])/Tabla33610673[[#This Row],[Equity Peak]],"")</f>
        <v>5.257903494176373E-3</v>
      </c>
      <c r="V756" s="254">
        <f>IF(B756="FX",N756,0)</f>
        <v>-0.79</v>
      </c>
      <c r="W756" s="254">
        <f>IF(D756="O",IF(V756&lt;0,V756,0),0)</f>
        <v>0</v>
      </c>
      <c r="X756" s="254">
        <f>IF(B756="COM",N756,0)</f>
        <v>0</v>
      </c>
      <c r="Y756" s="254">
        <f>IF(D756="O",IF(X756&lt;0,X756,0),0)</f>
        <v>0</v>
      </c>
      <c r="Z756" s="254">
        <f>IF(B756="IND",N756,0)</f>
        <v>0</v>
      </c>
      <c r="AA756" s="250">
        <f>IF(D756="O",IF(Z756&lt;0,Z756,0),0)</f>
        <v>0</v>
      </c>
      <c r="AB756" s="254">
        <f>IF(B756="CRYPTO",N756,0)</f>
        <v>0</v>
      </c>
      <c r="AC756" s="250">
        <f>IF(D756="O",IF(AB756&lt;0,AB756,0),0)</f>
        <v>0</v>
      </c>
      <c r="AD756" s="255">
        <f>IF(K756&lt;&gt;"",K756-E756,0)</f>
        <v>0.18541666666715173</v>
      </c>
      <c r="AE756" s="255">
        <f>IF(N756&gt;0,AD756,0)</f>
        <v>0</v>
      </c>
      <c r="AF756" s="255">
        <f>IF(N756&lt;0,AD756,0)</f>
        <v>0.18541666666715173</v>
      </c>
      <c r="AG756" s="255">
        <f>IF(N756=0,AD756,0)</f>
        <v>0</v>
      </c>
    </row>
    <row r="757" spans="2:33" ht="15" customHeight="1" x14ac:dyDescent="0.3">
      <c r="B757" s="196" t="s">
        <v>5</v>
      </c>
      <c r="C757" s="197" t="s">
        <v>15</v>
      </c>
      <c r="D757" s="246" t="str">
        <f>IF(E757&lt;&gt;"",IF(K757&lt;&gt;"","C","O"),"")</f>
        <v>C</v>
      </c>
      <c r="E757" s="199">
        <v>44593.96875</v>
      </c>
      <c r="F757" s="200" t="s">
        <v>92</v>
      </c>
      <c r="G757" s="235">
        <v>15067.64</v>
      </c>
      <c r="H757" s="235">
        <v>15010.45</v>
      </c>
      <c r="I757" s="247">
        <f>ABS(G757-H757)</f>
        <v>57.18999999999869</v>
      </c>
      <c r="J757" s="235">
        <v>16135.28</v>
      </c>
      <c r="K757" s="199">
        <v>44594.689583333333</v>
      </c>
      <c r="L757" s="235">
        <v>15119.59</v>
      </c>
      <c r="M757" s="248">
        <f>ROUND(IF(C757="L",(L757-G757),(G757-L757)),4)</f>
        <v>51.95</v>
      </c>
      <c r="N757" s="249">
        <f>IFERROR(ROUND((M757/I757),2),"")</f>
        <v>0.91</v>
      </c>
      <c r="O757" s="250">
        <f>IF(D757="O",IF(N757&lt;0,N757,0),0)</f>
        <v>0</v>
      </c>
      <c r="P757" s="251">
        <f>IF(N757&gt;= 0,N757,0)</f>
        <v>0.91</v>
      </c>
      <c r="Q757" s="251">
        <f>IF(N757&lt;0,N757,0)</f>
        <v>0</v>
      </c>
      <c r="R75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15025</v>
      </c>
      <c r="T75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15025</v>
      </c>
      <c r="U75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57" s="254">
        <f>IF(B757="FX",N757,0)</f>
        <v>0</v>
      </c>
      <c r="W757" s="254">
        <f>IF(D757="O",IF(V757&lt;0,V757,0),0)</f>
        <v>0</v>
      </c>
      <c r="X757" s="254">
        <f>IF(B757="COM",N757,0)</f>
        <v>0</v>
      </c>
      <c r="Y757" s="254">
        <f>IF(D757="O",IF(X757&lt;0,X757,0),0)</f>
        <v>0</v>
      </c>
      <c r="Z757" s="254">
        <f>IF(B757="IND",N757,0)</f>
        <v>0.91</v>
      </c>
      <c r="AA757" s="250">
        <f>IF(D757="O",IF(Z757&lt;0,Z757,0),0)</f>
        <v>0</v>
      </c>
      <c r="AB757" s="254">
        <f>IF(B757="CRYPTO",N757,0)</f>
        <v>0</v>
      </c>
      <c r="AC757" s="250">
        <f>IF(D757="O",IF(AB757&lt;0,AB757,0),0)</f>
        <v>0</v>
      </c>
      <c r="AD757" s="255">
        <f>IF(K757&lt;&gt;"",K757-E757,0)</f>
        <v>0.72083333333284827</v>
      </c>
      <c r="AE757" s="255">
        <f>IF(N757&gt;0,AD757,0)</f>
        <v>0.72083333333284827</v>
      </c>
      <c r="AF757" s="255">
        <f>IF(N757&lt;0,AD757,0)</f>
        <v>0</v>
      </c>
      <c r="AG757" s="255">
        <f>IF(N757=0,AD757,0)</f>
        <v>0</v>
      </c>
    </row>
    <row r="758" spans="2:33" ht="15" customHeight="1" x14ac:dyDescent="0.3">
      <c r="B758" s="196" t="s">
        <v>5</v>
      </c>
      <c r="C758" s="197" t="s">
        <v>15</v>
      </c>
      <c r="D758" s="246" t="str">
        <f>IF(E758&lt;&gt;"",IF(K758&lt;&gt;"","C","O"),"")</f>
        <v>C</v>
      </c>
      <c r="E758" s="199">
        <v>44593.947916666664</v>
      </c>
      <c r="F758" s="200" t="s">
        <v>93</v>
      </c>
      <c r="G758" s="235">
        <v>14971.84</v>
      </c>
      <c r="H758" s="235">
        <v>14920.75</v>
      </c>
      <c r="I758" s="247">
        <f>ABS(G758-H758)</f>
        <v>51.090000000000146</v>
      </c>
      <c r="J758" s="235">
        <v>15516.75</v>
      </c>
      <c r="K758" s="199">
        <v>44594.688194444447</v>
      </c>
      <c r="L758" s="235">
        <v>15149.66</v>
      </c>
      <c r="M758" s="248">
        <f>ROUND(IF(C758="L",(L758-G758),(G758-L758)),4)</f>
        <v>177.82</v>
      </c>
      <c r="N758" s="249">
        <f>IFERROR(ROUND((M758/I758),2),"")</f>
        <v>3.48</v>
      </c>
      <c r="O758" s="250">
        <f>IF(D758="O",IF(N758&lt;0,N758,0),0)</f>
        <v>0</v>
      </c>
      <c r="P758" s="251">
        <f>IF(N758&gt;= 0,N758,0)</f>
        <v>3.48</v>
      </c>
      <c r="Q758" s="251">
        <f>IF(N758&lt;0,N758,0)</f>
        <v>0</v>
      </c>
      <c r="R75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14934</v>
      </c>
      <c r="T75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14934</v>
      </c>
      <c r="U75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58" s="254">
        <f>IF(B758="FX",N758,0)</f>
        <v>0</v>
      </c>
      <c r="W758" s="254">
        <f>IF(D758="O",IF(V758&lt;0,V758,0),0)</f>
        <v>0</v>
      </c>
      <c r="X758" s="254">
        <f>IF(B758="COM",N758,0)</f>
        <v>0</v>
      </c>
      <c r="Y758" s="254">
        <f>IF(D758="O",IF(X758&lt;0,X758,0),0)</f>
        <v>0</v>
      </c>
      <c r="Z758" s="254">
        <f>IF(B758="IND",N758,0)</f>
        <v>3.48</v>
      </c>
      <c r="AA758" s="250">
        <f>IF(D758="O",IF(Z758&lt;0,Z758,0),0)</f>
        <v>0</v>
      </c>
      <c r="AB758" s="254">
        <f>IF(B758="CRYPTO",N758,0)</f>
        <v>0</v>
      </c>
      <c r="AC758" s="250">
        <f>IF(D758="O",IF(AB758&lt;0,AB758,0),0)</f>
        <v>0</v>
      </c>
      <c r="AD758" s="255">
        <f>IF(K758&lt;&gt;"",K758-E758,0)</f>
        <v>0.74027777778246673</v>
      </c>
      <c r="AE758" s="255">
        <f>IF(N758&gt;0,AD758,0)</f>
        <v>0.74027777778246673</v>
      </c>
      <c r="AF758" s="255">
        <f>IF(N758&lt;0,AD758,0)</f>
        <v>0</v>
      </c>
      <c r="AG758" s="255">
        <f>IF(N758=0,AD758,0)</f>
        <v>0</v>
      </c>
    </row>
    <row r="759" spans="2:33" ht="15" customHeight="1" x14ac:dyDescent="0.3">
      <c r="B759" s="196" t="s">
        <v>5</v>
      </c>
      <c r="C759" s="197" t="s">
        <v>15</v>
      </c>
      <c r="D759" s="246" t="str">
        <f>IF(E759&lt;&gt;"",IF(K759&lt;&gt;"","C","O"),"")</f>
        <v>C</v>
      </c>
      <c r="E759" s="199">
        <v>44594.104166666664</v>
      </c>
      <c r="F759" s="200" t="s">
        <v>91</v>
      </c>
      <c r="G759" s="235">
        <v>15691.17</v>
      </c>
      <c r="H759" s="235">
        <v>15638.82</v>
      </c>
      <c r="I759" s="247">
        <f>ABS(G759-H759)</f>
        <v>52.350000000000364</v>
      </c>
      <c r="J759" s="235">
        <v>16668.349999999999</v>
      </c>
      <c r="K759" s="199">
        <v>44594.553472222222</v>
      </c>
      <c r="L759" s="235">
        <v>15650.5</v>
      </c>
      <c r="M759" s="248">
        <f>ROUND(IF(C759="L",(L759-G759),(G759-L759)),4)</f>
        <v>-40.67</v>
      </c>
      <c r="N759" s="249">
        <f>IFERROR(ROUND((M759/I759),2),"")</f>
        <v>-0.78</v>
      </c>
      <c r="O759" s="250">
        <f>IF(D759="O",IF(N759&lt;0,N759,0),0)</f>
        <v>0</v>
      </c>
      <c r="P759" s="251">
        <f>IF(N759&gt;= 0,N759,0)</f>
        <v>0</v>
      </c>
      <c r="Q759" s="251">
        <f>IF(N759&lt;0,N759,0)</f>
        <v>-0.78</v>
      </c>
      <c r="R75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14586</v>
      </c>
      <c r="T75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14722</v>
      </c>
      <c r="U759" s="253">
        <f ca="1">IF(Tabla33610673[[#This Row],[Equity]]&lt;Tabla33610673[[#This Row],[Equity Peak]],(Tabla33610673[[#This Row],[Equity Peak]]-Tabla33610673[[#This Row],[Equity]])/Tabla33610673[[#This Row],[Equity Peak]],"")</f>
        <v>9.2378752886836026E-3</v>
      </c>
      <c r="V759" s="254">
        <f>IF(B759="FX",N759,0)</f>
        <v>0</v>
      </c>
      <c r="W759" s="254">
        <f>IF(D759="O",IF(V759&lt;0,V759,0),0)</f>
        <v>0</v>
      </c>
      <c r="X759" s="254">
        <f>IF(B759="COM",N759,0)</f>
        <v>0</v>
      </c>
      <c r="Y759" s="254">
        <f>IF(D759="O",IF(X759&lt;0,X759,0),0)</f>
        <v>0</v>
      </c>
      <c r="Z759" s="254">
        <f>IF(B759="IND",N759,0)</f>
        <v>-0.78</v>
      </c>
      <c r="AA759" s="250">
        <f>IF(D759="O",IF(Z759&lt;0,Z759,0),0)</f>
        <v>0</v>
      </c>
      <c r="AB759" s="254">
        <f>IF(B759="CRYPTO",N759,0)</f>
        <v>0</v>
      </c>
      <c r="AC759" s="250">
        <f>IF(D759="O",IF(AB759&lt;0,AB759,0),0)</f>
        <v>0</v>
      </c>
      <c r="AD759" s="255">
        <f>IF(K759&lt;&gt;"",K759-E759,0)</f>
        <v>0.4493055555576575</v>
      </c>
      <c r="AE759" s="255">
        <f>IF(N759&gt;0,AD759,0)</f>
        <v>0</v>
      </c>
      <c r="AF759" s="255">
        <f>IF(N759&lt;0,AD759,0)</f>
        <v>0.4493055555576575</v>
      </c>
      <c r="AG759" s="255">
        <f>IF(N759=0,AD759,0)</f>
        <v>0</v>
      </c>
    </row>
    <row r="760" spans="2:33" ht="15" customHeight="1" x14ac:dyDescent="0.3">
      <c r="B760" s="196" t="s">
        <v>5</v>
      </c>
      <c r="C760" s="197" t="s">
        <v>15</v>
      </c>
      <c r="D760" s="246" t="str">
        <f>IF(E760&lt;&gt;"",IF(K760&lt;&gt;"","C","O"),"")</f>
        <v>C</v>
      </c>
      <c r="E760" s="199">
        <v>44592.791666666664</v>
      </c>
      <c r="F760" s="200" t="s">
        <v>93</v>
      </c>
      <c r="G760" s="235">
        <v>14777.41</v>
      </c>
      <c r="H760" s="235">
        <v>14712.38</v>
      </c>
      <c r="I760" s="247">
        <f>ABS(G760-H760)</f>
        <v>65.030000000000655</v>
      </c>
      <c r="J760" s="235">
        <v>15471.05</v>
      </c>
      <c r="K760" s="199">
        <v>44593.695833333331</v>
      </c>
      <c r="L760" s="235">
        <v>14842.63</v>
      </c>
      <c r="M760" s="248">
        <f>ROUND(IF(C760="L",(L760-G760),(G760-L760)),4)</f>
        <v>65.22</v>
      </c>
      <c r="N760" s="249">
        <f>IFERROR(ROUND((M760/I760),2),"")</f>
        <v>1</v>
      </c>
      <c r="O760" s="250">
        <f>IF(D760="O",IF(N760&lt;0,N760,0),0)</f>
        <v>0</v>
      </c>
      <c r="P760" s="251">
        <f>IF(N760&gt;= 0,N760,0)</f>
        <v>1</v>
      </c>
      <c r="Q760" s="251">
        <f>IF(N760&lt;0,N760,0)</f>
        <v>0</v>
      </c>
      <c r="R76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14664</v>
      </c>
      <c r="T76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14722</v>
      </c>
      <c r="U760" s="253">
        <f ca="1">IF(Tabla33610673[[#This Row],[Equity]]&lt;Tabla33610673[[#This Row],[Equity Peak]],(Tabla33610673[[#This Row],[Equity Peak]]-Tabla33610673[[#This Row],[Equity]])/Tabla33610673[[#This Row],[Equity Peak]],"")</f>
        <v>3.9396821084091834E-3</v>
      </c>
      <c r="V760" s="254">
        <f>IF(B760="FX",N760,0)</f>
        <v>0</v>
      </c>
      <c r="W760" s="254">
        <f>IF(D760="O",IF(V760&lt;0,V760,0),0)</f>
        <v>0</v>
      </c>
      <c r="X760" s="254">
        <f>IF(B760="COM",N760,0)</f>
        <v>0</v>
      </c>
      <c r="Y760" s="254">
        <f>IF(D760="O",IF(X760&lt;0,X760,0),0)</f>
        <v>0</v>
      </c>
      <c r="Z760" s="254">
        <f>IF(B760="IND",N760,0)</f>
        <v>1</v>
      </c>
      <c r="AA760" s="250">
        <f>IF(D760="O",IF(Z760&lt;0,Z760,0),0)</f>
        <v>0</v>
      </c>
      <c r="AB760" s="254">
        <f>IF(B760="CRYPTO",N760,0)</f>
        <v>0</v>
      </c>
      <c r="AC760" s="250">
        <f>IF(D760="O",IF(AB760&lt;0,AB760,0),0)</f>
        <v>0</v>
      </c>
      <c r="AD760" s="255">
        <f>IF(K760&lt;&gt;"",K760-E760,0)</f>
        <v>0.90416666666715173</v>
      </c>
      <c r="AE760" s="255">
        <f>IF(N760&gt;0,AD760,0)</f>
        <v>0.90416666666715173</v>
      </c>
      <c r="AF760" s="255">
        <f>IF(N760&lt;0,AD760,0)</f>
        <v>0</v>
      </c>
      <c r="AG760" s="255">
        <f>IF(N760=0,AD760,0)</f>
        <v>0</v>
      </c>
    </row>
    <row r="761" spans="2:33" ht="15" customHeight="1" x14ac:dyDescent="0.3">
      <c r="B761" s="196" t="s">
        <v>5</v>
      </c>
      <c r="C761" s="197" t="s">
        <v>15</v>
      </c>
      <c r="D761" s="246" t="str">
        <f>IF(E761&lt;&gt;"",IF(K761&lt;&gt;"","C","O"),"")</f>
        <v>C</v>
      </c>
      <c r="E761" s="199">
        <v>44593.427083333336</v>
      </c>
      <c r="F761" s="200" t="s">
        <v>91</v>
      </c>
      <c r="G761" s="235">
        <v>15679.93</v>
      </c>
      <c r="H761" s="235">
        <v>15623.76</v>
      </c>
      <c r="I761" s="247">
        <f>ABS(G761-H761)</f>
        <v>56.170000000000073</v>
      </c>
      <c r="J761" s="235">
        <v>16728.46</v>
      </c>
      <c r="K761" s="199">
        <v>44593.463888888888</v>
      </c>
      <c r="L761" s="235">
        <v>15623.76</v>
      </c>
      <c r="M761" s="248">
        <f>ROUND(IF(C761="L",(L761-G761),(G761-L761)),4)</f>
        <v>-56.17</v>
      </c>
      <c r="N761" s="249">
        <f>IFERROR(ROUND((M761/I761),2),"")</f>
        <v>-1</v>
      </c>
      <c r="O761" s="250">
        <f>IF(D761="O",IF(N761&lt;0,N761,0),0)</f>
        <v>0</v>
      </c>
      <c r="P761" s="251">
        <f>IF(N761&gt;= 0,N761,0)</f>
        <v>0</v>
      </c>
      <c r="Q761" s="251">
        <f>IF(N761&lt;0,N761,0)</f>
        <v>-1</v>
      </c>
      <c r="R76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14564</v>
      </c>
      <c r="T76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14722</v>
      </c>
      <c r="U761" s="253">
        <f ca="1">IF(Tabla33610673[[#This Row],[Equity]]&lt;Tabla33610673[[#This Row],[Equity Peak]],(Tabla33610673[[#This Row],[Equity Peak]]-Tabla33610673[[#This Row],[Equity]])/Tabla33610673[[#This Row],[Equity Peak]],"")</f>
        <v>1.0732237467735361E-2</v>
      </c>
      <c r="V761" s="254">
        <f>IF(B761="FX",N761,0)</f>
        <v>0</v>
      </c>
      <c r="W761" s="254">
        <f>IF(D761="O",IF(V761&lt;0,V761,0),0)</f>
        <v>0</v>
      </c>
      <c r="X761" s="254">
        <f>IF(B761="COM",N761,0)</f>
        <v>0</v>
      </c>
      <c r="Y761" s="254">
        <f>IF(D761="O",IF(X761&lt;0,X761,0),0)</f>
        <v>0</v>
      </c>
      <c r="Z761" s="254">
        <f>IF(B761="IND",N761,0)</f>
        <v>-1</v>
      </c>
      <c r="AA761" s="250">
        <f>IF(D761="O",IF(Z761&lt;0,Z761,0),0)</f>
        <v>0</v>
      </c>
      <c r="AB761" s="254">
        <f>IF(B761="CRYPTO",N761,0)</f>
        <v>0</v>
      </c>
      <c r="AC761" s="250">
        <f>IF(D761="O",IF(AB761&lt;0,AB761,0),0)</f>
        <v>0</v>
      </c>
      <c r="AD761" s="255">
        <f>IF(K761&lt;&gt;"",K761-E761,0)</f>
        <v>3.6805555551836733E-2</v>
      </c>
      <c r="AE761" s="255">
        <f>IF(N761&gt;0,AD761,0)</f>
        <v>0</v>
      </c>
      <c r="AF761" s="255">
        <f>IF(N761&lt;0,AD761,0)</f>
        <v>3.6805555551836733E-2</v>
      </c>
      <c r="AG761" s="255">
        <f>IF(N761=0,AD761,0)</f>
        <v>0</v>
      </c>
    </row>
    <row r="762" spans="2:33" ht="15" customHeight="1" x14ac:dyDescent="0.3">
      <c r="B762" s="196" t="s">
        <v>7</v>
      </c>
      <c r="C762" s="197" t="s">
        <v>15</v>
      </c>
      <c r="D762" s="246" t="str">
        <f>IF(E762&lt;&gt;"",IF(K762&lt;&gt;"","C","O"),"")</f>
        <v>C</v>
      </c>
      <c r="E762" s="199">
        <v>44592.416666666664</v>
      </c>
      <c r="F762" s="200" t="s">
        <v>115</v>
      </c>
      <c r="G762" s="235">
        <v>155.08099999999999</v>
      </c>
      <c r="H762" s="235">
        <v>154.69800000000001</v>
      </c>
      <c r="I762" s="247">
        <f>ABS(G762-H762)</f>
        <v>0.38299999999998136</v>
      </c>
      <c r="J762" s="235">
        <v>156.17500000000001</v>
      </c>
      <c r="K762" s="199">
        <v>44592.581944444442</v>
      </c>
      <c r="L762" s="235">
        <v>154.85900000000001</v>
      </c>
      <c r="M762" s="248">
        <f>ROUND(IF(C762="L",(L762-G762),(G762-L762)),4)</f>
        <v>-0.222</v>
      </c>
      <c r="N762" s="249">
        <f>IFERROR(ROUND((M762/I762),2),"")</f>
        <v>-0.57999999999999996</v>
      </c>
      <c r="O762" s="250">
        <f>IF(D762="O",IF(N762&lt;0,N762,0),0)</f>
        <v>0</v>
      </c>
      <c r="P762" s="251">
        <f>IF(N762&gt;= 0,N762,0)</f>
        <v>0</v>
      </c>
      <c r="Q762" s="251">
        <f>IF(N762&lt;0,N762,0)</f>
        <v>-0.57999999999999996</v>
      </c>
      <c r="R76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14664</v>
      </c>
      <c r="T76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14722</v>
      </c>
      <c r="U762" s="253">
        <f ca="1">IF(Tabla33610673[[#This Row],[Equity]]&lt;Tabla33610673[[#This Row],[Equity Peak]],(Tabla33610673[[#This Row],[Equity Peak]]-Tabla33610673[[#This Row],[Equity]])/Tabla33610673[[#This Row],[Equity Peak]],"")</f>
        <v>3.9396821084091834E-3</v>
      </c>
      <c r="V762" s="254">
        <f>IF(B762="FX",N762,0)</f>
        <v>-0.57999999999999996</v>
      </c>
      <c r="W762" s="254">
        <f>IF(D762="O",IF(V762&lt;0,V762,0),0)</f>
        <v>0</v>
      </c>
      <c r="X762" s="254">
        <f>IF(B762="COM",N762,0)</f>
        <v>0</v>
      </c>
      <c r="Y762" s="254">
        <f>IF(D762="O",IF(X762&lt;0,X762,0),0)</f>
        <v>0</v>
      </c>
      <c r="Z762" s="254">
        <f>IF(B762="IND",N762,0)</f>
        <v>0</v>
      </c>
      <c r="AA762" s="250">
        <f>IF(D762="O",IF(Z762&lt;0,Z762,0),0)</f>
        <v>0</v>
      </c>
      <c r="AB762" s="254">
        <f>IF(B762="CRYPTO",N762,0)</f>
        <v>0</v>
      </c>
      <c r="AC762" s="250">
        <f>IF(D762="O",IF(AB762&lt;0,AB762,0),0)</f>
        <v>0</v>
      </c>
      <c r="AD762" s="255">
        <f>IF(K762&lt;&gt;"",K762-E762,0)</f>
        <v>0.16527777777810115</v>
      </c>
      <c r="AE762" s="255">
        <f>IF(N762&gt;0,AD762,0)</f>
        <v>0</v>
      </c>
      <c r="AF762" s="255">
        <f>IF(N762&lt;0,AD762,0)</f>
        <v>0.16527777777810115</v>
      </c>
      <c r="AG762" s="255">
        <f>IF(N762=0,AD762,0)</f>
        <v>0</v>
      </c>
    </row>
    <row r="763" spans="2:33" ht="15" customHeight="1" x14ac:dyDescent="0.3">
      <c r="B763" s="196" t="s">
        <v>7</v>
      </c>
      <c r="C763" s="197" t="s">
        <v>13</v>
      </c>
      <c r="D763" s="246" t="str">
        <f>IF(E763&lt;&gt;"",IF(K763&lt;&gt;"","C","O"),"")</f>
        <v>C</v>
      </c>
      <c r="E763" s="199">
        <v>44587.90625</v>
      </c>
      <c r="F763" s="200" t="s">
        <v>114</v>
      </c>
      <c r="G763" s="235">
        <v>1.1256699999999999</v>
      </c>
      <c r="H763" s="235">
        <v>1.12738</v>
      </c>
      <c r="I763" s="247">
        <f>ABS(G763-H763)</f>
        <v>1.7100000000001003E-3</v>
      </c>
      <c r="J763" s="235">
        <v>1.1102700000000001</v>
      </c>
      <c r="K763" s="199">
        <v>44589.647916666669</v>
      </c>
      <c r="L763" s="235">
        <v>1.11527</v>
      </c>
      <c r="M763" s="248">
        <f>ROUND(IF(C763="L",(L763-G763),(G763-L763)),4)</f>
        <v>1.04E-2</v>
      </c>
      <c r="N763" s="249">
        <f>IFERROR(ROUND((M763/I763),2),"")</f>
        <v>6.08</v>
      </c>
      <c r="O763" s="250">
        <f>IF(D763="O",IF(N763&lt;0,N763,0),0)</f>
        <v>0</v>
      </c>
      <c r="P763" s="251">
        <f>IF(N763&gt;= 0,N763,0)</f>
        <v>6.08</v>
      </c>
      <c r="Q763" s="251">
        <f>IF(N763&lt;0,N763,0)</f>
        <v>0</v>
      </c>
      <c r="R76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14722</v>
      </c>
      <c r="T76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14722</v>
      </c>
      <c r="U763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63" s="254">
        <f>IF(B763="FX",N763,0)</f>
        <v>6.08</v>
      </c>
      <c r="W763" s="254">
        <f>IF(D763="O",IF(V763&lt;0,V763,0),0)</f>
        <v>0</v>
      </c>
      <c r="X763" s="254">
        <f>IF(B763="COM",N763,0)</f>
        <v>0</v>
      </c>
      <c r="Y763" s="254">
        <f>IF(D763="O",IF(X763&lt;0,X763,0),0)</f>
        <v>0</v>
      </c>
      <c r="Z763" s="254">
        <f>IF(B763="IND",N763,0)</f>
        <v>0</v>
      </c>
      <c r="AA763" s="250">
        <f>IF(D763="O",IF(Z763&lt;0,Z763,0),0)</f>
        <v>0</v>
      </c>
      <c r="AB763" s="254">
        <f>IF(B763="CRYPTO",N763,0)</f>
        <v>0</v>
      </c>
      <c r="AC763" s="250">
        <f>IF(D763="O",IF(AB763&lt;0,AB763,0),0)</f>
        <v>0</v>
      </c>
      <c r="AD763" s="255">
        <f>IF(K763&lt;&gt;"",K763-E763,0)</f>
        <v>1.7416666666686069</v>
      </c>
      <c r="AE763" s="255">
        <f>IF(N763&gt;0,AD763,0)</f>
        <v>1.7416666666686069</v>
      </c>
      <c r="AF763" s="255">
        <f>IF(N763&lt;0,AD763,0)</f>
        <v>0</v>
      </c>
      <c r="AG763" s="255">
        <f>IF(N763=0,AD763,0)</f>
        <v>0</v>
      </c>
    </row>
    <row r="764" spans="2:33" ht="15" customHeight="1" x14ac:dyDescent="0.3">
      <c r="B764" s="196" t="s">
        <v>19</v>
      </c>
      <c r="C764" s="197" t="s">
        <v>13</v>
      </c>
      <c r="D764" s="246" t="str">
        <f>IF(E764&lt;&gt;"",IF(K764&lt;&gt;"","C","O"),"")</f>
        <v>C</v>
      </c>
      <c r="E764" s="199">
        <v>44589.46875</v>
      </c>
      <c r="F764" s="200" t="s">
        <v>88</v>
      </c>
      <c r="G764" s="235">
        <v>1791.08</v>
      </c>
      <c r="H764" s="235">
        <v>1793.67</v>
      </c>
      <c r="I764" s="247">
        <f>ABS(G764-H764)</f>
        <v>2.5900000000001455</v>
      </c>
      <c r="J764" s="235">
        <v>1759.97</v>
      </c>
      <c r="K764" s="199">
        <v>44589.634027777778</v>
      </c>
      <c r="L764" s="235">
        <v>1790.63</v>
      </c>
      <c r="M764" s="248">
        <f>ROUND(IF(C764="L",(L764-G764),(G764-L764)),4)</f>
        <v>0.45</v>
      </c>
      <c r="N764" s="249">
        <f>IFERROR(ROUND((M764/I764),2),"")</f>
        <v>0.17</v>
      </c>
      <c r="O764" s="250">
        <f>IF(D764="O",IF(N764&lt;0,N764,0),0)</f>
        <v>0</v>
      </c>
      <c r="P764" s="251">
        <f>IF(N764&gt;= 0,N764,0)</f>
        <v>0.17</v>
      </c>
      <c r="Q764" s="251">
        <f>IF(N764&lt;0,N764,0)</f>
        <v>0</v>
      </c>
      <c r="R76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14114</v>
      </c>
      <c r="T76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64" s="253">
        <f ca="1">IF(Tabla33610673[[#This Row],[Equity]]&lt;Tabla33610673[[#This Row],[Equity Peak]],(Tabla33610673[[#This Row],[Equity Peak]]-Tabla33610673[[#This Row],[Equity]])/Tabla33610673[[#This Row],[Equity Peak]],"")</f>
        <v>3.4081576786203119E-2</v>
      </c>
      <c r="V764" s="254">
        <f>IF(B764="FX",N764,0)</f>
        <v>0</v>
      </c>
      <c r="W764" s="254">
        <f>IF(D764="O",IF(V764&lt;0,V764,0),0)</f>
        <v>0</v>
      </c>
      <c r="X764" s="254">
        <f>IF(B764="COM",N764,0)</f>
        <v>0.17</v>
      </c>
      <c r="Y764" s="254">
        <f>IF(D764="O",IF(X764&lt;0,X764,0),0)</f>
        <v>0</v>
      </c>
      <c r="Z764" s="254">
        <f>IF(B764="IND",N764,0)</f>
        <v>0</v>
      </c>
      <c r="AA764" s="250">
        <f>IF(D764="O",IF(Z764&lt;0,Z764,0),0)</f>
        <v>0</v>
      </c>
      <c r="AB764" s="254">
        <f>IF(B764="CRYPTO",N764,0)</f>
        <v>0</v>
      </c>
      <c r="AC764" s="250">
        <f>IF(D764="O",IF(AB764&lt;0,AB764,0),0)</f>
        <v>0</v>
      </c>
      <c r="AD764" s="255">
        <f>IF(K764&lt;&gt;"",K764-E764,0)</f>
        <v>0.16527777777810115</v>
      </c>
      <c r="AE764" s="255">
        <f>IF(N764&gt;0,AD764,0)</f>
        <v>0.16527777777810115</v>
      </c>
      <c r="AF764" s="255">
        <f>IF(N764&lt;0,AD764,0)</f>
        <v>0</v>
      </c>
      <c r="AG764" s="255">
        <f>IF(N764=0,AD764,0)</f>
        <v>0</v>
      </c>
    </row>
    <row r="765" spans="2:33" ht="15" customHeight="1" x14ac:dyDescent="0.3">
      <c r="B765" s="196" t="s">
        <v>7</v>
      </c>
      <c r="C765" s="197" t="s">
        <v>15</v>
      </c>
      <c r="D765" s="246" t="str">
        <f>IF(E765&lt;&gt;"",IF(K765&lt;&gt;"","C","O"),"")</f>
        <v>C</v>
      </c>
      <c r="E765" s="199">
        <v>44589.28125</v>
      </c>
      <c r="F765" s="200" t="s">
        <v>115</v>
      </c>
      <c r="G765" s="235">
        <v>154.74700000000001</v>
      </c>
      <c r="H765" s="235">
        <v>154.30000000000001</v>
      </c>
      <c r="I765" s="247">
        <f>ABS(G765-H765)</f>
        <v>0.44700000000000273</v>
      </c>
      <c r="J765" s="235">
        <v>156.023</v>
      </c>
      <c r="K765" s="199">
        <v>44589.463888888888</v>
      </c>
      <c r="L765" s="235">
        <v>154.36600000000001</v>
      </c>
      <c r="M765" s="248">
        <f>ROUND(IF(C765="L",(L765-G765),(G765-L765)),4)</f>
        <v>-0.38100000000000001</v>
      </c>
      <c r="N765" s="249">
        <f>IFERROR(ROUND((M765/I765),2),"")</f>
        <v>-0.85</v>
      </c>
      <c r="O765" s="250">
        <f>IF(D765="O",IF(N765&lt;0,N765,0),0)</f>
        <v>0</v>
      </c>
      <c r="P765" s="251">
        <f>IF(N765&gt;= 0,N765,0)</f>
        <v>0</v>
      </c>
      <c r="Q765" s="251">
        <f>IF(N765&lt;0,N765,0)</f>
        <v>-0.85</v>
      </c>
      <c r="R76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14097</v>
      </c>
      <c r="T76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65" s="253">
        <f ca="1">IF(Tabla33610673[[#This Row],[Equity]]&lt;Tabla33610673[[#This Row],[Equity Peak]],(Tabla33610673[[#This Row],[Equity Peak]]-Tabla33610673[[#This Row],[Equity]])/Tabla33610673[[#This Row],[Equity Peak]],"")</f>
        <v>3.5245004106214069E-2</v>
      </c>
      <c r="V765" s="254">
        <f>IF(B765="FX",N765,0)</f>
        <v>-0.85</v>
      </c>
      <c r="W765" s="254">
        <f>IF(D765="O",IF(V765&lt;0,V765,0),0)</f>
        <v>0</v>
      </c>
      <c r="X765" s="254">
        <f>IF(B765="COM",N765,0)</f>
        <v>0</v>
      </c>
      <c r="Y765" s="254">
        <f>IF(D765="O",IF(X765&lt;0,X765,0),0)</f>
        <v>0</v>
      </c>
      <c r="Z765" s="254">
        <f>IF(B765="IND",N765,0)</f>
        <v>0</v>
      </c>
      <c r="AA765" s="250">
        <f>IF(D765="O",IF(Z765&lt;0,Z765,0),0)</f>
        <v>0</v>
      </c>
      <c r="AB765" s="254">
        <f>IF(B765="CRYPTO",N765,0)</f>
        <v>0</v>
      </c>
      <c r="AC765" s="250">
        <f>IF(D765="O",IF(AB765&lt;0,AB765,0),0)</f>
        <v>0</v>
      </c>
      <c r="AD765" s="255">
        <f>IF(K765&lt;&gt;"",K765-E765,0)</f>
        <v>0.18263888888759539</v>
      </c>
      <c r="AE765" s="255">
        <f>IF(N765&gt;0,AD765,0)</f>
        <v>0</v>
      </c>
      <c r="AF765" s="255">
        <f>IF(N765&lt;0,AD765,0)</f>
        <v>0.18263888888759539</v>
      </c>
      <c r="AG765" s="255">
        <f>IF(N765=0,AD765,0)</f>
        <v>0</v>
      </c>
    </row>
    <row r="766" spans="2:33" ht="15" customHeight="1" x14ac:dyDescent="0.3">
      <c r="B766" s="196" t="s">
        <v>19</v>
      </c>
      <c r="C766" s="197" t="s">
        <v>13</v>
      </c>
      <c r="D766" s="246" t="str">
        <f>IF(E766&lt;&gt;"",IF(K766&lt;&gt;"","C","O"),"")</f>
        <v>C</v>
      </c>
      <c r="E766" s="199">
        <v>44588.770833333336</v>
      </c>
      <c r="F766" s="200" t="s">
        <v>88</v>
      </c>
      <c r="G766" s="235">
        <v>1795.52</v>
      </c>
      <c r="H766" s="235">
        <v>1799.36</v>
      </c>
      <c r="I766" s="247">
        <f>ABS(G766-H766)</f>
        <v>3.8399999999999181</v>
      </c>
      <c r="J766" s="235">
        <v>1749.38</v>
      </c>
      <c r="K766" s="199">
        <v>44589.219444444447</v>
      </c>
      <c r="L766" s="235">
        <v>1799.36</v>
      </c>
      <c r="M766" s="248">
        <f>ROUND(IF(C766="L",(L766-G766),(G766-L766)),4)</f>
        <v>-3.84</v>
      </c>
      <c r="N766" s="249">
        <f>IFERROR(ROUND((M766/I766),2),"")</f>
        <v>-1</v>
      </c>
      <c r="O766" s="250">
        <f>IF(D766="O",IF(N766&lt;0,N766,0),0)</f>
        <v>0</v>
      </c>
      <c r="P766" s="251">
        <f>IF(N766&gt;= 0,N766,0)</f>
        <v>0</v>
      </c>
      <c r="Q766" s="251">
        <f>IF(N766&lt;0,N766,0)</f>
        <v>-1</v>
      </c>
      <c r="R76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14182</v>
      </c>
      <c r="T76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66" s="253">
        <f ca="1">IF(Tabla33610673[[#This Row],[Equity]]&lt;Tabla33610673[[#This Row],[Equity Peak]],(Tabla33610673[[#This Row],[Equity Peak]]-Tabla33610673[[#This Row],[Equity]])/Tabla33610673[[#This Row],[Equity Peak]],"")</f>
        <v>2.9427867506159323E-2</v>
      </c>
      <c r="V766" s="254">
        <f>IF(B766="FX",N766,0)</f>
        <v>0</v>
      </c>
      <c r="W766" s="254">
        <f>IF(D766="O",IF(V766&lt;0,V766,0),0)</f>
        <v>0</v>
      </c>
      <c r="X766" s="254">
        <f>IF(B766="COM",N766,0)</f>
        <v>-1</v>
      </c>
      <c r="Y766" s="254">
        <f>IF(D766="O",IF(X766&lt;0,X766,0),0)</f>
        <v>0</v>
      </c>
      <c r="Z766" s="254">
        <f>IF(B766="IND",N766,0)</f>
        <v>0</v>
      </c>
      <c r="AA766" s="250">
        <f>IF(D766="O",IF(Z766&lt;0,Z766,0),0)</f>
        <v>0</v>
      </c>
      <c r="AB766" s="254">
        <f>IF(B766="CRYPTO",N766,0)</f>
        <v>0</v>
      </c>
      <c r="AC766" s="250">
        <f>IF(D766="O",IF(AB766&lt;0,AB766,0),0)</f>
        <v>0</v>
      </c>
      <c r="AD766" s="255">
        <f>IF(K766&lt;&gt;"",K766-E766,0)</f>
        <v>0.44861111111094942</v>
      </c>
      <c r="AE766" s="255">
        <f>IF(N766&gt;0,AD766,0)</f>
        <v>0</v>
      </c>
      <c r="AF766" s="255">
        <f>IF(N766&lt;0,AD766,0)</f>
        <v>0.44861111111094942</v>
      </c>
      <c r="AG766" s="255">
        <f>IF(N766=0,AD766,0)</f>
        <v>0</v>
      </c>
    </row>
    <row r="767" spans="2:33" ht="15" customHeight="1" x14ac:dyDescent="0.3">
      <c r="B767" s="196" t="s">
        <v>7</v>
      </c>
      <c r="C767" s="197" t="s">
        <v>15</v>
      </c>
      <c r="D767" s="246" t="str">
        <f>IF(E767&lt;&gt;"",IF(K767&lt;&gt;"","C","O"),"")</f>
        <v>C</v>
      </c>
      <c r="E767" s="199">
        <v>44588.510416666664</v>
      </c>
      <c r="F767" s="200" t="s">
        <v>116</v>
      </c>
      <c r="G767" s="235">
        <v>115.078</v>
      </c>
      <c r="H767" s="235">
        <v>114.91200000000001</v>
      </c>
      <c r="I767" s="247">
        <f>ABS(G767-H767)</f>
        <v>0.16599999999999682</v>
      </c>
      <c r="J767" s="235">
        <v>116.809</v>
      </c>
      <c r="K767" s="199">
        <v>44588.868750000001</v>
      </c>
      <c r="L767" s="235">
        <v>115.214</v>
      </c>
      <c r="M767" s="248">
        <f>ROUND(IF(C767="L",(L767-G767),(G767-L767)),4)</f>
        <v>0.13600000000000001</v>
      </c>
      <c r="N767" s="249">
        <f>IFERROR(ROUND((M767/I767),2),"")</f>
        <v>0.82</v>
      </c>
      <c r="O767" s="250">
        <f>IF(D767="O",IF(N767&lt;0,N767,0),0)</f>
        <v>0</v>
      </c>
      <c r="P767" s="251">
        <f>IF(N767&gt;= 0,N767,0)</f>
        <v>0.82</v>
      </c>
      <c r="Q767" s="251">
        <f>IF(N767&lt;0,N767,0)</f>
        <v>0</v>
      </c>
      <c r="R76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14282</v>
      </c>
      <c r="T76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67" s="253">
        <f ca="1">IF(Tabla33610673[[#This Row],[Equity]]&lt;Tabla33610673[[#This Row],[Equity Peak]],(Tabla33610673[[#This Row],[Equity Peak]]-Tabla33610673[[#This Row],[Equity]])/Tabla33610673[[#This Row],[Equity Peak]],"")</f>
        <v>2.2584177388447851E-2</v>
      </c>
      <c r="V767" s="254">
        <f>IF(B767="FX",N767,0)</f>
        <v>0.82</v>
      </c>
      <c r="W767" s="254">
        <f>IF(D767="O",IF(V767&lt;0,V767,0),0)</f>
        <v>0</v>
      </c>
      <c r="X767" s="254">
        <f>IF(B767="COM",N767,0)</f>
        <v>0</v>
      </c>
      <c r="Y767" s="254">
        <f>IF(D767="O",IF(X767&lt;0,X767,0),0)</f>
        <v>0</v>
      </c>
      <c r="Z767" s="254">
        <f>IF(B767="IND",N767,0)</f>
        <v>0</v>
      </c>
      <c r="AA767" s="250">
        <f>IF(D767="O",IF(Z767&lt;0,Z767,0),0)</f>
        <v>0</v>
      </c>
      <c r="AB767" s="254">
        <f>IF(B767="CRYPTO",N767,0)</f>
        <v>0</v>
      </c>
      <c r="AC767" s="250">
        <f>IF(D767="O",IF(AB767&lt;0,AB767,0),0)</f>
        <v>0</v>
      </c>
      <c r="AD767" s="255">
        <f>IF(K767&lt;&gt;"",K767-E767,0)</f>
        <v>0.35833333333721384</v>
      </c>
      <c r="AE767" s="255">
        <f>IF(N767&gt;0,AD767,0)</f>
        <v>0.35833333333721384</v>
      </c>
      <c r="AF767" s="255">
        <f>IF(N767&lt;0,AD767,0)</f>
        <v>0</v>
      </c>
      <c r="AG767" s="255">
        <f>IF(N767=0,AD767,0)</f>
        <v>0</v>
      </c>
    </row>
    <row r="768" spans="2:33" ht="15" customHeight="1" x14ac:dyDescent="0.3">
      <c r="B768" s="196" t="s">
        <v>19</v>
      </c>
      <c r="C768" s="197" t="s">
        <v>13</v>
      </c>
      <c r="D768" s="246" t="str">
        <f>IF(E768&lt;&gt;"",IF(K768&lt;&gt;"","C","O"),"")</f>
        <v>C</v>
      </c>
      <c r="E768" s="199">
        <v>44588.65625</v>
      </c>
      <c r="F768" s="200" t="s">
        <v>88</v>
      </c>
      <c r="G768" s="235">
        <v>1803.43</v>
      </c>
      <c r="H768" s="235">
        <v>1807.19</v>
      </c>
      <c r="I768" s="247">
        <f>ABS(G768-H768)</f>
        <v>3.7599999999999909</v>
      </c>
      <c r="J768" s="235">
        <v>1758.28</v>
      </c>
      <c r="K768" s="199">
        <v>44588.692361111112</v>
      </c>
      <c r="L768" s="235">
        <v>1807.19</v>
      </c>
      <c r="M768" s="248">
        <f>ROUND(IF(C768="L",(L768-G768),(G768-L768)),4)</f>
        <v>-3.76</v>
      </c>
      <c r="N768" s="249">
        <f>IFERROR(ROUND((M768/I768),2),"")</f>
        <v>-1</v>
      </c>
      <c r="O768" s="250">
        <f>IF(D768="O",IF(N768&lt;0,N768,0),0)</f>
        <v>0</v>
      </c>
      <c r="P768" s="251">
        <f>IF(N768&gt;= 0,N768,0)</f>
        <v>0</v>
      </c>
      <c r="Q768" s="251">
        <f>IF(N768&lt;0,N768,0)</f>
        <v>-1</v>
      </c>
      <c r="R76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14200</v>
      </c>
      <c r="T76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68" s="253">
        <f ca="1">IF(Tabla33610673[[#This Row],[Equity]]&lt;Tabla33610673[[#This Row],[Equity Peak]],(Tabla33610673[[#This Row],[Equity Peak]]-Tabla33610673[[#This Row],[Equity]])/Tabla33610673[[#This Row],[Equity Peak]],"")</f>
        <v>2.8196003284971256E-2</v>
      </c>
      <c r="V768" s="254">
        <f>IF(B768="FX",N768,0)</f>
        <v>0</v>
      </c>
      <c r="W768" s="254">
        <f>IF(D768="O",IF(V768&lt;0,V768,0),0)</f>
        <v>0</v>
      </c>
      <c r="X768" s="254">
        <f>IF(B768="COM",N768,0)</f>
        <v>-1</v>
      </c>
      <c r="Y768" s="254">
        <f>IF(D768="O",IF(X768&lt;0,X768,0),0)</f>
        <v>0</v>
      </c>
      <c r="Z768" s="254">
        <f>IF(B768="IND",N768,0)</f>
        <v>0</v>
      </c>
      <c r="AA768" s="250">
        <f>IF(D768="O",IF(Z768&lt;0,Z768,0),0)</f>
        <v>0</v>
      </c>
      <c r="AB768" s="254">
        <f>IF(B768="CRYPTO",N768,0)</f>
        <v>0</v>
      </c>
      <c r="AC768" s="250">
        <f>IF(D768="O",IF(AB768&lt;0,AB768,0),0)</f>
        <v>0</v>
      </c>
      <c r="AD768" s="255">
        <f>IF(K768&lt;&gt;"",K768-E768,0)</f>
        <v>3.6111111112404615E-2</v>
      </c>
      <c r="AE768" s="255">
        <f>IF(N768&gt;0,AD768,0)</f>
        <v>0</v>
      </c>
      <c r="AF768" s="255">
        <f>IF(N768&lt;0,AD768,0)</f>
        <v>3.6111111112404615E-2</v>
      </c>
      <c r="AG768" s="255">
        <f>IF(N768=0,AD768,0)</f>
        <v>0</v>
      </c>
    </row>
    <row r="769" spans="2:33" ht="15" customHeight="1" x14ac:dyDescent="0.3">
      <c r="B769" s="196" t="s">
        <v>5</v>
      </c>
      <c r="C769" s="197" t="s">
        <v>13</v>
      </c>
      <c r="D769" s="246" t="str">
        <f>IF(E769&lt;&gt;"",IF(K769&lt;&gt;"","C","O"),"")</f>
        <v>C</v>
      </c>
      <c r="E769" s="199">
        <v>44588.239583333336</v>
      </c>
      <c r="F769" s="200" t="s">
        <v>92</v>
      </c>
      <c r="G769" s="235">
        <v>13882.05</v>
      </c>
      <c r="H769" s="235">
        <v>13980.72</v>
      </c>
      <c r="I769" s="247">
        <f>ABS(G769-H769)</f>
        <v>98.670000000000073</v>
      </c>
      <c r="J769" s="235">
        <v>12040.15</v>
      </c>
      <c r="K769" s="199">
        <v>44588.341666666667</v>
      </c>
      <c r="L769" s="235">
        <v>13980.72</v>
      </c>
      <c r="M769" s="248">
        <f>ROUND(IF(C769="L",(L769-G769),(G769-L769)),4)</f>
        <v>-98.67</v>
      </c>
      <c r="N769" s="249">
        <f>IFERROR(ROUND((M769/I769),2),"")</f>
        <v>-1</v>
      </c>
      <c r="O769" s="250">
        <f>IF(D769="O",IF(N769&lt;0,N769,0),0)</f>
        <v>0</v>
      </c>
      <c r="P769" s="251">
        <f>IF(N769&gt;= 0,N769,0)</f>
        <v>0</v>
      </c>
      <c r="Q769" s="251">
        <f>IF(N769&lt;0,N769,0)</f>
        <v>-1</v>
      </c>
      <c r="R76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14300</v>
      </c>
      <c r="T76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69" s="253">
        <f ca="1">IF(Tabla33610673[[#This Row],[Equity]]&lt;Tabla33610673[[#This Row],[Equity Peak]],(Tabla33610673[[#This Row],[Equity Peak]]-Tabla33610673[[#This Row],[Equity]])/Tabla33610673[[#This Row],[Equity Peak]],"")</f>
        <v>2.1352313167259787E-2</v>
      </c>
      <c r="V769" s="254">
        <f>IF(B769="FX",N769,0)</f>
        <v>0</v>
      </c>
      <c r="W769" s="254">
        <f>IF(D769="O",IF(V769&lt;0,V769,0),0)</f>
        <v>0</v>
      </c>
      <c r="X769" s="254">
        <f>IF(B769="COM",N769,0)</f>
        <v>0</v>
      </c>
      <c r="Y769" s="254">
        <f>IF(D769="O",IF(X769&lt;0,X769,0),0)</f>
        <v>0</v>
      </c>
      <c r="Z769" s="254">
        <f>IF(B769="IND",N769,0)</f>
        <v>-1</v>
      </c>
      <c r="AA769" s="250">
        <f>IF(D769="O",IF(Z769&lt;0,Z769,0),0)</f>
        <v>0</v>
      </c>
      <c r="AB769" s="254">
        <f>IF(B769="CRYPTO",N769,0)</f>
        <v>0</v>
      </c>
      <c r="AC769" s="250">
        <f>IF(D769="O",IF(AB769&lt;0,AB769,0),0)</f>
        <v>0</v>
      </c>
      <c r="AD769" s="255">
        <f>IF(K769&lt;&gt;"",K769-E769,0)</f>
        <v>0.10208333333139308</v>
      </c>
      <c r="AE769" s="255">
        <f>IF(N769&gt;0,AD769,0)</f>
        <v>0</v>
      </c>
      <c r="AF769" s="255">
        <f>IF(N769&lt;0,AD769,0)</f>
        <v>0.10208333333139308</v>
      </c>
      <c r="AG769" s="255">
        <f>IF(N769=0,AD769,0)</f>
        <v>0</v>
      </c>
    </row>
    <row r="770" spans="2:33" ht="15" customHeight="1" x14ac:dyDescent="0.3">
      <c r="B770" s="196" t="s">
        <v>5</v>
      </c>
      <c r="C770" s="197" t="s">
        <v>13</v>
      </c>
      <c r="D770" s="246" t="str">
        <f>IF(E770&lt;&gt;"",IF(K770&lt;&gt;"","C","O"),"")</f>
        <v>C</v>
      </c>
      <c r="E770" s="199">
        <v>44588.239583333336</v>
      </c>
      <c r="F770" s="200" t="s">
        <v>93</v>
      </c>
      <c r="G770" s="235">
        <v>13882.05</v>
      </c>
      <c r="H770" s="235">
        <v>13973.28</v>
      </c>
      <c r="I770" s="247">
        <f>ABS(G770-H770)</f>
        <v>91.230000000001382</v>
      </c>
      <c r="J770" s="235">
        <v>12908.91</v>
      </c>
      <c r="K770" s="199">
        <v>44588.293749999997</v>
      </c>
      <c r="L770" s="235">
        <v>13973.28</v>
      </c>
      <c r="M770" s="248">
        <f>ROUND(IF(C770="L",(L770-G770),(G770-L770)),4)</f>
        <v>-91.23</v>
      </c>
      <c r="N770" s="249">
        <f>IFERROR(ROUND((M770/I770),2),"")</f>
        <v>-1</v>
      </c>
      <c r="O770" s="250">
        <f>IF(D770="O",IF(N770&lt;0,N770,0),0)</f>
        <v>0</v>
      </c>
      <c r="P770" s="251">
        <f>IF(N770&gt;= 0,N770,0)</f>
        <v>0</v>
      </c>
      <c r="Q770" s="251">
        <f>IF(N770&lt;0,N770,0)</f>
        <v>-1</v>
      </c>
      <c r="R77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14400</v>
      </c>
      <c r="T77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70" s="253">
        <f ca="1">IF(Tabla33610673[[#This Row],[Equity]]&lt;Tabla33610673[[#This Row],[Equity Peak]],(Tabla33610673[[#This Row],[Equity Peak]]-Tabla33610673[[#This Row],[Equity]])/Tabla33610673[[#This Row],[Equity Peak]],"")</f>
        <v>1.4508623049548317E-2</v>
      </c>
      <c r="V770" s="254">
        <f>IF(B770="FX",N770,0)</f>
        <v>0</v>
      </c>
      <c r="W770" s="254">
        <f>IF(D770="O",IF(V770&lt;0,V770,0),0)</f>
        <v>0</v>
      </c>
      <c r="X770" s="254">
        <f>IF(B770="COM",N770,0)</f>
        <v>0</v>
      </c>
      <c r="Y770" s="254">
        <f>IF(D770="O",IF(X770&lt;0,X770,0),0)</f>
        <v>0</v>
      </c>
      <c r="Z770" s="254">
        <f>IF(B770="IND",N770,0)</f>
        <v>-1</v>
      </c>
      <c r="AA770" s="250">
        <f>IF(D770="O",IF(Z770&lt;0,Z770,0),0)</f>
        <v>0</v>
      </c>
      <c r="AB770" s="254">
        <f>IF(B770="CRYPTO",N770,0)</f>
        <v>0</v>
      </c>
      <c r="AC770" s="250">
        <f>IF(D770="O",IF(AB770&lt;0,AB770,0),0)</f>
        <v>0</v>
      </c>
      <c r="AD770" s="255">
        <f>IF(K770&lt;&gt;"",K770-E770,0)</f>
        <v>5.4166666661330964E-2</v>
      </c>
      <c r="AE770" s="255">
        <f>IF(N770&gt;0,AD770,0)</f>
        <v>0</v>
      </c>
      <c r="AF770" s="255">
        <f>IF(N770&lt;0,AD770,0)</f>
        <v>5.4166666661330964E-2</v>
      </c>
      <c r="AG770" s="255">
        <f>IF(N770=0,AD770,0)</f>
        <v>0</v>
      </c>
    </row>
    <row r="771" spans="2:33" ht="15" customHeight="1" x14ac:dyDescent="0.3">
      <c r="B771" s="196" t="s">
        <v>7</v>
      </c>
      <c r="C771" s="197" t="s">
        <v>15</v>
      </c>
      <c r="D771" s="246" t="str">
        <f>IF(E771&lt;&gt;"",IF(K771&lt;&gt;"","C","O"),"")</f>
        <v>C</v>
      </c>
      <c r="E771" s="199">
        <v>44586.90625</v>
      </c>
      <c r="F771" s="200" t="s">
        <v>115</v>
      </c>
      <c r="G771" s="235">
        <v>153.983</v>
      </c>
      <c r="H771" s="235">
        <v>153.49199999999999</v>
      </c>
      <c r="I771" s="247">
        <f>ABS(G771-H771)</f>
        <v>0.49100000000001387</v>
      </c>
      <c r="J771" s="235">
        <v>155.38499999999999</v>
      </c>
      <c r="K771" s="199">
        <v>44587.921527777777</v>
      </c>
      <c r="L771" s="235">
        <v>154.00200000000001</v>
      </c>
      <c r="M771" s="248">
        <f>ROUND(IF(C771="L",(L771-G771),(G771-L771)),4)</f>
        <v>1.9E-2</v>
      </c>
      <c r="N771" s="249">
        <f>IFERROR(ROUND((M771/I771),2),"")</f>
        <v>0.04</v>
      </c>
      <c r="O771" s="250">
        <f>IF(D771="O",IF(N771&lt;0,N771,0),0)</f>
        <v>0</v>
      </c>
      <c r="P771" s="251">
        <f>IF(N771&gt;= 0,N771,0)</f>
        <v>0.04</v>
      </c>
      <c r="Q771" s="251">
        <f>IF(N771&lt;0,N771,0)</f>
        <v>0</v>
      </c>
      <c r="R77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14500</v>
      </c>
      <c r="T77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71" s="253">
        <f ca="1">IF(Tabla33610673[[#This Row],[Equity]]&lt;Tabla33610673[[#This Row],[Equity Peak]],(Tabla33610673[[#This Row],[Equity Peak]]-Tabla33610673[[#This Row],[Equity]])/Tabla33610673[[#This Row],[Equity Peak]],"")</f>
        <v>7.6649329318368466E-3</v>
      </c>
      <c r="V771" s="254">
        <f>IF(B771="FX",N771,0)</f>
        <v>0.04</v>
      </c>
      <c r="W771" s="254">
        <f>IF(D771="O",IF(V771&lt;0,V771,0),0)</f>
        <v>0</v>
      </c>
      <c r="X771" s="254">
        <f>IF(B771="COM",N771,0)</f>
        <v>0</v>
      </c>
      <c r="Y771" s="254">
        <f>IF(D771="O",IF(X771&lt;0,X771,0),0)</f>
        <v>0</v>
      </c>
      <c r="Z771" s="254">
        <f>IF(B771="IND",N771,0)</f>
        <v>0</v>
      </c>
      <c r="AA771" s="250">
        <f>IF(D771="O",IF(Z771&lt;0,Z771,0),0)</f>
        <v>0</v>
      </c>
      <c r="AB771" s="254">
        <f>IF(B771="CRYPTO",N771,0)</f>
        <v>0</v>
      </c>
      <c r="AC771" s="250">
        <f>IF(D771="O",IF(AB771&lt;0,AB771,0),0)</f>
        <v>0</v>
      </c>
      <c r="AD771" s="255">
        <f>IF(K771&lt;&gt;"",K771-E771,0)</f>
        <v>1.015277777776646</v>
      </c>
      <c r="AE771" s="255">
        <f>IF(N771&gt;0,AD771,0)</f>
        <v>1.015277777776646</v>
      </c>
      <c r="AF771" s="255">
        <f>IF(N771&lt;0,AD771,0)</f>
        <v>0</v>
      </c>
      <c r="AG771" s="255">
        <f>IF(N771=0,AD771,0)</f>
        <v>0</v>
      </c>
    </row>
    <row r="772" spans="2:33" ht="15" customHeight="1" x14ac:dyDescent="0.3">
      <c r="B772" s="196" t="s">
        <v>7</v>
      </c>
      <c r="C772" s="197" t="s">
        <v>13</v>
      </c>
      <c r="D772" s="246" t="str">
        <f>IF(E772&lt;&gt;"",IF(K772&lt;&gt;"","C","O"),"")</f>
        <v>C</v>
      </c>
      <c r="E772" s="199">
        <v>44586.489583333336</v>
      </c>
      <c r="F772" s="200" t="s">
        <v>114</v>
      </c>
      <c r="G772" s="235">
        <v>1.1286099999999999</v>
      </c>
      <c r="H772" s="235">
        <v>1.1298699999999999</v>
      </c>
      <c r="I772" s="247">
        <f>ABS(G772-H772)</f>
        <v>1.2600000000000389E-3</v>
      </c>
      <c r="J772" s="235">
        <v>1.11731</v>
      </c>
      <c r="K772" s="199">
        <v>44586.802083333336</v>
      </c>
      <c r="L772" s="235">
        <v>1.1287799999999999</v>
      </c>
      <c r="M772" s="248">
        <f>ROUND(IF(C772="L",(L772-G772),(G772-L772)),4)</f>
        <v>-2.0000000000000001E-4</v>
      </c>
      <c r="N772" s="249">
        <f>IFERROR(ROUND((M772/I772),2),"")</f>
        <v>-0.16</v>
      </c>
      <c r="O772" s="250">
        <f>IF(D772="O",IF(N772&lt;0,N772,0),0)</f>
        <v>0</v>
      </c>
      <c r="P772" s="251">
        <f>IF(N772&gt;= 0,N772,0)</f>
        <v>0</v>
      </c>
      <c r="Q772" s="251">
        <f>IF(N772&lt;0,N772,0)</f>
        <v>-0.16</v>
      </c>
      <c r="R77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14496</v>
      </c>
      <c r="T77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72" s="253">
        <f ca="1">IF(Tabla33610673[[#This Row],[Equity]]&lt;Tabla33610673[[#This Row],[Equity Peak]],(Tabla33610673[[#This Row],[Equity Peak]]-Tabla33610673[[#This Row],[Equity]])/Tabla33610673[[#This Row],[Equity Peak]],"")</f>
        <v>7.9386805365453048E-3</v>
      </c>
      <c r="V772" s="254">
        <f>IF(B772="FX",N772,0)</f>
        <v>-0.16</v>
      </c>
      <c r="W772" s="254">
        <f>IF(D772="O",IF(V772&lt;0,V772,0),0)</f>
        <v>0</v>
      </c>
      <c r="X772" s="254">
        <f>IF(B772="COM",N772,0)</f>
        <v>0</v>
      </c>
      <c r="Y772" s="254">
        <f>IF(D772="O",IF(X772&lt;0,X772,0),0)</f>
        <v>0</v>
      </c>
      <c r="Z772" s="254">
        <f>IF(B772="IND",N772,0)</f>
        <v>0</v>
      </c>
      <c r="AA772" s="250">
        <f>IF(D772="O",IF(Z772&lt;0,Z772,0),0)</f>
        <v>0</v>
      </c>
      <c r="AB772" s="254">
        <f>IF(B772="CRYPTO",N772,0)</f>
        <v>0</v>
      </c>
      <c r="AC772" s="250">
        <f>IF(D772="O",IF(AB772&lt;0,AB772,0),0)</f>
        <v>0</v>
      </c>
      <c r="AD772" s="255">
        <f>IF(K772&lt;&gt;"",K772-E772,0)</f>
        <v>0.3125</v>
      </c>
      <c r="AE772" s="255">
        <f>IF(N772&gt;0,AD772,0)</f>
        <v>0</v>
      </c>
      <c r="AF772" s="255">
        <f>IF(N772&lt;0,AD772,0)</f>
        <v>0.3125</v>
      </c>
      <c r="AG772" s="255">
        <f>IF(N772=0,AD772,0)</f>
        <v>0</v>
      </c>
    </row>
    <row r="773" spans="2:33" ht="15" customHeight="1" x14ac:dyDescent="0.3">
      <c r="B773" s="196" t="s">
        <v>19</v>
      </c>
      <c r="C773" s="197" t="s">
        <v>15</v>
      </c>
      <c r="D773" s="246" t="str">
        <f>IF(E773&lt;&gt;"",IF(K773&lt;&gt;"","C","O"),"")</f>
        <v>C</v>
      </c>
      <c r="E773" s="199">
        <v>44586.708333333336</v>
      </c>
      <c r="F773" s="200" t="s">
        <v>88</v>
      </c>
      <c r="G773" s="235">
        <v>1850.45</v>
      </c>
      <c r="H773" s="235">
        <v>1847.98</v>
      </c>
      <c r="I773" s="247">
        <f>ABS(G773-H773)</f>
        <v>2.4700000000000273</v>
      </c>
      <c r="J773" s="235">
        <v>1880.13</v>
      </c>
      <c r="K773" s="199">
        <v>44586.709722222222</v>
      </c>
      <c r="L773" s="235">
        <v>1847.98</v>
      </c>
      <c r="M773" s="248">
        <f>ROUND(IF(C773="L",(L773-G773),(G773-L773)),4)</f>
        <v>-2.4700000000000002</v>
      </c>
      <c r="N773" s="249">
        <f>IFERROR(ROUND((M773/I773),2),"")</f>
        <v>-1</v>
      </c>
      <c r="O773" s="250">
        <f>IF(D773="O",IF(N773&lt;0,N773,0),0)</f>
        <v>0</v>
      </c>
      <c r="P773" s="251">
        <f>IF(N773&gt;= 0,N773,0)</f>
        <v>0</v>
      </c>
      <c r="Q773" s="251">
        <f>IF(N773&lt;0,N773,0)</f>
        <v>-1</v>
      </c>
      <c r="R77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14512</v>
      </c>
      <c r="T77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73" s="253">
        <f ca="1">IF(Tabla33610673[[#This Row],[Equity]]&lt;Tabla33610673[[#This Row],[Equity Peak]],(Tabla33610673[[#This Row],[Equity Peak]]-Tabla33610673[[#This Row],[Equity]])/Tabla33610673[[#This Row],[Equity Peak]],"")</f>
        <v>6.8436901177114703E-3</v>
      </c>
      <c r="V773" s="254">
        <f>IF(B773="FX",N773,0)</f>
        <v>0</v>
      </c>
      <c r="W773" s="254">
        <f>IF(D773="O",IF(V773&lt;0,V773,0),0)</f>
        <v>0</v>
      </c>
      <c r="X773" s="254">
        <f>IF(B773="COM",N773,0)</f>
        <v>-1</v>
      </c>
      <c r="Y773" s="254">
        <f>IF(D773="O",IF(X773&lt;0,X773,0),0)</f>
        <v>0</v>
      </c>
      <c r="Z773" s="254">
        <f>IF(B773="IND",N773,0)</f>
        <v>0</v>
      </c>
      <c r="AA773" s="250">
        <f>IF(D773="O",IF(Z773&lt;0,Z773,0),0)</f>
        <v>0</v>
      </c>
      <c r="AB773" s="254">
        <f>IF(B773="CRYPTO",N773,0)</f>
        <v>0</v>
      </c>
      <c r="AC773" s="250">
        <f>IF(D773="O",IF(AB773&lt;0,AB773,0),0)</f>
        <v>0</v>
      </c>
      <c r="AD773" s="255">
        <f>IF(K773&lt;&gt;"",K773-E773,0)</f>
        <v>1.3888888861401938E-3</v>
      </c>
      <c r="AE773" s="255">
        <f>IF(N773&gt;0,AD773,0)</f>
        <v>0</v>
      </c>
      <c r="AF773" s="255">
        <f>IF(N773&lt;0,AD773,0)</f>
        <v>1.3888888861401938E-3</v>
      </c>
      <c r="AG773" s="255">
        <f>IF(N773=0,AD773,0)</f>
        <v>0</v>
      </c>
    </row>
    <row r="774" spans="2:33" ht="15" customHeight="1" x14ac:dyDescent="0.3">
      <c r="B774" s="196" t="s">
        <v>7</v>
      </c>
      <c r="C774" s="197" t="s">
        <v>13</v>
      </c>
      <c r="D774" s="246" t="str">
        <f>IF(E774&lt;&gt;"",IF(K774&lt;&gt;"","C","O"),"")</f>
        <v>C</v>
      </c>
      <c r="E774" s="199">
        <v>44585.458333333336</v>
      </c>
      <c r="F774" s="200" t="s">
        <v>115</v>
      </c>
      <c r="G774" s="235">
        <v>153.75899999999999</v>
      </c>
      <c r="H774" s="235">
        <v>154.155</v>
      </c>
      <c r="I774" s="247">
        <f>ABS(G774-H774)</f>
        <v>0.39600000000001501</v>
      </c>
      <c r="J774" s="235">
        <v>152.62700000000001</v>
      </c>
      <c r="K774" s="199">
        <v>44585.95208333333</v>
      </c>
      <c r="L774" s="235">
        <v>153.69499999999999</v>
      </c>
      <c r="M774" s="248">
        <f>ROUND(IF(C774="L",(L774-G774),(G774-L774)),4)</f>
        <v>6.4000000000000001E-2</v>
      </c>
      <c r="N774" s="249">
        <f>IFERROR(ROUND((M774/I774),2),"")</f>
        <v>0.16</v>
      </c>
      <c r="O774" s="250">
        <f>IF(D774="O",IF(N774&lt;0,N774,0),0)</f>
        <v>0</v>
      </c>
      <c r="P774" s="251">
        <f>IF(N774&gt;= 0,N774,0)</f>
        <v>0.16</v>
      </c>
      <c r="Q774" s="251">
        <f>IF(N774&lt;0,N774,0)</f>
        <v>0</v>
      </c>
      <c r="R77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14612</v>
      </c>
      <c r="T77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14612</v>
      </c>
      <c r="U774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74" s="254">
        <f>IF(B774="FX",N774,0)</f>
        <v>0.16</v>
      </c>
      <c r="W774" s="254">
        <f>IF(D774="O",IF(V774&lt;0,V774,0),0)</f>
        <v>0</v>
      </c>
      <c r="X774" s="254">
        <f>IF(B774="COM",N774,0)</f>
        <v>0</v>
      </c>
      <c r="Y774" s="254">
        <f>IF(D774="O",IF(X774&lt;0,X774,0),0)</f>
        <v>0</v>
      </c>
      <c r="Z774" s="254">
        <f>IF(B774="IND",N774,0)</f>
        <v>0</v>
      </c>
      <c r="AA774" s="250">
        <f>IF(D774="O",IF(Z774&lt;0,Z774,0),0)</f>
        <v>0</v>
      </c>
      <c r="AB774" s="254">
        <f>IF(B774="CRYPTO",N774,0)</f>
        <v>0</v>
      </c>
      <c r="AC774" s="250">
        <f>IF(D774="O",IF(AB774&lt;0,AB774,0),0)</f>
        <v>0</v>
      </c>
      <c r="AD774" s="255">
        <f>IF(K774&lt;&gt;"",K774-E774,0)</f>
        <v>0.49374999999417923</v>
      </c>
      <c r="AE774" s="255">
        <f>IF(N774&gt;0,AD774,0)</f>
        <v>0.49374999999417923</v>
      </c>
      <c r="AF774" s="255">
        <f>IF(N774&lt;0,AD774,0)</f>
        <v>0</v>
      </c>
      <c r="AG774" s="255">
        <f>IF(N774=0,AD774,0)</f>
        <v>0</v>
      </c>
    </row>
    <row r="775" spans="2:33" ht="15" customHeight="1" x14ac:dyDescent="0.3">
      <c r="B775" s="196" t="s">
        <v>5</v>
      </c>
      <c r="C775" s="197" t="s">
        <v>13</v>
      </c>
      <c r="D775" s="246" t="str">
        <f>IF(E775&lt;&gt;"",IF(K775&lt;&gt;"","C","O"),"")</f>
        <v>C</v>
      </c>
      <c r="E775" s="199">
        <v>44582.916666666664</v>
      </c>
      <c r="F775" s="200" t="s">
        <v>92</v>
      </c>
      <c r="G775" s="235">
        <v>14513.87</v>
      </c>
      <c r="H775" s="235">
        <v>14597.5</v>
      </c>
      <c r="I775" s="247">
        <f>ABS(G775-H775)</f>
        <v>83.6299999999992</v>
      </c>
      <c r="J775" s="235">
        <v>12952.78</v>
      </c>
      <c r="K775" s="199">
        <v>44585.842361111114</v>
      </c>
      <c r="L775" s="235">
        <v>14049.57</v>
      </c>
      <c r="M775" s="248">
        <f>ROUND(IF(C775="L",(L775-G775),(G775-L775)),4)</f>
        <v>464.3</v>
      </c>
      <c r="N775" s="249">
        <f>IFERROR(ROUND((M775/I775),2),"")</f>
        <v>5.55</v>
      </c>
      <c r="O775" s="250">
        <f>IF(D775="O",IF(N775&lt;0,N775,0),0)</f>
        <v>0</v>
      </c>
      <c r="P775" s="251">
        <f>IF(N775&gt;= 0,N775,0)</f>
        <v>5.55</v>
      </c>
      <c r="Q775" s="251">
        <f>IF(N775&lt;0,N775,0)</f>
        <v>0</v>
      </c>
      <c r="R77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14596</v>
      </c>
      <c r="T77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14596</v>
      </c>
      <c r="U77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75" s="254">
        <f>IF(B775="FX",N775,0)</f>
        <v>0</v>
      </c>
      <c r="W775" s="254">
        <f>IF(D775="O",IF(V775&lt;0,V775,0),0)</f>
        <v>0</v>
      </c>
      <c r="X775" s="254">
        <f>IF(B775="COM",N775,0)</f>
        <v>0</v>
      </c>
      <c r="Y775" s="254">
        <f>IF(D775="O",IF(X775&lt;0,X775,0),0)</f>
        <v>0</v>
      </c>
      <c r="Z775" s="254">
        <f>IF(B775="IND",N775,0)</f>
        <v>5.55</v>
      </c>
      <c r="AA775" s="250">
        <f>IF(D775="O",IF(Z775&lt;0,Z775,0),0)</f>
        <v>0</v>
      </c>
      <c r="AB775" s="254">
        <f>IF(B775="CRYPTO",N775,0)</f>
        <v>0</v>
      </c>
      <c r="AC775" s="250">
        <f>IF(D775="O",IF(AB775&lt;0,AB775,0),0)</f>
        <v>0</v>
      </c>
      <c r="AD775" s="255">
        <f>IF(K775&lt;&gt;"",K775-E775,0)</f>
        <v>2.9256944444496185</v>
      </c>
      <c r="AE775" s="255">
        <f>IF(N775&gt;0,AD775,0)</f>
        <v>2.9256944444496185</v>
      </c>
      <c r="AF775" s="255">
        <f>IF(N775&lt;0,AD775,0)</f>
        <v>0</v>
      </c>
      <c r="AG775" s="255">
        <f>IF(N775=0,AD775,0)</f>
        <v>0</v>
      </c>
    </row>
    <row r="776" spans="2:33" ht="15" customHeight="1" x14ac:dyDescent="0.3">
      <c r="B776" s="196" t="s">
        <v>5</v>
      </c>
      <c r="C776" s="197" t="s">
        <v>13</v>
      </c>
      <c r="D776" s="246" t="str">
        <f>IF(E776&lt;&gt;"",IF(K776&lt;&gt;"","C","O"),"")</f>
        <v>C</v>
      </c>
      <c r="E776" s="199">
        <v>44582.916666666664</v>
      </c>
      <c r="F776" s="200" t="s">
        <v>93</v>
      </c>
      <c r="G776" s="235">
        <v>14513.87</v>
      </c>
      <c r="H776" s="235">
        <v>14598.89</v>
      </c>
      <c r="I776" s="247">
        <f>ABS(G776-H776)</f>
        <v>85.019999999998618</v>
      </c>
      <c r="J776" s="235">
        <v>13607.02</v>
      </c>
      <c r="K776" s="199">
        <v>44585.837500000001</v>
      </c>
      <c r="L776" s="235">
        <v>13981.21</v>
      </c>
      <c r="M776" s="248">
        <f>ROUND(IF(C776="L",(L776-G776),(G776-L776)),4)</f>
        <v>532.66</v>
      </c>
      <c r="N776" s="249">
        <f>IFERROR(ROUND((M776/I776),2),"")</f>
        <v>6.27</v>
      </c>
      <c r="O776" s="250">
        <f>IF(D776="O",IF(N776&lt;0,N776,0),0)</f>
        <v>0</v>
      </c>
      <c r="P776" s="251">
        <f>IF(N776&gt;= 0,N776,0)</f>
        <v>6.27</v>
      </c>
      <c r="Q776" s="251">
        <f>IF(N776&lt;0,N776,0)</f>
        <v>0</v>
      </c>
      <c r="R77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14041</v>
      </c>
      <c r="T77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14041</v>
      </c>
      <c r="U776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76" s="254">
        <f>IF(B776="FX",N776,0)</f>
        <v>0</v>
      </c>
      <c r="W776" s="254">
        <f>IF(D776="O",IF(V776&lt;0,V776,0),0)</f>
        <v>0</v>
      </c>
      <c r="X776" s="254">
        <f>IF(B776="COM",N776,0)</f>
        <v>0</v>
      </c>
      <c r="Y776" s="254">
        <f>IF(D776="O",IF(X776&lt;0,X776,0),0)</f>
        <v>0</v>
      </c>
      <c r="Z776" s="254">
        <f>IF(B776="IND",N776,0)</f>
        <v>6.27</v>
      </c>
      <c r="AA776" s="250">
        <f>IF(D776="O",IF(Z776&lt;0,Z776,0),0)</f>
        <v>0</v>
      </c>
      <c r="AB776" s="254">
        <f>IF(B776="CRYPTO",N776,0)</f>
        <v>0</v>
      </c>
      <c r="AC776" s="250">
        <f>IF(D776="O",IF(AB776&lt;0,AB776,0),0)</f>
        <v>0</v>
      </c>
      <c r="AD776" s="255">
        <f>IF(K776&lt;&gt;"",K776-E776,0)</f>
        <v>2.9208333333372138</v>
      </c>
      <c r="AE776" s="255">
        <f>IF(N776&gt;0,AD776,0)</f>
        <v>2.9208333333372138</v>
      </c>
      <c r="AF776" s="255">
        <f>IF(N776&lt;0,AD776,0)</f>
        <v>0</v>
      </c>
      <c r="AG776" s="255">
        <f>IF(N776=0,AD776,0)</f>
        <v>0</v>
      </c>
    </row>
    <row r="777" spans="2:33" ht="15" customHeight="1" x14ac:dyDescent="0.3">
      <c r="B777" s="196" t="s">
        <v>5</v>
      </c>
      <c r="C777" s="197" t="s">
        <v>13</v>
      </c>
      <c r="D777" s="246" t="str">
        <f>IF(E777&lt;&gt;"",IF(K777&lt;&gt;"","C","O"),"")</f>
        <v>C</v>
      </c>
      <c r="E777" s="199">
        <v>44582.59375</v>
      </c>
      <c r="F777" s="200" t="s">
        <v>91</v>
      </c>
      <c r="G777" s="235">
        <v>15616.63</v>
      </c>
      <c r="H777" s="235">
        <v>15655.49</v>
      </c>
      <c r="I777" s="247">
        <f>ABS(G777-H777)</f>
        <v>38.860000000000582</v>
      </c>
      <c r="J777" s="235">
        <v>14891.26</v>
      </c>
      <c r="K777" s="199">
        <v>44585.784722222219</v>
      </c>
      <c r="L777" s="235">
        <v>14891.26</v>
      </c>
      <c r="M777" s="248">
        <f>ROUND(IF(C777="L",(L777-G777),(G777-L777)),4)</f>
        <v>725.37</v>
      </c>
      <c r="N777" s="249">
        <f>IFERROR(ROUND((M777/I777),2),"")</f>
        <v>18.670000000000002</v>
      </c>
      <c r="O777" s="250">
        <f>IF(D777="O",IF(N777&lt;0,N777,0),0)</f>
        <v>0</v>
      </c>
      <c r="P777" s="251">
        <f>IF(N777&gt;= 0,N777,0)</f>
        <v>18.670000000000002</v>
      </c>
      <c r="Q777" s="251">
        <f>IF(N777&lt;0,N777,0)</f>
        <v>0</v>
      </c>
      <c r="R77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13414</v>
      </c>
      <c r="T77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13414</v>
      </c>
      <c r="U77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77" s="254">
        <f>IF(B777="FX",N777,0)</f>
        <v>0</v>
      </c>
      <c r="W777" s="254">
        <f>IF(D777="O",IF(V777&lt;0,V777,0),0)</f>
        <v>0</v>
      </c>
      <c r="X777" s="254">
        <f>IF(B777="COM",N777,0)</f>
        <v>0</v>
      </c>
      <c r="Y777" s="254">
        <f>IF(D777="O",IF(X777&lt;0,X777,0),0)</f>
        <v>0</v>
      </c>
      <c r="Z777" s="254">
        <f>IF(B777="IND",N777,0)</f>
        <v>18.670000000000002</v>
      </c>
      <c r="AA777" s="250">
        <f>IF(D777="O",IF(Z777&lt;0,Z777,0),0)</f>
        <v>0</v>
      </c>
      <c r="AB777" s="254">
        <f>IF(B777="CRYPTO",N777,0)</f>
        <v>0</v>
      </c>
      <c r="AC777" s="250">
        <f>IF(D777="O",IF(AB777&lt;0,AB777,0),0)</f>
        <v>0</v>
      </c>
      <c r="AD777" s="255">
        <f>IF(K777&lt;&gt;"",K777-E777,0)</f>
        <v>3.1909722222189885</v>
      </c>
      <c r="AE777" s="255">
        <f>IF(N777&gt;0,AD777,0)</f>
        <v>3.1909722222189885</v>
      </c>
      <c r="AF777" s="255">
        <f>IF(N777&lt;0,AD777,0)</f>
        <v>0</v>
      </c>
      <c r="AG777" s="255">
        <f>IF(N777=0,AD777,0)</f>
        <v>0</v>
      </c>
    </row>
    <row r="778" spans="2:33" ht="15" customHeight="1" x14ac:dyDescent="0.3">
      <c r="B778" s="196" t="s">
        <v>7</v>
      </c>
      <c r="C778" s="197" t="s">
        <v>13</v>
      </c>
      <c r="D778" s="246" t="str">
        <f>IF(E778&lt;&gt;"",IF(K778&lt;&gt;"","C","O"),"")</f>
        <v>C</v>
      </c>
      <c r="E778" s="199">
        <v>44585.625</v>
      </c>
      <c r="F778" s="200" t="s">
        <v>114</v>
      </c>
      <c r="G778" s="235">
        <v>1.12978</v>
      </c>
      <c r="H778" s="235">
        <v>1.1314299999999999</v>
      </c>
      <c r="I778" s="247">
        <f>ABS(G778-H778)</f>
        <v>1.6499999999999293E-3</v>
      </c>
      <c r="J778" s="235">
        <v>1.11497</v>
      </c>
      <c r="K778" s="199">
        <v>44585.730555555558</v>
      </c>
      <c r="L778" s="235">
        <v>1.1314299999999999</v>
      </c>
      <c r="M778" s="248">
        <f>ROUND(IF(C778="L",(L778-G778),(G778-L778)),4)</f>
        <v>-1.6000000000000001E-3</v>
      </c>
      <c r="N778" s="249">
        <f>IFERROR(ROUND((M778/I778),2),"")</f>
        <v>-0.97</v>
      </c>
      <c r="O778" s="250">
        <f>IF(D778="O",IF(N778&lt;0,N778,0),0)</f>
        <v>0</v>
      </c>
      <c r="P778" s="251">
        <f>IF(N778&gt;= 0,N778,0)</f>
        <v>0</v>
      </c>
      <c r="Q778" s="251">
        <f>IF(N778&lt;0,N778,0)</f>
        <v>-0.97</v>
      </c>
      <c r="R77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11547</v>
      </c>
      <c r="T77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78" s="253">
        <f ca="1">IF(Tabla33610673[[#This Row],[Equity]]&lt;Tabla33610673[[#This Row],[Equity Peak]],(Tabla33610673[[#This Row],[Equity Peak]]-Tabla33610673[[#This Row],[Equity]])/Tabla33610673[[#This Row],[Equity Peak]],"")</f>
        <v>2.235204470408941E-2</v>
      </c>
      <c r="V778" s="254">
        <f>IF(B778="FX",N778,0)</f>
        <v>-0.97</v>
      </c>
      <c r="W778" s="254">
        <f>IF(D778="O",IF(V778&lt;0,V778,0),0)</f>
        <v>0</v>
      </c>
      <c r="X778" s="254">
        <f>IF(B778="COM",N778,0)</f>
        <v>0</v>
      </c>
      <c r="Y778" s="254">
        <f>IF(D778="O",IF(X778&lt;0,X778,0),0)</f>
        <v>0</v>
      </c>
      <c r="Z778" s="254">
        <f>IF(B778="IND",N778,0)</f>
        <v>0</v>
      </c>
      <c r="AA778" s="250">
        <f>IF(D778="O",IF(Z778&lt;0,Z778,0),0)</f>
        <v>0</v>
      </c>
      <c r="AB778" s="254">
        <f>IF(B778="CRYPTO",N778,0)</f>
        <v>0</v>
      </c>
      <c r="AC778" s="250">
        <f>IF(D778="O",IF(AB778&lt;0,AB778,0),0)</f>
        <v>0</v>
      </c>
      <c r="AD778" s="255">
        <f>IF(K778&lt;&gt;"",K778-E778,0)</f>
        <v>0.1055555555576575</v>
      </c>
      <c r="AE778" s="255">
        <f>IF(N778&gt;0,AD778,0)</f>
        <v>0</v>
      </c>
      <c r="AF778" s="255">
        <f>IF(N778&lt;0,AD778,0)</f>
        <v>0.1055555555576575</v>
      </c>
      <c r="AG778" s="255">
        <f>IF(N778=0,AD778,0)</f>
        <v>0</v>
      </c>
    </row>
    <row r="779" spans="2:33" ht="15" customHeight="1" x14ac:dyDescent="0.3">
      <c r="B779" s="196" t="s">
        <v>5</v>
      </c>
      <c r="C779" s="197" t="s">
        <v>13</v>
      </c>
      <c r="D779" s="246" t="str">
        <f>IF(E779&lt;&gt;"",IF(K779&lt;&gt;"","C","O"),"")</f>
        <v>C</v>
      </c>
      <c r="E779" s="199">
        <v>44581.9375</v>
      </c>
      <c r="F779" s="200" t="s">
        <v>92</v>
      </c>
      <c r="G779" s="235">
        <v>14972.2</v>
      </c>
      <c r="H779" s="235">
        <v>15023.02</v>
      </c>
      <c r="I779" s="247">
        <f>ABS(G779-H779)</f>
        <v>50.819999999999709</v>
      </c>
      <c r="J779" s="235">
        <v>14023.49</v>
      </c>
      <c r="K779" s="199">
        <v>44582.765972222223</v>
      </c>
      <c r="L779" s="235">
        <v>14840.59</v>
      </c>
      <c r="M779" s="248">
        <f>ROUND(IF(C779="L",(L779-G779),(G779-L779)),4)</f>
        <v>131.61000000000001</v>
      </c>
      <c r="N779" s="249">
        <f>IFERROR(ROUND((M779/I779),2),"")</f>
        <v>2.59</v>
      </c>
      <c r="O779" s="250">
        <f>IF(D779="O",IF(N779&lt;0,N779,0),0)</f>
        <v>0</v>
      </c>
      <c r="P779" s="251">
        <f>IF(N779&gt;= 0,N779,0)</f>
        <v>2.59</v>
      </c>
      <c r="Q779" s="251">
        <f>IF(N779&lt;0,N779,0)</f>
        <v>0</v>
      </c>
      <c r="R77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11644</v>
      </c>
      <c r="T77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79" s="253">
        <f ca="1">IF(Tabla33610673[[#This Row],[Equity]]&lt;Tabla33610673[[#This Row],[Equity Peak]],(Tabla33610673[[#This Row],[Equity Peak]]-Tabla33610673[[#This Row],[Equity]])/Tabla33610673[[#This Row],[Equity Peak]],"")</f>
        <v>1.4139361612056558E-2</v>
      </c>
      <c r="V779" s="254">
        <f>IF(B779="FX",N779,0)</f>
        <v>0</v>
      </c>
      <c r="W779" s="254">
        <f>IF(D779="O",IF(V779&lt;0,V779,0),0)</f>
        <v>0</v>
      </c>
      <c r="X779" s="254">
        <f>IF(B779="COM",N779,0)</f>
        <v>0</v>
      </c>
      <c r="Y779" s="254">
        <f>IF(D779="O",IF(X779&lt;0,X779,0),0)</f>
        <v>0</v>
      </c>
      <c r="Z779" s="254">
        <f>IF(B779="IND",N779,0)</f>
        <v>2.59</v>
      </c>
      <c r="AA779" s="250">
        <f>IF(D779="O",IF(Z779&lt;0,Z779,0),0)</f>
        <v>0</v>
      </c>
      <c r="AB779" s="254">
        <f>IF(B779="CRYPTO",N779,0)</f>
        <v>0</v>
      </c>
      <c r="AC779" s="250">
        <f>IF(D779="O",IF(AB779&lt;0,AB779,0),0)</f>
        <v>0</v>
      </c>
      <c r="AD779" s="255">
        <f>IF(K779&lt;&gt;"",K779-E779,0)</f>
        <v>0.82847222222335404</v>
      </c>
      <c r="AE779" s="255">
        <f>IF(N779&gt;0,AD779,0)</f>
        <v>0.82847222222335404</v>
      </c>
      <c r="AF779" s="255">
        <f>IF(N779&lt;0,AD779,0)</f>
        <v>0</v>
      </c>
      <c r="AG779" s="255">
        <f>IF(N779=0,AD779,0)</f>
        <v>0</v>
      </c>
    </row>
    <row r="780" spans="2:33" ht="15" customHeight="1" x14ac:dyDescent="0.3">
      <c r="B780" s="196" t="s">
        <v>7</v>
      </c>
      <c r="C780" s="197" t="s">
        <v>13</v>
      </c>
      <c r="D780" s="246" t="str">
        <f>IF(E780&lt;&gt;"",IF(K780&lt;&gt;"","C","O"),"")</f>
        <v>C</v>
      </c>
      <c r="E780" s="199">
        <v>44581.927083333336</v>
      </c>
      <c r="F780" s="200" t="s">
        <v>115</v>
      </c>
      <c r="G780" s="235">
        <v>155.31700000000001</v>
      </c>
      <c r="H780" s="235">
        <v>155.67599999999999</v>
      </c>
      <c r="I780" s="247">
        <f>ABS(G780-H780)</f>
        <v>0.35899999999998045</v>
      </c>
      <c r="J780" s="235">
        <v>154.29</v>
      </c>
      <c r="K780" s="199">
        <v>44582.563888888886</v>
      </c>
      <c r="L780" s="235">
        <v>154.29</v>
      </c>
      <c r="M780" s="248">
        <f>ROUND(IF(C780="L",(L780-G780),(G780-L780)),4)</f>
        <v>1.0269999999999999</v>
      </c>
      <c r="N780" s="249">
        <f>IFERROR(ROUND((M780/I780),2),"")</f>
        <v>2.86</v>
      </c>
      <c r="O780" s="250">
        <f>IF(D780="O",IF(N780&lt;0,N780,0),0)</f>
        <v>0</v>
      </c>
      <c r="P780" s="251">
        <f>IF(N780&gt;= 0,N780,0)</f>
        <v>2.86</v>
      </c>
      <c r="Q780" s="251">
        <f>IF(N780&lt;0,N780,0)</f>
        <v>0</v>
      </c>
      <c r="R78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11385</v>
      </c>
      <c r="T78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0" s="253">
        <f ca="1">IF(Tabla33610673[[#This Row],[Equity]]&lt;Tabla33610673[[#This Row],[Equity Peak]],(Tabla33610673[[#This Row],[Equity Peak]]-Tabla33610673[[#This Row],[Equity]])/Tabla33610673[[#This Row],[Equity Peak]],"")</f>
        <v>3.6068072136144269E-2</v>
      </c>
      <c r="V780" s="254">
        <f>IF(B780="FX",N780,0)</f>
        <v>2.86</v>
      </c>
      <c r="W780" s="254">
        <f>IF(D780="O",IF(V780&lt;0,V780,0),0)</f>
        <v>0</v>
      </c>
      <c r="X780" s="254">
        <f>IF(B780="COM",N780,0)</f>
        <v>0</v>
      </c>
      <c r="Y780" s="254">
        <f>IF(D780="O",IF(X780&lt;0,X780,0),0)</f>
        <v>0</v>
      </c>
      <c r="Z780" s="254">
        <f>IF(B780="IND",N780,0)</f>
        <v>0</v>
      </c>
      <c r="AA780" s="250">
        <f>IF(D780="O",IF(Z780&lt;0,Z780,0),0)</f>
        <v>0</v>
      </c>
      <c r="AB780" s="254">
        <f>IF(B780="CRYPTO",N780,0)</f>
        <v>0</v>
      </c>
      <c r="AC780" s="250">
        <f>IF(D780="O",IF(AB780&lt;0,AB780,0),0)</f>
        <v>0</v>
      </c>
      <c r="AD780" s="255">
        <f>IF(K780&lt;&gt;"",K780-E780,0)</f>
        <v>0.63680555555038154</v>
      </c>
      <c r="AE780" s="255">
        <f>IF(N780&gt;0,AD780,0)</f>
        <v>0.63680555555038154</v>
      </c>
      <c r="AF780" s="255">
        <f>IF(N780&lt;0,AD780,0)</f>
        <v>0</v>
      </c>
      <c r="AG780" s="255">
        <f>IF(N780=0,AD780,0)</f>
        <v>0</v>
      </c>
    </row>
    <row r="781" spans="2:33" ht="15" customHeight="1" x14ac:dyDescent="0.3">
      <c r="B781" s="196" t="s">
        <v>5</v>
      </c>
      <c r="C781" s="197" t="s">
        <v>13</v>
      </c>
      <c r="D781" s="246" t="str">
        <f>IF(E781&lt;&gt;"",IF(K781&lt;&gt;"","C","O"),"")</f>
        <v>C</v>
      </c>
      <c r="E781" s="199">
        <v>44581.9375</v>
      </c>
      <c r="F781" s="200" t="s">
        <v>93</v>
      </c>
      <c r="G781" s="235">
        <v>14972.2</v>
      </c>
      <c r="H781" s="235">
        <v>15021.66</v>
      </c>
      <c r="I781" s="247">
        <f>ABS(G781-H781)</f>
        <v>49.459999999999127</v>
      </c>
      <c r="J781" s="235">
        <v>14444.66</v>
      </c>
      <c r="K781" s="199">
        <v>44582.393750000003</v>
      </c>
      <c r="L781" s="235">
        <v>14764.28</v>
      </c>
      <c r="M781" s="248">
        <f>ROUND(IF(C781="L",(L781-G781),(G781-L781)),4)</f>
        <v>207.92</v>
      </c>
      <c r="N781" s="249">
        <f>IFERROR(ROUND((M781/I781),2),"")</f>
        <v>4.2</v>
      </c>
      <c r="O781" s="250">
        <f>IF(D781="O",IF(N781&lt;0,N781,0),0)</f>
        <v>0</v>
      </c>
      <c r="P781" s="251">
        <f>IF(N781&gt;= 0,N781,0)</f>
        <v>4.2</v>
      </c>
      <c r="Q781" s="251">
        <f>IF(N781&lt;0,N781,0)</f>
        <v>0</v>
      </c>
      <c r="R78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11099</v>
      </c>
      <c r="T78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1" s="253">
        <f ca="1">IF(Tabla33610673[[#This Row],[Equity]]&lt;Tabla33610673[[#This Row],[Equity Peak]],(Tabla33610673[[#This Row],[Equity Peak]]-Tabla33610673[[#This Row],[Equity]])/Tabla33610673[[#This Row],[Equity Peak]],"")</f>
        <v>6.0282787232241133E-2</v>
      </c>
      <c r="V781" s="254">
        <f>IF(B781="FX",N781,0)</f>
        <v>0</v>
      </c>
      <c r="W781" s="254">
        <f>IF(D781="O",IF(V781&lt;0,V781,0),0)</f>
        <v>0</v>
      </c>
      <c r="X781" s="254">
        <f>IF(B781="COM",N781,0)</f>
        <v>0</v>
      </c>
      <c r="Y781" s="254">
        <f>IF(D781="O",IF(X781&lt;0,X781,0),0)</f>
        <v>0</v>
      </c>
      <c r="Z781" s="254">
        <f>IF(B781="IND",N781,0)</f>
        <v>4.2</v>
      </c>
      <c r="AA781" s="250">
        <f>IF(D781="O",IF(Z781&lt;0,Z781,0),0)</f>
        <v>0</v>
      </c>
      <c r="AB781" s="254">
        <f>IF(B781="CRYPTO",N781,0)</f>
        <v>0</v>
      </c>
      <c r="AC781" s="250">
        <f>IF(D781="O",IF(AB781&lt;0,AB781,0),0)</f>
        <v>0</v>
      </c>
      <c r="AD781" s="255">
        <f>IF(K781&lt;&gt;"",K781-E781,0)</f>
        <v>0.45625000000291038</v>
      </c>
      <c r="AE781" s="255">
        <f>IF(N781&gt;0,AD781,0)</f>
        <v>0.45625000000291038</v>
      </c>
      <c r="AF781" s="255">
        <f>IF(N781&lt;0,AD781,0)</f>
        <v>0</v>
      </c>
      <c r="AG781" s="255">
        <f>IF(N781=0,AD781,0)</f>
        <v>0</v>
      </c>
    </row>
    <row r="782" spans="2:33" ht="15" customHeight="1" x14ac:dyDescent="0.3">
      <c r="B782" s="196" t="s">
        <v>7</v>
      </c>
      <c r="C782" s="197" t="s">
        <v>13</v>
      </c>
      <c r="D782" s="246" t="str">
        <f>IF(E782&lt;&gt;"",IF(K782&lt;&gt;"","C","O"),"")</f>
        <v>C</v>
      </c>
      <c r="E782" s="199">
        <v>44581.90625</v>
      </c>
      <c r="F782" s="200" t="s">
        <v>114</v>
      </c>
      <c r="G782" s="235">
        <v>1.13131</v>
      </c>
      <c r="H782" s="235">
        <v>1.13279</v>
      </c>
      <c r="I782" s="247">
        <f>ABS(G782-H782)</f>
        <v>1.4799999999999258E-3</v>
      </c>
      <c r="J782" s="235">
        <v>1.11802</v>
      </c>
      <c r="K782" s="199">
        <v>44582.158333333333</v>
      </c>
      <c r="L782" s="235">
        <v>1.1315900000000001</v>
      </c>
      <c r="M782" s="248">
        <f>ROUND(IF(C782="L",(L782-G782),(G782-L782)),4)</f>
        <v>-2.9999999999999997E-4</v>
      </c>
      <c r="N782" s="249">
        <f>IFERROR(ROUND((M782/I782),2),"")</f>
        <v>-0.2</v>
      </c>
      <c r="O782" s="250">
        <f>IF(D782="O",IF(N782&lt;0,N782,0),0)</f>
        <v>0</v>
      </c>
      <c r="P782" s="251">
        <f>IF(N782&gt;= 0,N782,0)</f>
        <v>0</v>
      </c>
      <c r="Q782" s="251">
        <f>IF(N782&lt;0,N782,0)</f>
        <v>-0.2</v>
      </c>
      <c r="R78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10679</v>
      </c>
      <c r="T78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2" s="253">
        <f ca="1">IF(Tabla33610673[[#This Row],[Equity]]&lt;Tabla33610673[[#This Row],[Equity Peak]],(Tabla33610673[[#This Row],[Equity Peak]]-Tabla33610673[[#This Row],[Equity]])/Tabla33610673[[#This Row],[Equity Peak]],"")</f>
        <v>9.5842858352383375E-2</v>
      </c>
      <c r="V782" s="254">
        <f>IF(B782="FX",N782,0)</f>
        <v>-0.2</v>
      </c>
      <c r="W782" s="254">
        <f>IF(D782="O",IF(V782&lt;0,V782,0),0)</f>
        <v>0</v>
      </c>
      <c r="X782" s="254">
        <f>IF(B782="COM",N782,0)</f>
        <v>0</v>
      </c>
      <c r="Y782" s="254">
        <f>IF(D782="O",IF(X782&lt;0,X782,0),0)</f>
        <v>0</v>
      </c>
      <c r="Z782" s="254">
        <f>IF(B782="IND",N782,0)</f>
        <v>0</v>
      </c>
      <c r="AA782" s="250">
        <f>IF(D782="O",IF(Z782&lt;0,Z782,0),0)</f>
        <v>0</v>
      </c>
      <c r="AB782" s="254">
        <f>IF(B782="CRYPTO",N782,0)</f>
        <v>0</v>
      </c>
      <c r="AC782" s="250">
        <f>IF(D782="O",IF(AB782&lt;0,AB782,0),0)</f>
        <v>0</v>
      </c>
      <c r="AD782" s="255">
        <f>IF(K782&lt;&gt;"",K782-E782,0)</f>
        <v>0.25208333333284827</v>
      </c>
      <c r="AE782" s="255">
        <f>IF(N782&gt;0,AD782,0)</f>
        <v>0</v>
      </c>
      <c r="AF782" s="255">
        <f>IF(N782&lt;0,AD782,0)</f>
        <v>0.25208333333284827</v>
      </c>
      <c r="AG782" s="255">
        <f>IF(N782=0,AD782,0)</f>
        <v>0</v>
      </c>
    </row>
    <row r="783" spans="2:33" ht="15" customHeight="1" x14ac:dyDescent="0.3">
      <c r="B783" s="196" t="s">
        <v>19</v>
      </c>
      <c r="C783" s="197" t="s">
        <v>15</v>
      </c>
      <c r="D783" s="246" t="str">
        <f>IF(E783&lt;&gt;"",IF(K783&lt;&gt;"","C","O"),"")</f>
        <v>C</v>
      </c>
      <c r="E783" s="199">
        <v>44580.71875</v>
      </c>
      <c r="F783" s="200" t="s">
        <v>88</v>
      </c>
      <c r="G783" s="235">
        <v>1836.99</v>
      </c>
      <c r="H783" s="235">
        <v>1834.59</v>
      </c>
      <c r="I783" s="247">
        <f>ABS(G783-H783)</f>
        <v>2.4000000000000909</v>
      </c>
      <c r="J783" s="235">
        <v>1865.83</v>
      </c>
      <c r="K783" s="199">
        <v>44581.599305555559</v>
      </c>
      <c r="L783" s="235">
        <v>1836.37</v>
      </c>
      <c r="M783" s="248">
        <f>ROUND(IF(C783="L",(L783-G783),(G783-L783)),4)</f>
        <v>-0.62</v>
      </c>
      <c r="N783" s="249">
        <f>IFERROR(ROUND((M783/I783),2),"")</f>
        <v>-0.26</v>
      </c>
      <c r="O783" s="250">
        <f>IF(D783="O",IF(N783&lt;0,N783,0),0)</f>
        <v>0</v>
      </c>
      <c r="P783" s="251">
        <f>IF(N783&gt;= 0,N783,0)</f>
        <v>0</v>
      </c>
      <c r="Q783" s="251">
        <f>IF(N783&lt;0,N783,0)</f>
        <v>-0.26</v>
      </c>
      <c r="R78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10699</v>
      </c>
      <c r="T78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3" s="253">
        <f ca="1">IF(Tabla33610673[[#This Row],[Equity]]&lt;Tabla33610673[[#This Row],[Equity Peak]],(Tabla33610673[[#This Row],[Equity Peak]]-Tabla33610673[[#This Row],[Equity]])/Tabla33610673[[#This Row],[Equity Peak]],"")</f>
        <v>9.4149521632376595E-2</v>
      </c>
      <c r="V783" s="254">
        <f>IF(B783="FX",N783,0)</f>
        <v>0</v>
      </c>
      <c r="W783" s="254">
        <f>IF(D783="O",IF(V783&lt;0,V783,0),0)</f>
        <v>0</v>
      </c>
      <c r="X783" s="254">
        <f>IF(B783="COM",N783,0)</f>
        <v>-0.26</v>
      </c>
      <c r="Y783" s="254">
        <f>IF(D783="O",IF(X783&lt;0,X783,0),0)</f>
        <v>0</v>
      </c>
      <c r="Z783" s="254">
        <f>IF(B783="IND",N783,0)</f>
        <v>0</v>
      </c>
      <c r="AA783" s="250">
        <f>IF(D783="O",IF(Z783&lt;0,Z783,0),0)</f>
        <v>0</v>
      </c>
      <c r="AB783" s="254">
        <f>IF(B783="CRYPTO",N783,0)</f>
        <v>0</v>
      </c>
      <c r="AC783" s="250">
        <f>IF(D783="O",IF(AB783&lt;0,AB783,0),0)</f>
        <v>0</v>
      </c>
      <c r="AD783" s="255">
        <f>IF(K783&lt;&gt;"",K783-E783,0)</f>
        <v>0.88055555555911269</v>
      </c>
      <c r="AE783" s="255">
        <f>IF(N783&gt;0,AD783,0)</f>
        <v>0</v>
      </c>
      <c r="AF783" s="255">
        <f>IF(N783&lt;0,AD783,0)</f>
        <v>0.88055555555911269</v>
      </c>
      <c r="AG783" s="255">
        <f>IF(N783=0,AD783,0)</f>
        <v>0</v>
      </c>
    </row>
    <row r="784" spans="2:33" ht="15" customHeight="1" x14ac:dyDescent="0.3">
      <c r="B784" s="196" t="s">
        <v>5</v>
      </c>
      <c r="C784" s="197" t="s">
        <v>13</v>
      </c>
      <c r="D784" s="246" t="str">
        <f>IF(E784&lt;&gt;"",IF(K784&lt;&gt;"","C","O"),"")</f>
        <v>C</v>
      </c>
      <c r="E784" s="199">
        <v>44580.958333333336</v>
      </c>
      <c r="F784" s="200" t="s">
        <v>92</v>
      </c>
      <c r="G784" s="235">
        <v>15039.82</v>
      </c>
      <c r="H784" s="235">
        <v>15102.47</v>
      </c>
      <c r="I784" s="247">
        <f>ABS(G784-H784)</f>
        <v>62.649999999999636</v>
      </c>
      <c r="J784" s="235">
        <v>13870.35</v>
      </c>
      <c r="K784" s="199">
        <v>44581.237500000003</v>
      </c>
      <c r="L784" s="235">
        <v>15102.47</v>
      </c>
      <c r="M784" s="248">
        <f>ROUND(IF(C784="L",(L784-G784),(G784-L784)),4)</f>
        <v>-62.65</v>
      </c>
      <c r="N784" s="249">
        <f>IFERROR(ROUND((M784/I784),2),"")</f>
        <v>-1</v>
      </c>
      <c r="O784" s="250">
        <f>IF(D784="O",IF(N784&lt;0,N784,0),0)</f>
        <v>0</v>
      </c>
      <c r="P784" s="251">
        <f>IF(N784&gt;= 0,N784,0)</f>
        <v>0</v>
      </c>
      <c r="Q784" s="251">
        <f>IF(N784&lt;0,N784,0)</f>
        <v>-1</v>
      </c>
      <c r="R78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10725</v>
      </c>
      <c r="T78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4" s="253">
        <f ca="1">IF(Tabla33610673[[#This Row],[Equity]]&lt;Tabla33610673[[#This Row],[Equity Peak]],(Tabla33610673[[#This Row],[Equity Peak]]-Tabla33610673[[#This Row],[Equity]])/Tabla33610673[[#This Row],[Equity Peak]],"")</f>
        <v>9.1948183896367788E-2</v>
      </c>
      <c r="V784" s="254">
        <f>IF(B784="FX",N784,0)</f>
        <v>0</v>
      </c>
      <c r="W784" s="254">
        <f>IF(D784="O",IF(V784&lt;0,V784,0),0)</f>
        <v>0</v>
      </c>
      <c r="X784" s="254">
        <f>IF(B784="COM",N784,0)</f>
        <v>0</v>
      </c>
      <c r="Y784" s="254">
        <f>IF(D784="O",IF(X784&lt;0,X784,0),0)</f>
        <v>0</v>
      </c>
      <c r="Z784" s="254">
        <f>IF(B784="IND",N784,0)</f>
        <v>-1</v>
      </c>
      <c r="AA784" s="250">
        <f>IF(D784="O",IF(Z784&lt;0,Z784,0),0)</f>
        <v>0</v>
      </c>
      <c r="AB784" s="254">
        <f>IF(B784="CRYPTO",N784,0)</f>
        <v>0</v>
      </c>
      <c r="AC784" s="250">
        <f>IF(D784="O",IF(AB784&lt;0,AB784,0),0)</f>
        <v>0</v>
      </c>
      <c r="AD784" s="255">
        <f>IF(K784&lt;&gt;"",K784-E784,0)</f>
        <v>0.27916666666715173</v>
      </c>
      <c r="AE784" s="255">
        <f>IF(N784&gt;0,AD784,0)</f>
        <v>0</v>
      </c>
      <c r="AF784" s="255">
        <f>IF(N784&lt;0,AD784,0)</f>
        <v>0.27916666666715173</v>
      </c>
      <c r="AG784" s="255">
        <f>IF(N784=0,AD784,0)</f>
        <v>0</v>
      </c>
    </row>
    <row r="785" spans="2:33" ht="15" customHeight="1" x14ac:dyDescent="0.3">
      <c r="B785" s="196" t="s">
        <v>5</v>
      </c>
      <c r="C785" s="197" t="s">
        <v>13</v>
      </c>
      <c r="D785" s="246" t="str">
        <f>IF(E785&lt;&gt;"",IF(K785&lt;&gt;"","C","O"),"")</f>
        <v>C</v>
      </c>
      <c r="E785" s="199">
        <v>44580.958333333336</v>
      </c>
      <c r="F785" s="200" t="s">
        <v>93</v>
      </c>
      <c r="G785" s="235">
        <v>15039.82</v>
      </c>
      <c r="H785" s="235">
        <v>15098.65</v>
      </c>
      <c r="I785" s="247">
        <f>ABS(G785-H785)</f>
        <v>58.829999999999927</v>
      </c>
      <c r="J785" s="235">
        <v>14412.29</v>
      </c>
      <c r="K785" s="199">
        <v>44581.234722222223</v>
      </c>
      <c r="L785" s="235">
        <v>15098.65</v>
      </c>
      <c r="M785" s="248">
        <f>ROUND(IF(C785="L",(L785-G785),(G785-L785)),4)</f>
        <v>-58.83</v>
      </c>
      <c r="N785" s="249">
        <f>IFERROR(ROUND((M785/I785),2),"")</f>
        <v>-1</v>
      </c>
      <c r="O785" s="250">
        <f>IF(D785="O",IF(N785&lt;0,N785,0),0)</f>
        <v>0</v>
      </c>
      <c r="P785" s="251">
        <f>IF(N785&gt;= 0,N785,0)</f>
        <v>0</v>
      </c>
      <c r="Q785" s="251">
        <f>IF(N785&lt;0,N785,0)</f>
        <v>-1</v>
      </c>
      <c r="R78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10825</v>
      </c>
      <c r="T78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5" s="253">
        <f ca="1">IF(Tabla33610673[[#This Row],[Equity]]&lt;Tabla33610673[[#This Row],[Equity Peak]],(Tabla33610673[[#This Row],[Equity Peak]]-Tabla33610673[[#This Row],[Equity]])/Tabla33610673[[#This Row],[Equity Peak]],"")</f>
        <v>8.348150029633393E-2</v>
      </c>
      <c r="V785" s="254">
        <f>IF(B785="FX",N785,0)</f>
        <v>0</v>
      </c>
      <c r="W785" s="254">
        <f>IF(D785="O",IF(V785&lt;0,V785,0),0)</f>
        <v>0</v>
      </c>
      <c r="X785" s="254">
        <f>IF(B785="COM",N785,0)</f>
        <v>0</v>
      </c>
      <c r="Y785" s="254">
        <f>IF(D785="O",IF(X785&lt;0,X785,0),0)</f>
        <v>0</v>
      </c>
      <c r="Z785" s="254">
        <f>IF(B785="IND",N785,0)</f>
        <v>-1</v>
      </c>
      <c r="AA785" s="250">
        <f>IF(D785="O",IF(Z785&lt;0,Z785,0),0)</f>
        <v>0</v>
      </c>
      <c r="AB785" s="254">
        <f>IF(B785="CRYPTO",N785,0)</f>
        <v>0</v>
      </c>
      <c r="AC785" s="250">
        <f>IF(D785="O",IF(AB785&lt;0,AB785,0),0)</f>
        <v>0</v>
      </c>
      <c r="AD785" s="255">
        <f>IF(K785&lt;&gt;"",K785-E785,0)</f>
        <v>0.27638888888759539</v>
      </c>
      <c r="AE785" s="255">
        <f>IF(N785&gt;0,AD785,0)</f>
        <v>0</v>
      </c>
      <c r="AF785" s="255">
        <f>IF(N785&lt;0,AD785,0)</f>
        <v>0.27638888888759539</v>
      </c>
      <c r="AG785" s="255">
        <f>IF(N785=0,AD785,0)</f>
        <v>0</v>
      </c>
    </row>
    <row r="786" spans="2:33" ht="15" customHeight="1" x14ac:dyDescent="0.3">
      <c r="B786" s="196" t="s">
        <v>7</v>
      </c>
      <c r="C786" s="197" t="s">
        <v>13</v>
      </c>
      <c r="D786" s="246" t="str">
        <f>IF(E786&lt;&gt;"",IF(K786&lt;&gt;"","C","O"),"")</f>
        <v>C</v>
      </c>
      <c r="E786" s="199">
        <v>44579.46875</v>
      </c>
      <c r="F786" s="200" t="s">
        <v>115</v>
      </c>
      <c r="G786" s="235">
        <v>156.21</v>
      </c>
      <c r="H786" s="235">
        <v>156.518</v>
      </c>
      <c r="I786" s="247">
        <f>ABS(G786-H786)</f>
        <v>0.30799999999999272</v>
      </c>
      <c r="J786" s="235">
        <v>155.33000000000001</v>
      </c>
      <c r="K786" s="199">
        <v>44580.489583333336</v>
      </c>
      <c r="L786" s="235">
        <v>155.95699999999999</v>
      </c>
      <c r="M786" s="248">
        <f>ROUND(IF(C786="L",(L786-G786),(G786-L786)),4)</f>
        <v>0.253</v>
      </c>
      <c r="N786" s="249">
        <f>IFERROR(ROUND((M786/I786),2),"")</f>
        <v>0.82</v>
      </c>
      <c r="O786" s="250">
        <f>IF(D786="O",IF(N786&lt;0,N786,0),0)</f>
        <v>0</v>
      </c>
      <c r="P786" s="251">
        <f>IF(N786&gt;= 0,N786,0)</f>
        <v>0.82</v>
      </c>
      <c r="Q786" s="251">
        <f>IF(N786&lt;0,N786,0)</f>
        <v>0</v>
      </c>
      <c r="R78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10925</v>
      </c>
      <c r="T78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6" s="253">
        <f ca="1">IF(Tabla33610673[[#This Row],[Equity]]&lt;Tabla33610673[[#This Row],[Equity Peak]],(Tabla33610673[[#This Row],[Equity Peak]]-Tabla33610673[[#This Row],[Equity]])/Tabla33610673[[#This Row],[Equity Peak]],"")</f>
        <v>7.5014816696300057E-2</v>
      </c>
      <c r="V786" s="254">
        <f>IF(B786="FX",N786,0)</f>
        <v>0.82</v>
      </c>
      <c r="W786" s="254">
        <f>IF(D786="O",IF(V786&lt;0,V786,0),0)</f>
        <v>0</v>
      </c>
      <c r="X786" s="254">
        <f>IF(B786="COM",N786,0)</f>
        <v>0</v>
      </c>
      <c r="Y786" s="254">
        <f>IF(D786="O",IF(X786&lt;0,X786,0),0)</f>
        <v>0</v>
      </c>
      <c r="Z786" s="254">
        <f>IF(B786="IND",N786,0)</f>
        <v>0</v>
      </c>
      <c r="AA786" s="250">
        <f>IF(D786="O",IF(Z786&lt;0,Z786,0),0)</f>
        <v>0</v>
      </c>
      <c r="AB786" s="254">
        <f>IF(B786="CRYPTO",N786,0)</f>
        <v>0</v>
      </c>
      <c r="AC786" s="250">
        <f>IF(D786="O",IF(AB786&lt;0,AB786,0),0)</f>
        <v>0</v>
      </c>
      <c r="AD786" s="255">
        <f>IF(K786&lt;&gt;"",K786-E786,0)</f>
        <v>1.0208333333357587</v>
      </c>
      <c r="AE786" s="255">
        <f>IF(N786&gt;0,AD786,0)</f>
        <v>1.0208333333357587</v>
      </c>
      <c r="AF786" s="255">
        <f>IF(N786&lt;0,AD786,0)</f>
        <v>0</v>
      </c>
      <c r="AG786" s="255">
        <f>IF(N786=0,AD786,0)</f>
        <v>0</v>
      </c>
    </row>
    <row r="787" spans="2:33" ht="15" customHeight="1" x14ac:dyDescent="0.3">
      <c r="B787" s="196" t="s">
        <v>5</v>
      </c>
      <c r="C787" s="197" t="s">
        <v>13</v>
      </c>
      <c r="D787" s="246" t="str">
        <f>IF(E787&lt;&gt;"",IF(K787&lt;&gt;"","C","O"),"")</f>
        <v>C</v>
      </c>
      <c r="E787" s="199">
        <v>44580.197916666664</v>
      </c>
      <c r="F787" s="200" t="s">
        <v>92</v>
      </c>
      <c r="G787" s="235">
        <v>15141.42</v>
      </c>
      <c r="H787" s="235">
        <v>15198.7</v>
      </c>
      <c r="I787" s="247">
        <f>ABS(G787-H787)</f>
        <v>57.280000000000655</v>
      </c>
      <c r="J787" s="235">
        <v>14072.19</v>
      </c>
      <c r="K787" s="199">
        <v>44580.456944444442</v>
      </c>
      <c r="L787" s="235">
        <v>15198.7</v>
      </c>
      <c r="M787" s="248">
        <f>ROUND(IF(C787="L",(L787-G787),(G787-L787)),4)</f>
        <v>-57.28</v>
      </c>
      <c r="N787" s="249">
        <f>IFERROR(ROUND((M787/I787),2),"")</f>
        <v>-1</v>
      </c>
      <c r="O787" s="250">
        <f>IF(D787="O",IF(N787&lt;0,N787,0),0)</f>
        <v>0</v>
      </c>
      <c r="P787" s="251">
        <f>IF(N787&gt;= 0,N787,0)</f>
        <v>0</v>
      </c>
      <c r="Q787" s="251">
        <f>IF(N787&lt;0,N787,0)</f>
        <v>-1</v>
      </c>
      <c r="R78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10843</v>
      </c>
      <c r="T78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7" s="253">
        <f ca="1">IF(Tabla33610673[[#This Row],[Equity]]&lt;Tabla33610673[[#This Row],[Equity Peak]],(Tabla33610673[[#This Row],[Equity Peak]]-Tabla33610673[[#This Row],[Equity]])/Tabla33610673[[#This Row],[Equity Peak]],"")</f>
        <v>8.1957497248327835E-2</v>
      </c>
      <c r="V787" s="254">
        <f>IF(B787="FX",N787,0)</f>
        <v>0</v>
      </c>
      <c r="W787" s="254">
        <f>IF(D787="O",IF(V787&lt;0,V787,0),0)</f>
        <v>0</v>
      </c>
      <c r="X787" s="254">
        <f>IF(B787="COM",N787,0)</f>
        <v>0</v>
      </c>
      <c r="Y787" s="254">
        <f>IF(D787="O",IF(X787&lt;0,X787,0),0)</f>
        <v>0</v>
      </c>
      <c r="Z787" s="254">
        <f>IF(B787="IND",N787,0)</f>
        <v>-1</v>
      </c>
      <c r="AA787" s="250">
        <f>IF(D787="O",IF(Z787&lt;0,Z787,0),0)</f>
        <v>0</v>
      </c>
      <c r="AB787" s="254">
        <f>IF(B787="CRYPTO",N787,0)</f>
        <v>0</v>
      </c>
      <c r="AC787" s="250">
        <f>IF(D787="O",IF(AB787&lt;0,AB787,0),0)</f>
        <v>0</v>
      </c>
      <c r="AD787" s="255">
        <f>IF(K787&lt;&gt;"",K787-E787,0)</f>
        <v>0.25902777777810115</v>
      </c>
      <c r="AE787" s="255">
        <f>IF(N787&gt;0,AD787,0)</f>
        <v>0</v>
      </c>
      <c r="AF787" s="255">
        <f>IF(N787&lt;0,AD787,0)</f>
        <v>0.25902777777810115</v>
      </c>
      <c r="AG787" s="255">
        <f>IF(N787=0,AD787,0)</f>
        <v>0</v>
      </c>
    </row>
    <row r="788" spans="2:33" ht="15" customHeight="1" x14ac:dyDescent="0.3">
      <c r="B788" s="196" t="s">
        <v>5</v>
      </c>
      <c r="C788" s="197" t="s">
        <v>13</v>
      </c>
      <c r="D788" s="246" t="str">
        <f>IF(E788&lt;&gt;"",IF(K788&lt;&gt;"","C","O"),"")</f>
        <v>C</v>
      </c>
      <c r="E788" s="199">
        <v>44580.197916666664</v>
      </c>
      <c r="F788" s="200" t="s">
        <v>93</v>
      </c>
      <c r="G788" s="235">
        <v>15141.42</v>
      </c>
      <c r="H788" s="235">
        <v>15198.04</v>
      </c>
      <c r="I788" s="247">
        <f>ABS(G788-H788)</f>
        <v>56.6200000000008</v>
      </c>
      <c r="J788" s="235">
        <v>14537.45</v>
      </c>
      <c r="K788" s="199">
        <v>44580.454861111109</v>
      </c>
      <c r="L788" s="235">
        <v>15185.9</v>
      </c>
      <c r="M788" s="248">
        <f>ROUND(IF(C788="L",(L788-G788),(G788-L788)),4)</f>
        <v>-44.48</v>
      </c>
      <c r="N788" s="249">
        <f>IFERROR(ROUND((M788/I788),2),"")</f>
        <v>-0.79</v>
      </c>
      <c r="O788" s="250">
        <f>IF(D788="O",IF(N788&lt;0,N788,0),0)</f>
        <v>0</v>
      </c>
      <c r="P788" s="251">
        <f>IF(N788&gt;= 0,N788,0)</f>
        <v>0</v>
      </c>
      <c r="Q788" s="251">
        <f>IF(N788&lt;0,N788,0)</f>
        <v>-0.79</v>
      </c>
      <c r="R78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10943</v>
      </c>
      <c r="T78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8" s="253">
        <f ca="1">IF(Tabla33610673[[#This Row],[Equity]]&lt;Tabla33610673[[#This Row],[Equity Peak]],(Tabla33610673[[#This Row],[Equity Peak]]-Tabla33610673[[#This Row],[Equity]])/Tabla33610673[[#This Row],[Equity Peak]],"")</f>
        <v>7.3490813648293962E-2</v>
      </c>
      <c r="V788" s="254">
        <f>IF(B788="FX",N788,0)</f>
        <v>0</v>
      </c>
      <c r="W788" s="254">
        <f>IF(D788="O",IF(V788&lt;0,V788,0),0)</f>
        <v>0</v>
      </c>
      <c r="X788" s="254">
        <f>IF(B788="COM",N788,0)</f>
        <v>0</v>
      </c>
      <c r="Y788" s="254">
        <f>IF(D788="O",IF(X788&lt;0,X788,0),0)</f>
        <v>0</v>
      </c>
      <c r="Z788" s="254">
        <f>IF(B788="IND",N788,0)</f>
        <v>-0.79</v>
      </c>
      <c r="AA788" s="250">
        <f>IF(D788="O",IF(Z788&lt;0,Z788,0),0)</f>
        <v>0</v>
      </c>
      <c r="AB788" s="254">
        <f>IF(B788="CRYPTO",N788,0)</f>
        <v>0</v>
      </c>
      <c r="AC788" s="250">
        <f>IF(D788="O",IF(AB788&lt;0,AB788,0),0)</f>
        <v>0</v>
      </c>
      <c r="AD788" s="255">
        <f>IF(K788&lt;&gt;"",K788-E788,0)</f>
        <v>0.25694444444525288</v>
      </c>
      <c r="AE788" s="255">
        <f>IF(N788&gt;0,AD788,0)</f>
        <v>0</v>
      </c>
      <c r="AF788" s="255">
        <f>IF(N788&lt;0,AD788,0)</f>
        <v>0.25694444444525288</v>
      </c>
      <c r="AG788" s="255">
        <f>IF(N788=0,AD788,0)</f>
        <v>0</v>
      </c>
    </row>
    <row r="789" spans="2:33" ht="15" customHeight="1" x14ac:dyDescent="0.3">
      <c r="B789" s="196" t="s">
        <v>5</v>
      </c>
      <c r="C789" s="197" t="s">
        <v>13</v>
      </c>
      <c r="D789" s="246" t="str">
        <f>IF(E789&lt;&gt;"",IF(K789&lt;&gt;"","C","O"),"")</f>
        <v>C</v>
      </c>
      <c r="E789" s="199">
        <v>44579.947916666664</v>
      </c>
      <c r="F789" s="200" t="s">
        <v>92</v>
      </c>
      <c r="G789" s="235">
        <v>15192.95</v>
      </c>
      <c r="H789" s="235">
        <v>15249.04</v>
      </c>
      <c r="I789" s="247">
        <f>ABS(G789-H789)</f>
        <v>56.090000000000146</v>
      </c>
      <c r="J789" s="235">
        <v>14145.96</v>
      </c>
      <c r="K789" s="199">
        <v>44580.043749999997</v>
      </c>
      <c r="L789" s="235">
        <v>15249.04</v>
      </c>
      <c r="M789" s="248">
        <f>ROUND(IF(C789="L",(L789-G789),(G789-L789)),4)</f>
        <v>-56.09</v>
      </c>
      <c r="N789" s="249">
        <f>IFERROR(ROUND((M789/I789),2),"")</f>
        <v>-1</v>
      </c>
      <c r="O789" s="250">
        <f>IF(D789="O",IF(N789&lt;0,N789,0),0)</f>
        <v>0</v>
      </c>
      <c r="P789" s="251">
        <f>IF(N789&gt;= 0,N789,0)</f>
        <v>0</v>
      </c>
      <c r="Q789" s="251">
        <f>IF(N789&lt;0,N789,0)</f>
        <v>-1</v>
      </c>
      <c r="R78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11022</v>
      </c>
      <c r="T78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89" s="253">
        <f ca="1">IF(Tabla33610673[[#This Row],[Equity]]&lt;Tabla33610673[[#This Row],[Equity Peak]],(Tabla33610673[[#This Row],[Equity Peak]]-Tabla33610673[[#This Row],[Equity]])/Tabla33610673[[#This Row],[Equity Peak]],"")</f>
        <v>6.6802133604267205E-2</v>
      </c>
      <c r="V789" s="254">
        <f>IF(B789="FX",N789,0)</f>
        <v>0</v>
      </c>
      <c r="W789" s="254">
        <f>IF(D789="O",IF(V789&lt;0,V789,0),0)</f>
        <v>0</v>
      </c>
      <c r="X789" s="254">
        <f>IF(B789="COM",N789,0)</f>
        <v>0</v>
      </c>
      <c r="Y789" s="254">
        <f>IF(D789="O",IF(X789&lt;0,X789,0),0)</f>
        <v>0</v>
      </c>
      <c r="Z789" s="254">
        <f>IF(B789="IND",N789,0)</f>
        <v>-1</v>
      </c>
      <c r="AA789" s="250">
        <f>IF(D789="O",IF(Z789&lt;0,Z789,0),0)</f>
        <v>0</v>
      </c>
      <c r="AB789" s="254">
        <f>IF(B789="CRYPTO",N789,0)</f>
        <v>0</v>
      </c>
      <c r="AC789" s="250">
        <f>IF(D789="O",IF(AB789&lt;0,AB789,0),0)</f>
        <v>0</v>
      </c>
      <c r="AD789" s="255">
        <f>IF(K789&lt;&gt;"",K789-E789,0)</f>
        <v>9.5833333332848269E-2</v>
      </c>
      <c r="AE789" s="255">
        <f>IF(N789&gt;0,AD789,0)</f>
        <v>0</v>
      </c>
      <c r="AF789" s="255">
        <f>IF(N789&lt;0,AD789,0)</f>
        <v>9.5833333332848269E-2</v>
      </c>
      <c r="AG789" s="255">
        <f>IF(N789=0,AD789,0)</f>
        <v>0</v>
      </c>
    </row>
    <row r="790" spans="2:33" ht="15" customHeight="1" x14ac:dyDescent="0.3">
      <c r="B790" s="196" t="s">
        <v>5</v>
      </c>
      <c r="C790" s="197" t="s">
        <v>13</v>
      </c>
      <c r="D790" s="246" t="str">
        <f>IF(E790&lt;&gt;"",IF(K790&lt;&gt;"","C","O"),"")</f>
        <v>C</v>
      </c>
      <c r="E790" s="199">
        <v>44579.947916666664</v>
      </c>
      <c r="F790" s="200" t="s">
        <v>93</v>
      </c>
      <c r="G790" s="235">
        <v>15192.95</v>
      </c>
      <c r="H790" s="235">
        <v>15245.82</v>
      </c>
      <c r="I790" s="247">
        <f>ABS(G790-H790)</f>
        <v>52.869999999998981</v>
      </c>
      <c r="J790" s="235">
        <v>14628.99</v>
      </c>
      <c r="K790" s="199">
        <v>44580.043055555558</v>
      </c>
      <c r="L790" s="235">
        <v>15245.82</v>
      </c>
      <c r="M790" s="248">
        <f>ROUND(IF(C790="L",(L790-G790),(G790-L790)),4)</f>
        <v>-52.87</v>
      </c>
      <c r="N790" s="249">
        <f>IFERROR(ROUND((M790/I790),2),"")</f>
        <v>-1</v>
      </c>
      <c r="O790" s="250">
        <f>IF(D790="O",IF(N790&lt;0,N790,0),0)</f>
        <v>0</v>
      </c>
      <c r="P790" s="251">
        <f>IF(N790&gt;= 0,N790,0)</f>
        <v>0</v>
      </c>
      <c r="Q790" s="251">
        <f>IF(N790&lt;0,N790,0)</f>
        <v>-1</v>
      </c>
      <c r="R79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11122</v>
      </c>
      <c r="T79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0" s="253">
        <f ca="1">IF(Tabla33610673[[#This Row],[Equity]]&lt;Tabla33610673[[#This Row],[Equity Peak]],(Tabla33610673[[#This Row],[Equity Peak]]-Tabla33610673[[#This Row],[Equity]])/Tabla33610673[[#This Row],[Equity Peak]],"")</f>
        <v>5.833545000423334E-2</v>
      </c>
      <c r="V790" s="254">
        <f>IF(B790="FX",N790,0)</f>
        <v>0</v>
      </c>
      <c r="W790" s="254">
        <f>IF(D790="O",IF(V790&lt;0,V790,0),0)</f>
        <v>0</v>
      </c>
      <c r="X790" s="254">
        <f>IF(B790="COM",N790,0)</f>
        <v>0</v>
      </c>
      <c r="Y790" s="254">
        <f>IF(D790="O",IF(X790&lt;0,X790,0),0)</f>
        <v>0</v>
      </c>
      <c r="Z790" s="254">
        <f>IF(B790="IND",N790,0)</f>
        <v>-1</v>
      </c>
      <c r="AA790" s="250">
        <f>IF(D790="O",IF(Z790&lt;0,Z790,0),0)</f>
        <v>0</v>
      </c>
      <c r="AB790" s="254">
        <f>IF(B790="CRYPTO",N790,0)</f>
        <v>0</v>
      </c>
      <c r="AC790" s="250">
        <f>IF(D790="O",IF(AB790&lt;0,AB790,0),0)</f>
        <v>0</v>
      </c>
      <c r="AD790" s="255">
        <f>IF(K790&lt;&gt;"",K790-E790,0)</f>
        <v>9.5138888893416151E-2</v>
      </c>
      <c r="AE790" s="255">
        <f>IF(N790&gt;0,AD790,0)</f>
        <v>0</v>
      </c>
      <c r="AF790" s="255">
        <f>IF(N790&lt;0,AD790,0)</f>
        <v>9.5138888893416151E-2</v>
      </c>
      <c r="AG790" s="255">
        <f>IF(N790=0,AD790,0)</f>
        <v>0</v>
      </c>
    </row>
    <row r="791" spans="2:33" ht="15" customHeight="1" x14ac:dyDescent="0.3">
      <c r="B791" s="196" t="s">
        <v>5</v>
      </c>
      <c r="C791" s="197" t="s">
        <v>13</v>
      </c>
      <c r="D791" s="246" t="str">
        <f>IF(E791&lt;&gt;"",IF(K791&lt;&gt;"","C","O"),"")</f>
        <v>C</v>
      </c>
      <c r="E791" s="199">
        <v>44579.833333333336</v>
      </c>
      <c r="F791" s="200" t="s">
        <v>92</v>
      </c>
      <c r="G791" s="235">
        <v>15257.32</v>
      </c>
      <c r="H791" s="235">
        <v>15307.84</v>
      </c>
      <c r="I791" s="247">
        <f>ABS(G791-H791)</f>
        <v>50.520000000000437</v>
      </c>
      <c r="J791" s="235">
        <v>14314.26</v>
      </c>
      <c r="K791" s="199">
        <v>44579.908333333333</v>
      </c>
      <c r="L791" s="235">
        <v>15307.84</v>
      </c>
      <c r="M791" s="248">
        <f>ROUND(IF(C791="L",(L791-G791),(G791-L791)),4)</f>
        <v>-50.52</v>
      </c>
      <c r="N791" s="249">
        <f>IFERROR(ROUND((M791/I791),2),"")</f>
        <v>-1</v>
      </c>
      <c r="O791" s="250">
        <f>IF(D791="O",IF(N791&lt;0,N791,0),0)</f>
        <v>0</v>
      </c>
      <c r="P791" s="251">
        <f>IF(N791&gt;= 0,N791,0)</f>
        <v>0</v>
      </c>
      <c r="Q791" s="251">
        <f>IF(N791&lt;0,N791,0)</f>
        <v>-1</v>
      </c>
      <c r="R79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11222</v>
      </c>
      <c r="T79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1" s="253">
        <f ca="1">IF(Tabla33610673[[#This Row],[Equity]]&lt;Tabla33610673[[#This Row],[Equity Peak]],(Tabla33610673[[#This Row],[Equity Peak]]-Tabla33610673[[#This Row],[Equity]])/Tabla33610673[[#This Row],[Equity Peak]],"")</f>
        <v>4.9868766404199474E-2</v>
      </c>
      <c r="V791" s="254">
        <f>IF(B791="FX",N791,0)</f>
        <v>0</v>
      </c>
      <c r="W791" s="254">
        <f>IF(D791="O",IF(V791&lt;0,V791,0),0)</f>
        <v>0</v>
      </c>
      <c r="X791" s="254">
        <f>IF(B791="COM",N791,0)</f>
        <v>0</v>
      </c>
      <c r="Y791" s="254">
        <f>IF(D791="O",IF(X791&lt;0,X791,0),0)</f>
        <v>0</v>
      </c>
      <c r="Z791" s="254">
        <f>IF(B791="IND",N791,0)</f>
        <v>-1</v>
      </c>
      <c r="AA791" s="250">
        <f>IF(D791="O",IF(Z791&lt;0,Z791,0),0)</f>
        <v>0</v>
      </c>
      <c r="AB791" s="254">
        <f>IF(B791="CRYPTO",N791,0)</f>
        <v>0</v>
      </c>
      <c r="AC791" s="250">
        <f>IF(D791="O",IF(AB791&lt;0,AB791,0),0)</f>
        <v>0</v>
      </c>
      <c r="AD791" s="255">
        <f>IF(K791&lt;&gt;"",K791-E791,0)</f>
        <v>7.4999999997089617E-2</v>
      </c>
      <c r="AE791" s="255">
        <f>IF(N791&gt;0,AD791,0)</f>
        <v>0</v>
      </c>
      <c r="AF791" s="255">
        <f>IF(N791&lt;0,AD791,0)</f>
        <v>7.4999999997089617E-2</v>
      </c>
      <c r="AG791" s="255">
        <f>IF(N791=0,AD791,0)</f>
        <v>0</v>
      </c>
    </row>
    <row r="792" spans="2:33" ht="15" customHeight="1" x14ac:dyDescent="0.3">
      <c r="B792" s="196" t="s">
        <v>5</v>
      </c>
      <c r="C792" s="197" t="s">
        <v>13</v>
      </c>
      <c r="D792" s="246" t="str">
        <f>IF(E792&lt;&gt;"",IF(K792&lt;&gt;"","C","O"),"")</f>
        <v>C</v>
      </c>
      <c r="E792" s="199">
        <v>44579.833333333336</v>
      </c>
      <c r="F792" s="200" t="s">
        <v>93</v>
      </c>
      <c r="G792" s="235">
        <v>15257.32</v>
      </c>
      <c r="H792" s="235">
        <v>15306.17</v>
      </c>
      <c r="I792" s="247">
        <f>ABS(G792-H792)</f>
        <v>48.850000000000364</v>
      </c>
      <c r="J792" s="235">
        <v>14736.21</v>
      </c>
      <c r="K792" s="199">
        <v>44579.907638888886</v>
      </c>
      <c r="L792" s="235">
        <v>15306.17</v>
      </c>
      <c r="M792" s="248">
        <f>ROUND(IF(C792="L",(L792-G792),(G792-L792)),4)</f>
        <v>-48.85</v>
      </c>
      <c r="N792" s="249">
        <f>IFERROR(ROUND((M792/I792),2),"")</f>
        <v>-1</v>
      </c>
      <c r="O792" s="250">
        <f>IF(D792="O",IF(N792&lt;0,N792,0),0)</f>
        <v>0</v>
      </c>
      <c r="P792" s="251">
        <f>IF(N792&gt;= 0,N792,0)</f>
        <v>0</v>
      </c>
      <c r="Q792" s="251">
        <f>IF(N792&lt;0,N792,0)</f>
        <v>-1</v>
      </c>
      <c r="R79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11322</v>
      </c>
      <c r="T79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2" s="253">
        <f ca="1">IF(Tabla33610673[[#This Row],[Equity]]&lt;Tabla33610673[[#This Row],[Equity Peak]],(Tabla33610673[[#This Row],[Equity Peak]]-Tabla33610673[[#This Row],[Equity]])/Tabla33610673[[#This Row],[Equity Peak]],"")</f>
        <v>4.1402082804165609E-2</v>
      </c>
      <c r="V792" s="254">
        <f>IF(B792="FX",N792,0)</f>
        <v>0</v>
      </c>
      <c r="W792" s="254">
        <f>IF(D792="O",IF(V792&lt;0,V792,0),0)</f>
        <v>0</v>
      </c>
      <c r="X792" s="254">
        <f>IF(B792="COM",N792,0)</f>
        <v>0</v>
      </c>
      <c r="Y792" s="254">
        <f>IF(D792="O",IF(X792&lt;0,X792,0),0)</f>
        <v>0</v>
      </c>
      <c r="Z792" s="254">
        <f>IF(B792="IND",N792,0)</f>
        <v>-1</v>
      </c>
      <c r="AA792" s="250">
        <f>IF(D792="O",IF(Z792&lt;0,Z792,0),0)</f>
        <v>0</v>
      </c>
      <c r="AB792" s="254">
        <f>IF(B792="CRYPTO",N792,0)</f>
        <v>0</v>
      </c>
      <c r="AC792" s="250">
        <f>IF(D792="O",IF(AB792&lt;0,AB792,0),0)</f>
        <v>0</v>
      </c>
      <c r="AD792" s="255">
        <f>IF(K792&lt;&gt;"",K792-E792,0)</f>
        <v>7.4305555550381541E-2</v>
      </c>
      <c r="AE792" s="255">
        <f>IF(N792&gt;0,AD792,0)</f>
        <v>0</v>
      </c>
      <c r="AF792" s="255">
        <f>IF(N792&lt;0,AD792,0)</f>
        <v>7.4305555550381541E-2</v>
      </c>
      <c r="AG792" s="255">
        <f>IF(N792=0,AD792,0)</f>
        <v>0</v>
      </c>
    </row>
    <row r="793" spans="2:33" ht="15" customHeight="1" x14ac:dyDescent="0.3">
      <c r="B793" s="196" t="s">
        <v>5</v>
      </c>
      <c r="C793" s="197" t="s">
        <v>13</v>
      </c>
      <c r="D793" s="246" t="str">
        <f>IF(E793&lt;&gt;"",IF(K793&lt;&gt;"","C","O"),"")</f>
        <v>C</v>
      </c>
      <c r="E793" s="199">
        <v>44579.427083333336</v>
      </c>
      <c r="F793" s="200" t="s">
        <v>91</v>
      </c>
      <c r="G793" s="235">
        <v>15793.66</v>
      </c>
      <c r="H793" s="235">
        <v>15822.4</v>
      </c>
      <c r="I793" s="247">
        <f>ABS(G793-H793)</f>
        <v>28.739999999999782</v>
      </c>
      <c r="J793" s="235">
        <v>15257.14</v>
      </c>
      <c r="K793" s="199">
        <v>44579.519444444442</v>
      </c>
      <c r="L793" s="235">
        <v>15790.42</v>
      </c>
      <c r="M793" s="248">
        <f>ROUND(IF(C793="L",(L793-G793),(G793-L793)),4)</f>
        <v>3.24</v>
      </c>
      <c r="N793" s="249">
        <f>IFERROR(ROUND((M793/I793),2),"")</f>
        <v>0.11</v>
      </c>
      <c r="O793" s="250">
        <f>IF(D793="O",IF(N793&lt;0,N793,0),0)</f>
        <v>0</v>
      </c>
      <c r="P793" s="251">
        <f>IF(N793&gt;= 0,N793,0)</f>
        <v>0.11</v>
      </c>
      <c r="Q793" s="251">
        <f>IF(N793&lt;0,N793,0)</f>
        <v>0</v>
      </c>
      <c r="R79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11422</v>
      </c>
      <c r="T79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3" s="253">
        <f ca="1">IF(Tabla33610673[[#This Row],[Equity]]&lt;Tabla33610673[[#This Row],[Equity Peak]],(Tabla33610673[[#This Row],[Equity Peak]]-Tabla33610673[[#This Row],[Equity]])/Tabla33610673[[#This Row],[Equity Peak]],"")</f>
        <v>3.2935399204131743E-2</v>
      </c>
      <c r="V793" s="254">
        <f>IF(B793="FX",N793,0)</f>
        <v>0</v>
      </c>
      <c r="W793" s="254">
        <f>IF(D793="O",IF(V793&lt;0,V793,0),0)</f>
        <v>0</v>
      </c>
      <c r="X793" s="254">
        <f>IF(B793="COM",N793,0)</f>
        <v>0</v>
      </c>
      <c r="Y793" s="254">
        <f>IF(D793="O",IF(X793&lt;0,X793,0),0)</f>
        <v>0</v>
      </c>
      <c r="Z793" s="254">
        <f>IF(B793="IND",N793,0)</f>
        <v>0.11</v>
      </c>
      <c r="AA793" s="250">
        <f>IF(D793="O",IF(Z793&lt;0,Z793,0),0)</f>
        <v>0</v>
      </c>
      <c r="AB793" s="254">
        <f>IF(B793="CRYPTO",N793,0)</f>
        <v>0</v>
      </c>
      <c r="AC793" s="250">
        <f>IF(D793="O",IF(AB793&lt;0,AB793,0),0)</f>
        <v>0</v>
      </c>
      <c r="AD793" s="255">
        <f>IF(K793&lt;&gt;"",K793-E793,0)</f>
        <v>9.2361111106583849E-2</v>
      </c>
      <c r="AE793" s="255">
        <f>IF(N793&gt;0,AD793,0)</f>
        <v>9.2361111106583849E-2</v>
      </c>
      <c r="AF793" s="255">
        <f>IF(N793&lt;0,AD793,0)</f>
        <v>0</v>
      </c>
      <c r="AG793" s="255">
        <f>IF(N793=0,AD793,0)</f>
        <v>0</v>
      </c>
    </row>
    <row r="794" spans="2:33" ht="15" customHeight="1" x14ac:dyDescent="0.3">
      <c r="B794" s="196" t="s">
        <v>5</v>
      </c>
      <c r="C794" s="197" t="s">
        <v>13</v>
      </c>
      <c r="D794" s="246" t="str">
        <f>IF(E794&lt;&gt;"",IF(K794&lt;&gt;"","C","O"),"")</f>
        <v>C</v>
      </c>
      <c r="E794" s="199">
        <v>44579.479166666664</v>
      </c>
      <c r="F794" s="200" t="s">
        <v>92</v>
      </c>
      <c r="G794" s="235">
        <v>15299.72</v>
      </c>
      <c r="H794" s="235">
        <v>15333.15</v>
      </c>
      <c r="I794" s="247">
        <f>ABS(G794-H794)</f>
        <v>33.430000000000291</v>
      </c>
      <c r="J794" s="235">
        <v>14675.74</v>
      </c>
      <c r="K794" s="199">
        <v>44579.501388888886</v>
      </c>
      <c r="L794" s="235">
        <v>15333.15</v>
      </c>
      <c r="M794" s="248">
        <f>ROUND(IF(C794="L",(L794-G794),(G794-L794)),4)</f>
        <v>-33.43</v>
      </c>
      <c r="N794" s="249">
        <f>IFERROR(ROUND((M794/I794),2),"")</f>
        <v>-1</v>
      </c>
      <c r="O794" s="250">
        <f>IF(D794="O",IF(N794&lt;0,N794,0),0)</f>
        <v>0</v>
      </c>
      <c r="P794" s="251">
        <f>IF(N794&gt;= 0,N794,0)</f>
        <v>0</v>
      </c>
      <c r="Q794" s="251">
        <f>IF(N794&lt;0,N794,0)</f>
        <v>-1</v>
      </c>
      <c r="R79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11411</v>
      </c>
      <c r="T79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4" s="253">
        <f ca="1">IF(Tabla33610673[[#This Row],[Equity]]&lt;Tabla33610673[[#This Row],[Equity Peak]],(Tabla33610673[[#This Row],[Equity Peak]]-Tabla33610673[[#This Row],[Equity]])/Tabla33610673[[#This Row],[Equity Peak]],"")</f>
        <v>3.3866734400135469E-2</v>
      </c>
      <c r="V794" s="254">
        <f>IF(B794="FX",N794,0)</f>
        <v>0</v>
      </c>
      <c r="W794" s="254">
        <f>IF(D794="O",IF(V794&lt;0,V794,0),0)</f>
        <v>0</v>
      </c>
      <c r="X794" s="254">
        <f>IF(B794="COM",N794,0)</f>
        <v>0</v>
      </c>
      <c r="Y794" s="254">
        <f>IF(D794="O",IF(X794&lt;0,X794,0),0)</f>
        <v>0</v>
      </c>
      <c r="Z794" s="254">
        <f>IF(B794="IND",N794,0)</f>
        <v>-1</v>
      </c>
      <c r="AA794" s="250">
        <f>IF(D794="O",IF(Z794&lt;0,Z794,0),0)</f>
        <v>0</v>
      </c>
      <c r="AB794" s="254">
        <f>IF(B794="CRYPTO",N794,0)</f>
        <v>0</v>
      </c>
      <c r="AC794" s="250">
        <f>IF(D794="O",IF(AB794&lt;0,AB794,0),0)</f>
        <v>0</v>
      </c>
      <c r="AD794" s="255">
        <f>IF(K794&lt;&gt;"",K794-E794,0)</f>
        <v>2.2222222221898846E-2</v>
      </c>
      <c r="AE794" s="255">
        <f>IF(N794&gt;0,AD794,0)</f>
        <v>0</v>
      </c>
      <c r="AF794" s="255">
        <f>IF(N794&lt;0,AD794,0)</f>
        <v>2.2222222221898846E-2</v>
      </c>
      <c r="AG794" s="255">
        <f>IF(N794=0,AD794,0)</f>
        <v>0</v>
      </c>
    </row>
    <row r="795" spans="2:33" ht="15" customHeight="1" x14ac:dyDescent="0.3">
      <c r="B795" s="196" t="s">
        <v>5</v>
      </c>
      <c r="C795" s="197" t="s">
        <v>13</v>
      </c>
      <c r="D795" s="246" t="str">
        <f>IF(E795&lt;&gt;"",IF(K795&lt;&gt;"","C","O"),"")</f>
        <v>C</v>
      </c>
      <c r="E795" s="199">
        <v>44579.479166666664</v>
      </c>
      <c r="F795" s="200" t="s">
        <v>93</v>
      </c>
      <c r="G795" s="235">
        <v>15299.72</v>
      </c>
      <c r="H795" s="235">
        <v>15333.06</v>
      </c>
      <c r="I795" s="247">
        <f>ABS(G795-H795)</f>
        <v>33.340000000000146</v>
      </c>
      <c r="J795" s="235">
        <v>14944.08</v>
      </c>
      <c r="K795" s="199">
        <v>44579.501388888886</v>
      </c>
      <c r="L795" s="235">
        <v>15333.06</v>
      </c>
      <c r="M795" s="248">
        <f>ROUND(IF(C795="L",(L795-G795),(G795-L795)),4)</f>
        <v>-33.340000000000003</v>
      </c>
      <c r="N795" s="249">
        <f>IFERROR(ROUND((M795/I795),2),"")</f>
        <v>-1</v>
      </c>
      <c r="O795" s="250">
        <f>IF(D795="O",IF(N795&lt;0,N795,0),0)</f>
        <v>0</v>
      </c>
      <c r="P795" s="251">
        <f>IF(N795&gt;= 0,N795,0)</f>
        <v>0</v>
      </c>
      <c r="Q795" s="251">
        <f>IF(N795&lt;0,N795,0)</f>
        <v>-1</v>
      </c>
      <c r="R79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11511</v>
      </c>
      <c r="T79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5" s="253">
        <f ca="1">IF(Tabla33610673[[#This Row],[Equity]]&lt;Tabla33610673[[#This Row],[Equity Peak]],(Tabla33610673[[#This Row],[Equity Peak]]-Tabla33610673[[#This Row],[Equity]])/Tabla33610673[[#This Row],[Equity Peak]],"")</f>
        <v>2.54000508001016E-2</v>
      </c>
      <c r="V795" s="254">
        <f>IF(B795="FX",N795,0)</f>
        <v>0</v>
      </c>
      <c r="W795" s="254">
        <f>IF(D795="O",IF(V795&lt;0,V795,0),0)</f>
        <v>0</v>
      </c>
      <c r="X795" s="254">
        <f>IF(B795="COM",N795,0)</f>
        <v>0</v>
      </c>
      <c r="Y795" s="254">
        <f>IF(D795="O",IF(X795&lt;0,X795,0),0)</f>
        <v>0</v>
      </c>
      <c r="Z795" s="254">
        <f>IF(B795="IND",N795,0)</f>
        <v>-1</v>
      </c>
      <c r="AA795" s="250">
        <f>IF(D795="O",IF(Z795&lt;0,Z795,0),0)</f>
        <v>0</v>
      </c>
      <c r="AB795" s="254">
        <f>IF(B795="CRYPTO",N795,0)</f>
        <v>0</v>
      </c>
      <c r="AC795" s="250">
        <f>IF(D795="O",IF(AB795&lt;0,AB795,0),0)</f>
        <v>0</v>
      </c>
      <c r="AD795" s="255">
        <f>IF(K795&lt;&gt;"",K795-E795,0)</f>
        <v>2.2222222221898846E-2</v>
      </c>
      <c r="AE795" s="255">
        <f>IF(N795&gt;0,AD795,0)</f>
        <v>0</v>
      </c>
      <c r="AF795" s="255">
        <f>IF(N795&lt;0,AD795,0)</f>
        <v>2.2222222221898846E-2</v>
      </c>
      <c r="AG795" s="255">
        <f>IF(N795=0,AD795,0)</f>
        <v>0</v>
      </c>
    </row>
    <row r="796" spans="2:33" ht="15" customHeight="1" x14ac:dyDescent="0.3">
      <c r="B796" s="196" t="s">
        <v>7</v>
      </c>
      <c r="C796" s="197" t="s">
        <v>15</v>
      </c>
      <c r="D796" s="246" t="str">
        <f>IF(E796&lt;&gt;"",IF(K796&lt;&gt;"","C","O"),"")</f>
        <v>C</v>
      </c>
      <c r="E796" s="199">
        <v>44579.229166666664</v>
      </c>
      <c r="F796" s="200" t="s">
        <v>115</v>
      </c>
      <c r="G796" s="235">
        <v>156.76599999999999</v>
      </c>
      <c r="H796" s="235">
        <v>156.435</v>
      </c>
      <c r="I796" s="247">
        <f>ABS(G796-H796)</f>
        <v>0.33099999999998886</v>
      </c>
      <c r="J796" s="235">
        <v>157.71199999999999</v>
      </c>
      <c r="K796" s="199">
        <v>44579.447916666664</v>
      </c>
      <c r="L796" s="235">
        <v>156.435</v>
      </c>
      <c r="M796" s="248">
        <f>ROUND(IF(C796="L",(L796-G796),(G796-L796)),4)</f>
        <v>-0.33100000000000002</v>
      </c>
      <c r="N796" s="249">
        <f>IFERROR(ROUND((M796/I796),2),"")</f>
        <v>-1</v>
      </c>
      <c r="O796" s="250">
        <f>IF(D796="O",IF(N796&lt;0,N796,0),0)</f>
        <v>0</v>
      </c>
      <c r="P796" s="251">
        <f>IF(N796&gt;= 0,N796,0)</f>
        <v>0</v>
      </c>
      <c r="Q796" s="251">
        <f>IF(N796&lt;0,N796,0)</f>
        <v>-1</v>
      </c>
      <c r="R79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11611</v>
      </c>
      <c r="T79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6" s="253">
        <f ca="1">IF(Tabla33610673[[#This Row],[Equity]]&lt;Tabla33610673[[#This Row],[Equity Peak]],(Tabla33610673[[#This Row],[Equity Peak]]-Tabla33610673[[#This Row],[Equity]])/Tabla33610673[[#This Row],[Equity Peak]],"")</f>
        <v>1.6933367200067734E-2</v>
      </c>
      <c r="V796" s="254">
        <f>IF(B796="FX",N796,0)</f>
        <v>-1</v>
      </c>
      <c r="W796" s="254">
        <f>IF(D796="O",IF(V796&lt;0,V796,0),0)</f>
        <v>0</v>
      </c>
      <c r="X796" s="254">
        <f>IF(B796="COM",N796,0)</f>
        <v>0</v>
      </c>
      <c r="Y796" s="254">
        <f>IF(D796="O",IF(X796&lt;0,X796,0),0)</f>
        <v>0</v>
      </c>
      <c r="Z796" s="254">
        <f>IF(B796="IND",N796,0)</f>
        <v>0</v>
      </c>
      <c r="AA796" s="250">
        <f>IF(D796="O",IF(Z796&lt;0,Z796,0),0)</f>
        <v>0</v>
      </c>
      <c r="AB796" s="254">
        <f>IF(B796="CRYPTO",N796,0)</f>
        <v>0</v>
      </c>
      <c r="AC796" s="250">
        <f>IF(D796="O",IF(AB796&lt;0,AB796,0),0)</f>
        <v>0</v>
      </c>
      <c r="AD796" s="255">
        <f>IF(K796&lt;&gt;"",K796-E796,0)</f>
        <v>0.21875</v>
      </c>
      <c r="AE796" s="255">
        <f>IF(N796&gt;0,AD796,0)</f>
        <v>0</v>
      </c>
      <c r="AF796" s="255">
        <f>IF(N796&lt;0,AD796,0)</f>
        <v>0.21875</v>
      </c>
      <c r="AG796" s="255">
        <f>IF(N796=0,AD796,0)</f>
        <v>0</v>
      </c>
    </row>
    <row r="797" spans="2:33" ht="15" customHeight="1" x14ac:dyDescent="0.3">
      <c r="B797" s="196" t="s">
        <v>7</v>
      </c>
      <c r="C797" s="197" t="s">
        <v>15</v>
      </c>
      <c r="D797" s="246" t="str">
        <f>IF(E797&lt;&gt;"",IF(K797&lt;&gt;"","C","O"),"")</f>
        <v>C</v>
      </c>
      <c r="E797" s="199">
        <v>44578.510416666664</v>
      </c>
      <c r="F797" s="200" t="s">
        <v>115</v>
      </c>
      <c r="G797" s="235">
        <v>156.666</v>
      </c>
      <c r="H797" s="235">
        <v>156.29499999999999</v>
      </c>
      <c r="I797" s="247">
        <f>ABS(G797-H797)</f>
        <v>0.37100000000000932</v>
      </c>
      <c r="J797" s="235">
        <v>157.72499999999999</v>
      </c>
      <c r="K797" s="199">
        <v>44578.591666666667</v>
      </c>
      <c r="L797" s="235">
        <v>156.29499999999999</v>
      </c>
      <c r="M797" s="248">
        <f>ROUND(IF(C797="L",(L797-G797),(G797-L797)),4)</f>
        <v>-0.371</v>
      </c>
      <c r="N797" s="249">
        <f>IFERROR(ROUND((M797/I797),2),"")</f>
        <v>-1</v>
      </c>
      <c r="O797" s="250">
        <f>IF(D797="O",IF(N797&lt;0,N797,0),0)</f>
        <v>0</v>
      </c>
      <c r="P797" s="251">
        <f>IF(N797&gt;= 0,N797,0)</f>
        <v>0</v>
      </c>
      <c r="Q797" s="251">
        <f>IF(N797&lt;0,N797,0)</f>
        <v>-1</v>
      </c>
      <c r="R79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11711</v>
      </c>
      <c r="T79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7" s="253">
        <f ca="1">IF(Tabla33610673[[#This Row],[Equity]]&lt;Tabla33610673[[#This Row],[Equity Peak]],(Tabla33610673[[#This Row],[Equity Peak]]-Tabla33610673[[#This Row],[Equity]])/Tabla33610673[[#This Row],[Equity Peak]],"")</f>
        <v>8.4666836000338672E-3</v>
      </c>
      <c r="V797" s="254">
        <f>IF(B797="FX",N797,0)</f>
        <v>-1</v>
      </c>
      <c r="W797" s="254">
        <f>IF(D797="O",IF(V797&lt;0,V797,0),0)</f>
        <v>0</v>
      </c>
      <c r="X797" s="254">
        <f>IF(B797="COM",N797,0)</f>
        <v>0</v>
      </c>
      <c r="Y797" s="254">
        <f>IF(D797="O",IF(X797&lt;0,X797,0),0)</f>
        <v>0</v>
      </c>
      <c r="Z797" s="254">
        <f>IF(B797="IND",N797,0)</f>
        <v>0</v>
      </c>
      <c r="AA797" s="250">
        <f>IF(D797="O",IF(Z797&lt;0,Z797,0),0)</f>
        <v>0</v>
      </c>
      <c r="AB797" s="254">
        <f>IF(B797="CRYPTO",N797,0)</f>
        <v>0</v>
      </c>
      <c r="AC797" s="250">
        <f>IF(D797="O",IF(AB797&lt;0,AB797,0),0)</f>
        <v>0</v>
      </c>
      <c r="AD797" s="255">
        <f>IF(K797&lt;&gt;"",K797-E797,0)</f>
        <v>8.1250000002910383E-2</v>
      </c>
      <c r="AE797" s="255">
        <f>IF(N797&gt;0,AD797,0)</f>
        <v>0</v>
      </c>
      <c r="AF797" s="255">
        <f>IF(N797&lt;0,AD797,0)</f>
        <v>8.1250000002910383E-2</v>
      </c>
      <c r="AG797" s="255">
        <f>IF(N797=0,AD797,0)</f>
        <v>0</v>
      </c>
    </row>
    <row r="798" spans="2:33" ht="15" customHeight="1" x14ac:dyDescent="0.3">
      <c r="B798" s="196" t="s">
        <v>5</v>
      </c>
      <c r="C798" s="197" t="s">
        <v>13</v>
      </c>
      <c r="D798" s="246" t="str">
        <f>IF(E798&lt;&gt;"",IF(K798&lt;&gt;"","C","O"),"")</f>
        <v>C</v>
      </c>
      <c r="E798" s="199">
        <v>44574.947916666664</v>
      </c>
      <c r="F798" s="200" t="s">
        <v>92</v>
      </c>
      <c r="G798" s="235">
        <v>15537.26</v>
      </c>
      <c r="H798" s="235">
        <v>15582.76</v>
      </c>
      <c r="I798" s="247">
        <f>ABS(G798-H798)</f>
        <v>45.5</v>
      </c>
      <c r="J798" s="235">
        <v>14687.94</v>
      </c>
      <c r="K798" s="199">
        <v>44575.693055555559</v>
      </c>
      <c r="L798" s="235">
        <v>15493.93</v>
      </c>
      <c r="M798" s="248">
        <f>ROUND(IF(C798="L",(L798-G798),(G798-L798)),4)</f>
        <v>43.33</v>
      </c>
      <c r="N798" s="249">
        <f>IFERROR(ROUND((M798/I798),2),"")</f>
        <v>0.95</v>
      </c>
      <c r="O798" s="250">
        <f>IF(D798="O",IF(N798&lt;0,N798,0),0)</f>
        <v>0</v>
      </c>
      <c r="P798" s="251">
        <f>IF(N798&gt;= 0,N798,0)</f>
        <v>0.95</v>
      </c>
      <c r="Q798" s="251">
        <f>IF(N798&lt;0,N798,0)</f>
        <v>0</v>
      </c>
      <c r="R79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11811</v>
      </c>
      <c r="T79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11811</v>
      </c>
      <c r="U798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98" s="254">
        <f>IF(B798="FX",N798,0)</f>
        <v>0</v>
      </c>
      <c r="W798" s="254">
        <f>IF(D798="O",IF(V798&lt;0,V798,0),0)</f>
        <v>0</v>
      </c>
      <c r="X798" s="254">
        <f>IF(B798="COM",N798,0)</f>
        <v>0</v>
      </c>
      <c r="Y798" s="254">
        <f>IF(D798="O",IF(X798&lt;0,X798,0),0)</f>
        <v>0</v>
      </c>
      <c r="Z798" s="254">
        <f>IF(B798="IND",N798,0)</f>
        <v>0.95</v>
      </c>
      <c r="AA798" s="250">
        <f>IF(D798="O",IF(Z798&lt;0,Z798,0),0)</f>
        <v>0</v>
      </c>
      <c r="AB798" s="254">
        <f>IF(B798="CRYPTO",N798,0)</f>
        <v>0</v>
      </c>
      <c r="AC798" s="250">
        <f>IF(D798="O",IF(AB798&lt;0,AB798,0),0)</f>
        <v>0</v>
      </c>
      <c r="AD798" s="255">
        <f>IF(K798&lt;&gt;"",K798-E798,0)</f>
        <v>0.74513888889487134</v>
      </c>
      <c r="AE798" s="255">
        <f>IF(N798&gt;0,AD798,0)</f>
        <v>0.74513888889487134</v>
      </c>
      <c r="AF798" s="255">
        <f>IF(N798&lt;0,AD798,0)</f>
        <v>0</v>
      </c>
      <c r="AG798" s="255">
        <f>IF(N798=0,AD798,0)</f>
        <v>0</v>
      </c>
    </row>
    <row r="799" spans="2:33" ht="15" customHeight="1" x14ac:dyDescent="0.3">
      <c r="B799" s="196" t="s">
        <v>7</v>
      </c>
      <c r="C799" s="197" t="s">
        <v>13</v>
      </c>
      <c r="D799" s="246" t="str">
        <f>IF(E799&lt;&gt;"",IF(K799&lt;&gt;"","C","O"),"")</f>
        <v>C</v>
      </c>
      <c r="E799" s="199">
        <v>44574.791666666664</v>
      </c>
      <c r="F799" s="200" t="s">
        <v>115</v>
      </c>
      <c r="G799" s="235">
        <v>156.54</v>
      </c>
      <c r="H799" s="235">
        <v>156.89500000000001</v>
      </c>
      <c r="I799" s="247">
        <f>ABS(G799-H799)</f>
        <v>0.35500000000001819</v>
      </c>
      <c r="J799" s="235">
        <v>155.52600000000001</v>
      </c>
      <c r="K799" s="199">
        <v>44575.658333333333</v>
      </c>
      <c r="L799" s="235">
        <v>155.52600000000001</v>
      </c>
      <c r="M799" s="248">
        <f>ROUND(IF(C799="L",(L799-G799),(G799-L799)),4)</f>
        <v>1.014</v>
      </c>
      <c r="N799" s="249">
        <f>IFERROR(ROUND((M799/I799),2),"")</f>
        <v>2.86</v>
      </c>
      <c r="O799" s="250">
        <f>IF(D799="O",IF(N799&lt;0,N799,0),0)</f>
        <v>0</v>
      </c>
      <c r="P799" s="251">
        <f>IF(N799&gt;= 0,N799,0)</f>
        <v>2.86</v>
      </c>
      <c r="Q799" s="251">
        <f>IF(N799&lt;0,N799,0)</f>
        <v>0</v>
      </c>
      <c r="R79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11716</v>
      </c>
      <c r="T79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11716</v>
      </c>
      <c r="U799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799" s="254">
        <f>IF(B799="FX",N799,0)</f>
        <v>2.86</v>
      </c>
      <c r="W799" s="254">
        <f>IF(D799="O",IF(V799&lt;0,V799,0),0)</f>
        <v>0</v>
      </c>
      <c r="X799" s="254">
        <f>IF(B799="COM",N799,0)</f>
        <v>0</v>
      </c>
      <c r="Y799" s="254">
        <f>IF(D799="O",IF(X799&lt;0,X799,0),0)</f>
        <v>0</v>
      </c>
      <c r="Z799" s="254">
        <f>IF(B799="IND",N799,0)</f>
        <v>0</v>
      </c>
      <c r="AA799" s="250">
        <f>IF(D799="O",IF(Z799&lt;0,Z799,0),0)</f>
        <v>0</v>
      </c>
      <c r="AB799" s="254">
        <f>IF(B799="CRYPTO",N799,0)</f>
        <v>0</v>
      </c>
      <c r="AC799" s="250">
        <f>IF(D799="O",IF(AB799&lt;0,AB799,0),0)</f>
        <v>0</v>
      </c>
      <c r="AD799" s="255">
        <f>IF(K799&lt;&gt;"",K799-E799,0)</f>
        <v>0.86666666666860692</v>
      </c>
      <c r="AE799" s="255">
        <f>IF(N799&gt;0,AD799,0)</f>
        <v>0.86666666666860692</v>
      </c>
      <c r="AF799" s="255">
        <f>IF(N799&lt;0,AD799,0)</f>
        <v>0</v>
      </c>
      <c r="AG799" s="255">
        <f>IF(N799=0,AD799,0)</f>
        <v>0</v>
      </c>
    </row>
    <row r="800" spans="2:33" ht="15" customHeight="1" x14ac:dyDescent="0.3">
      <c r="B800" s="196" t="s">
        <v>5</v>
      </c>
      <c r="C800" s="197" t="s">
        <v>13</v>
      </c>
      <c r="D800" s="246" t="str">
        <f>IF(E800&lt;&gt;"",IF(K800&lt;&gt;"","C","O"),"")</f>
        <v>C</v>
      </c>
      <c r="E800" s="199">
        <v>44574.947916666664</v>
      </c>
      <c r="F800" s="200" t="s">
        <v>93</v>
      </c>
      <c r="G800" s="235">
        <v>15537.26</v>
      </c>
      <c r="H800" s="235">
        <v>15579.59</v>
      </c>
      <c r="I800" s="247">
        <f>ABS(G800-H800)</f>
        <v>42.329999999999927</v>
      </c>
      <c r="J800" s="235">
        <v>15085.73</v>
      </c>
      <c r="K800" s="199">
        <v>44575.383333333331</v>
      </c>
      <c r="L800" s="235">
        <v>15532.09</v>
      </c>
      <c r="M800" s="248">
        <f>ROUND(IF(C800="L",(L800-G800),(G800-L800)),4)</f>
        <v>5.17</v>
      </c>
      <c r="N800" s="249">
        <f>IFERROR(ROUND((M800/I800),2),"")</f>
        <v>0.12</v>
      </c>
      <c r="O800" s="250">
        <f>IF(D800="O",IF(N800&lt;0,N800,0),0)</f>
        <v>0</v>
      </c>
      <c r="P800" s="251">
        <f>IF(N800&gt;= 0,N800,0)</f>
        <v>0.12</v>
      </c>
      <c r="Q800" s="251">
        <f>IF(N800&lt;0,N800,0)</f>
        <v>0</v>
      </c>
      <c r="R80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11430</v>
      </c>
      <c r="T80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11430</v>
      </c>
      <c r="U80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00" s="254">
        <f>IF(B800="FX",N800,0)</f>
        <v>0</v>
      </c>
      <c r="W800" s="254">
        <f>IF(D800="O",IF(V800&lt;0,V800,0),0)</f>
        <v>0</v>
      </c>
      <c r="X800" s="254">
        <f>IF(B800="COM",N800,0)</f>
        <v>0</v>
      </c>
      <c r="Y800" s="254">
        <f>IF(D800="O",IF(X800&lt;0,X800,0),0)</f>
        <v>0</v>
      </c>
      <c r="Z800" s="254">
        <f>IF(B800="IND",N800,0)</f>
        <v>0.12</v>
      </c>
      <c r="AA800" s="250">
        <f>IF(D800="O",IF(Z800&lt;0,Z800,0),0)</f>
        <v>0</v>
      </c>
      <c r="AB800" s="254">
        <f>IF(B800="CRYPTO",N800,0)</f>
        <v>0</v>
      </c>
      <c r="AC800" s="250">
        <f>IF(D800="O",IF(AB800&lt;0,AB800,0),0)</f>
        <v>0</v>
      </c>
      <c r="AD800" s="255">
        <f>IF(K800&lt;&gt;"",K800-E800,0)</f>
        <v>0.43541666666715173</v>
      </c>
      <c r="AE800" s="255">
        <f>IF(N800&gt;0,AD800,0)</f>
        <v>0.43541666666715173</v>
      </c>
      <c r="AF800" s="255">
        <f>IF(N800&lt;0,AD800,0)</f>
        <v>0</v>
      </c>
      <c r="AG800" s="255">
        <f>IF(N800=0,AD800,0)</f>
        <v>0</v>
      </c>
    </row>
    <row r="801" spans="2:33" ht="15" customHeight="1" x14ac:dyDescent="0.3">
      <c r="B801" s="196" t="s">
        <v>7</v>
      </c>
      <c r="C801" s="197" t="s">
        <v>15</v>
      </c>
      <c r="D801" s="246" t="str">
        <f>IF(E801&lt;&gt;"",IF(K801&lt;&gt;"","C","O"),"")</f>
        <v>C</v>
      </c>
      <c r="E801" s="199">
        <v>44573.65625</v>
      </c>
      <c r="F801" s="200" t="s">
        <v>114</v>
      </c>
      <c r="G801" s="235">
        <v>1.1403700000000001</v>
      </c>
      <c r="H801" s="235">
        <v>1.13879</v>
      </c>
      <c r="I801" s="247">
        <f>ABS(G801-H801)</f>
        <v>1.5800000000001369E-3</v>
      </c>
      <c r="J801" s="235">
        <v>1.1545799999999999</v>
      </c>
      <c r="K801" s="199">
        <v>44574.731249999997</v>
      </c>
      <c r="L801" s="235">
        <v>1.14497</v>
      </c>
      <c r="M801" s="248">
        <f>ROUND(IF(C801="L",(L801-G801),(G801-L801)),4)</f>
        <v>4.5999999999999999E-3</v>
      </c>
      <c r="N801" s="249">
        <f>IFERROR(ROUND((M801/I801),2),"")</f>
        <v>2.91</v>
      </c>
      <c r="O801" s="250">
        <f>IF(D801="O",IF(N801&lt;0,N801,0),0)</f>
        <v>0</v>
      </c>
      <c r="P801" s="251">
        <f>IF(N801&gt;= 0,N801,0)</f>
        <v>2.91</v>
      </c>
      <c r="Q801" s="251">
        <f>IF(N801&lt;0,N801,0)</f>
        <v>0</v>
      </c>
      <c r="R80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11418</v>
      </c>
      <c r="T80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11418</v>
      </c>
      <c r="U80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01" s="254">
        <f>IF(B801="FX",N801,0)</f>
        <v>2.91</v>
      </c>
      <c r="W801" s="254">
        <f>IF(D801="O",IF(V801&lt;0,V801,0),0)</f>
        <v>0</v>
      </c>
      <c r="X801" s="254">
        <f>IF(B801="COM",N801,0)</f>
        <v>0</v>
      </c>
      <c r="Y801" s="254">
        <f>IF(D801="O",IF(X801&lt;0,X801,0),0)</f>
        <v>0</v>
      </c>
      <c r="Z801" s="254">
        <f>IF(B801="IND",N801,0)</f>
        <v>0</v>
      </c>
      <c r="AA801" s="250">
        <f>IF(D801="O",IF(Z801&lt;0,Z801,0),0)</f>
        <v>0</v>
      </c>
      <c r="AB801" s="254">
        <f>IF(B801="CRYPTO",N801,0)</f>
        <v>0</v>
      </c>
      <c r="AC801" s="250">
        <f>IF(D801="O",IF(AB801&lt;0,AB801,0),0)</f>
        <v>0</v>
      </c>
      <c r="AD801" s="255">
        <f>IF(K801&lt;&gt;"",K801-E801,0)</f>
        <v>1.0749999999970896</v>
      </c>
      <c r="AE801" s="255">
        <f>IF(N801&gt;0,AD801,0)</f>
        <v>1.0749999999970896</v>
      </c>
      <c r="AF801" s="255">
        <f>IF(N801&lt;0,AD801,0)</f>
        <v>0</v>
      </c>
      <c r="AG801" s="255">
        <f>IF(N801=0,AD801,0)</f>
        <v>0</v>
      </c>
    </row>
    <row r="802" spans="2:33" ht="15" customHeight="1" x14ac:dyDescent="0.3">
      <c r="B802" s="196" t="s">
        <v>7</v>
      </c>
      <c r="C802" s="197" t="s">
        <v>13</v>
      </c>
      <c r="D802" s="246" t="str">
        <f>IF(E802&lt;&gt;"",IF(K802&lt;&gt;"","C","O"),"")</f>
        <v>C</v>
      </c>
      <c r="E802" s="199">
        <v>44574.645833333336</v>
      </c>
      <c r="F802" s="200" t="s">
        <v>115</v>
      </c>
      <c r="G802" s="235">
        <v>156.72800000000001</v>
      </c>
      <c r="H802" s="235">
        <v>157.053</v>
      </c>
      <c r="I802" s="247">
        <f>ABS(G802-H802)</f>
        <v>0.32499999999998863</v>
      </c>
      <c r="J802" s="235">
        <v>155.79900000000001</v>
      </c>
      <c r="K802" s="199">
        <v>44574.70208333333</v>
      </c>
      <c r="L802" s="235">
        <v>157.053</v>
      </c>
      <c r="M802" s="248">
        <f>ROUND(IF(C802="L",(L802-G802),(G802-L802)),4)</f>
        <v>-0.32500000000000001</v>
      </c>
      <c r="N802" s="249">
        <f>IFERROR(ROUND((M802/I802),2),"")</f>
        <v>-1</v>
      </c>
      <c r="O802" s="250">
        <f>IF(D802="O",IF(N802&lt;0,N802,0),0)</f>
        <v>0</v>
      </c>
      <c r="P802" s="251">
        <f>IF(N802&gt;= 0,N802,0)</f>
        <v>0</v>
      </c>
      <c r="Q802" s="251">
        <f>IF(N802&lt;0,N802,0)</f>
        <v>-1</v>
      </c>
      <c r="R80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11127</v>
      </c>
      <c r="T80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2" s="253">
        <f ca="1">IF(Tabla33610673[[#This Row],[Equity]]&lt;Tabla33610673[[#This Row],[Equity Peak]],(Tabla33610673[[#This Row],[Equity Peak]]-Tabla33610673[[#This Row],[Equity]])/Tabla33610673[[#This Row],[Equity Peak]],"")</f>
        <v>1.1811722912966251E-2</v>
      </c>
      <c r="V802" s="254">
        <f>IF(B802="FX",N802,0)</f>
        <v>-1</v>
      </c>
      <c r="W802" s="254">
        <f>IF(D802="O",IF(V802&lt;0,V802,0),0)</f>
        <v>0</v>
      </c>
      <c r="X802" s="254">
        <f>IF(B802="COM",N802,0)</f>
        <v>0</v>
      </c>
      <c r="Y802" s="254">
        <f>IF(D802="O",IF(X802&lt;0,X802,0),0)</f>
        <v>0</v>
      </c>
      <c r="Z802" s="254">
        <f>IF(B802="IND",N802,0)</f>
        <v>0</v>
      </c>
      <c r="AA802" s="250">
        <f>IF(D802="O",IF(Z802&lt;0,Z802,0),0)</f>
        <v>0</v>
      </c>
      <c r="AB802" s="254">
        <f>IF(B802="CRYPTO",N802,0)</f>
        <v>0</v>
      </c>
      <c r="AC802" s="250">
        <f>IF(D802="O",IF(AB802&lt;0,AB802,0),0)</f>
        <v>0</v>
      </c>
      <c r="AD802" s="255">
        <f>IF(K802&lt;&gt;"",K802-E802,0)</f>
        <v>5.6249999994179234E-2</v>
      </c>
      <c r="AE802" s="255">
        <f>IF(N802&gt;0,AD802,0)</f>
        <v>0</v>
      </c>
      <c r="AF802" s="255">
        <f>IF(N802&lt;0,AD802,0)</f>
        <v>5.6249999994179234E-2</v>
      </c>
      <c r="AG802" s="255">
        <f>IF(N802=0,AD802,0)</f>
        <v>0</v>
      </c>
    </row>
    <row r="803" spans="2:33" ht="15" customHeight="1" x14ac:dyDescent="0.3">
      <c r="B803" s="196" t="s">
        <v>7</v>
      </c>
      <c r="C803" s="197" t="s">
        <v>13</v>
      </c>
      <c r="D803" s="246" t="str">
        <f>IF(E803&lt;&gt;"",IF(K803&lt;&gt;"","C","O"),"")</f>
        <v>C</v>
      </c>
      <c r="E803" s="199">
        <v>44573.729166666664</v>
      </c>
      <c r="F803" s="200" t="s">
        <v>116</v>
      </c>
      <c r="G803" s="235">
        <v>114.929</v>
      </c>
      <c r="H803" s="235">
        <v>115.07299999999999</v>
      </c>
      <c r="I803" s="247">
        <f>ABS(G803-H803)</f>
        <v>0.14399999999999125</v>
      </c>
      <c r="J803" s="235">
        <v>113.43600000000001</v>
      </c>
      <c r="K803" s="199">
        <v>44573.984722222223</v>
      </c>
      <c r="L803" s="235">
        <v>114.621</v>
      </c>
      <c r="M803" s="248">
        <f>ROUND(IF(C803="L",(L803-G803),(G803-L803)),4)</f>
        <v>0.308</v>
      </c>
      <c r="N803" s="249">
        <f>IFERROR(ROUND((M803/I803),2),"")</f>
        <v>2.14</v>
      </c>
      <c r="O803" s="250">
        <f>IF(D803="O",IF(N803&lt;0,N803,0),0)</f>
        <v>0</v>
      </c>
      <c r="P803" s="251">
        <f>IF(N803&gt;= 0,N803,0)</f>
        <v>2.14</v>
      </c>
      <c r="Q803" s="251">
        <f>IF(N803&lt;0,N803,0)</f>
        <v>0</v>
      </c>
      <c r="R80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11227</v>
      </c>
      <c r="T80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3" s="253">
        <f ca="1">IF(Tabla33610673[[#This Row],[Equity]]&lt;Tabla33610673[[#This Row],[Equity Peak]],(Tabla33610673[[#This Row],[Equity Peak]]-Tabla33610673[[#This Row],[Equity]])/Tabla33610673[[#This Row],[Equity Peak]],"")</f>
        <v>2.9307282415630552E-3</v>
      </c>
      <c r="V803" s="254">
        <f>IF(B803="FX",N803,0)</f>
        <v>2.14</v>
      </c>
      <c r="W803" s="254">
        <f>IF(D803="O",IF(V803&lt;0,V803,0),0)</f>
        <v>0</v>
      </c>
      <c r="X803" s="254">
        <f>IF(B803="COM",N803,0)</f>
        <v>0</v>
      </c>
      <c r="Y803" s="254">
        <f>IF(D803="O",IF(X803&lt;0,X803,0),0)</f>
        <v>0</v>
      </c>
      <c r="Z803" s="254">
        <f>IF(B803="IND",N803,0)</f>
        <v>0</v>
      </c>
      <c r="AA803" s="250">
        <f>IF(D803="O",IF(Z803&lt;0,Z803,0),0)</f>
        <v>0</v>
      </c>
      <c r="AB803" s="254">
        <f>IF(B803="CRYPTO",N803,0)</f>
        <v>0</v>
      </c>
      <c r="AC803" s="250">
        <f>IF(D803="O",IF(AB803&lt;0,AB803,0),0)</f>
        <v>0</v>
      </c>
      <c r="AD803" s="255">
        <f>IF(K803&lt;&gt;"",K803-E803,0)</f>
        <v>0.25555555555911269</v>
      </c>
      <c r="AE803" s="255">
        <f>IF(N803&gt;0,AD803,0)</f>
        <v>0.25555555555911269</v>
      </c>
      <c r="AF803" s="255">
        <f>IF(N803&lt;0,AD803,0)</f>
        <v>0</v>
      </c>
      <c r="AG803" s="255">
        <f>IF(N803=0,AD803,0)</f>
        <v>0</v>
      </c>
    </row>
    <row r="804" spans="2:33" ht="15" customHeight="1" x14ac:dyDescent="0.3">
      <c r="B804" s="196" t="s">
        <v>7</v>
      </c>
      <c r="C804" s="197" t="s">
        <v>15</v>
      </c>
      <c r="D804" s="246" t="str">
        <f>IF(E804&lt;&gt;"",IF(K804&lt;&gt;"","C","O"),"")</f>
        <v>C</v>
      </c>
      <c r="E804" s="199">
        <v>44573.1875</v>
      </c>
      <c r="F804" s="200" t="s">
        <v>115</v>
      </c>
      <c r="G804" s="235">
        <v>157.38499999999999</v>
      </c>
      <c r="H804" s="235">
        <v>157.01900000000001</v>
      </c>
      <c r="I804" s="247">
        <f>ABS(G804-H804)</f>
        <v>0.36599999999998545</v>
      </c>
      <c r="J804" s="235">
        <v>158.43</v>
      </c>
      <c r="K804" s="199">
        <v>44573.741666666669</v>
      </c>
      <c r="L804" s="235">
        <v>157.215</v>
      </c>
      <c r="M804" s="248">
        <f>ROUND(IF(C804="L",(L804-G804),(G804-L804)),4)</f>
        <v>-0.17</v>
      </c>
      <c r="N804" s="249">
        <f>IFERROR(ROUND((M804/I804),2),"")</f>
        <v>-0.46</v>
      </c>
      <c r="O804" s="250">
        <f>IF(D804="O",IF(N804&lt;0,N804,0),0)</f>
        <v>0</v>
      </c>
      <c r="P804" s="251">
        <f>IF(N804&gt;= 0,N804,0)</f>
        <v>0</v>
      </c>
      <c r="Q804" s="251">
        <f>IF(N804&lt;0,N804,0)</f>
        <v>-0.46</v>
      </c>
      <c r="R80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11013</v>
      </c>
      <c r="T80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4" s="253">
        <f ca="1">IF(Tabla33610673[[#This Row],[Equity]]&lt;Tabla33610673[[#This Row],[Equity Peak]],(Tabla33610673[[#This Row],[Equity Peak]]-Tabla33610673[[#This Row],[Equity]])/Tabla33610673[[#This Row],[Equity Peak]],"")</f>
        <v>2.1936056838365896E-2</v>
      </c>
      <c r="V804" s="254">
        <f>IF(B804="FX",N804,0)</f>
        <v>-0.46</v>
      </c>
      <c r="W804" s="254">
        <f>IF(D804="O",IF(V804&lt;0,V804,0),0)</f>
        <v>0</v>
      </c>
      <c r="X804" s="254">
        <f>IF(B804="COM",N804,0)</f>
        <v>0</v>
      </c>
      <c r="Y804" s="254">
        <f>IF(D804="O",IF(X804&lt;0,X804,0),0)</f>
        <v>0</v>
      </c>
      <c r="Z804" s="254">
        <f>IF(B804="IND",N804,0)</f>
        <v>0</v>
      </c>
      <c r="AA804" s="250">
        <f>IF(D804="O",IF(Z804&lt;0,Z804,0),0)</f>
        <v>0</v>
      </c>
      <c r="AB804" s="254">
        <f>IF(B804="CRYPTO",N804,0)</f>
        <v>0</v>
      </c>
      <c r="AC804" s="250">
        <f>IF(D804="O",IF(AB804&lt;0,AB804,0),0)</f>
        <v>0</v>
      </c>
      <c r="AD804" s="255">
        <f>IF(K804&lt;&gt;"",K804-E804,0)</f>
        <v>0.55416666666860692</v>
      </c>
      <c r="AE804" s="255">
        <f>IF(N804&gt;0,AD804,0)</f>
        <v>0</v>
      </c>
      <c r="AF804" s="255">
        <f>IF(N804&lt;0,AD804,0)</f>
        <v>0.55416666666860692</v>
      </c>
      <c r="AG804" s="255">
        <f>IF(N804=0,AD804,0)</f>
        <v>0</v>
      </c>
    </row>
    <row r="805" spans="2:33" ht="15" customHeight="1" x14ac:dyDescent="0.3">
      <c r="B805" s="196" t="s">
        <v>5</v>
      </c>
      <c r="C805" s="197" t="s">
        <v>15</v>
      </c>
      <c r="D805" s="246" t="str">
        <f>IF(E805&lt;&gt;"",IF(K805&lt;&gt;"","C","O"),"")</f>
        <v>C</v>
      </c>
      <c r="E805" s="199">
        <v>44573.71875</v>
      </c>
      <c r="F805" s="200" t="s">
        <v>93</v>
      </c>
      <c r="G805" s="235">
        <v>16004.81</v>
      </c>
      <c r="H805" s="235">
        <v>15962.56</v>
      </c>
      <c r="I805" s="247">
        <f>ABS(G805-H805)</f>
        <v>42.25</v>
      </c>
      <c r="J805" s="235">
        <v>16455.490000000002</v>
      </c>
      <c r="K805" s="199">
        <v>44573.729861111111</v>
      </c>
      <c r="L805" s="235">
        <v>15962.56</v>
      </c>
      <c r="M805" s="248">
        <f>ROUND(IF(C805="L",(L805-G805),(G805-L805)),4)</f>
        <v>-42.25</v>
      </c>
      <c r="N805" s="249">
        <f>IFERROR(ROUND((M805/I805),2),"")</f>
        <v>-1</v>
      </c>
      <c r="O805" s="250">
        <f>IF(D805="O",IF(N805&lt;0,N805,0),0)</f>
        <v>0</v>
      </c>
      <c r="P805" s="251">
        <f>IF(N805&gt;= 0,N805,0)</f>
        <v>0</v>
      </c>
      <c r="Q805" s="251">
        <f>IF(N805&lt;0,N805,0)</f>
        <v>-1</v>
      </c>
      <c r="R80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11059</v>
      </c>
      <c r="T80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5" s="253">
        <f ca="1">IF(Tabla33610673[[#This Row],[Equity]]&lt;Tabla33610673[[#This Row],[Equity Peak]],(Tabla33610673[[#This Row],[Equity Peak]]-Tabla33610673[[#This Row],[Equity]])/Tabla33610673[[#This Row],[Equity Peak]],"")</f>
        <v>1.7850799289520426E-2</v>
      </c>
      <c r="V805" s="254">
        <f>IF(B805="FX",N805,0)</f>
        <v>0</v>
      </c>
      <c r="W805" s="254">
        <f>IF(D805="O",IF(V805&lt;0,V805,0),0)</f>
        <v>0</v>
      </c>
      <c r="X805" s="254">
        <f>IF(B805="COM",N805,0)</f>
        <v>0</v>
      </c>
      <c r="Y805" s="254">
        <f>IF(D805="O",IF(X805&lt;0,X805,0),0)</f>
        <v>0</v>
      </c>
      <c r="Z805" s="254">
        <f>IF(B805="IND",N805,0)</f>
        <v>-1</v>
      </c>
      <c r="AA805" s="250">
        <f>IF(D805="O",IF(Z805&lt;0,Z805,0),0)</f>
        <v>0</v>
      </c>
      <c r="AB805" s="254">
        <f>IF(B805="CRYPTO",N805,0)</f>
        <v>0</v>
      </c>
      <c r="AC805" s="250">
        <f>IF(D805="O",IF(AB805&lt;0,AB805,0),0)</f>
        <v>0</v>
      </c>
      <c r="AD805" s="255">
        <f>IF(K805&lt;&gt;"",K805-E805,0)</f>
        <v>1.1111111110949423E-2</v>
      </c>
      <c r="AE805" s="255">
        <f>IF(N805&gt;0,AD805,0)</f>
        <v>0</v>
      </c>
      <c r="AF805" s="255">
        <f>IF(N805&lt;0,AD805,0)</f>
        <v>1.1111111110949423E-2</v>
      </c>
      <c r="AG805" s="255">
        <f>IF(N805=0,AD805,0)</f>
        <v>0</v>
      </c>
    </row>
    <row r="806" spans="2:33" ht="15" customHeight="1" x14ac:dyDescent="0.3">
      <c r="B806" s="196" t="s">
        <v>5</v>
      </c>
      <c r="C806" s="197" t="s">
        <v>15</v>
      </c>
      <c r="D806" s="246" t="str">
        <f>IF(E806&lt;&gt;"",IF(K806&lt;&gt;"","C","O"),"")</f>
        <v>C</v>
      </c>
      <c r="E806" s="199">
        <v>44573.666666666664</v>
      </c>
      <c r="F806" s="200" t="s">
        <v>93</v>
      </c>
      <c r="G806" s="235">
        <v>15971.84</v>
      </c>
      <c r="H806" s="235">
        <v>15926.37</v>
      </c>
      <c r="I806" s="247">
        <f>ABS(G806-H806)</f>
        <v>45.469999999999345</v>
      </c>
      <c r="J806" s="235">
        <v>16456.900000000001</v>
      </c>
      <c r="K806" s="199">
        <v>44573.695833333331</v>
      </c>
      <c r="L806" s="235">
        <v>15926.37</v>
      </c>
      <c r="M806" s="248">
        <f>ROUND(IF(C806="L",(L806-G806),(G806-L806)),4)</f>
        <v>-45.47</v>
      </c>
      <c r="N806" s="249">
        <f>IFERROR(ROUND((M806/I806),2),"")</f>
        <v>-1</v>
      </c>
      <c r="O806" s="250">
        <f>IF(D806="O",IF(N806&lt;0,N806,0),0)</f>
        <v>0</v>
      </c>
      <c r="P806" s="251">
        <f>IF(N806&gt;= 0,N806,0)</f>
        <v>0</v>
      </c>
      <c r="Q806" s="251">
        <f>IF(N806&lt;0,N806,0)</f>
        <v>-1</v>
      </c>
      <c r="R80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11159</v>
      </c>
      <c r="T80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6" s="253">
        <f ca="1">IF(Tabla33610673[[#This Row],[Equity]]&lt;Tabla33610673[[#This Row],[Equity Peak]],(Tabla33610673[[#This Row],[Equity Peak]]-Tabla33610673[[#This Row],[Equity]])/Tabla33610673[[#This Row],[Equity Peak]],"")</f>
        <v>8.9698046181172289E-3</v>
      </c>
      <c r="V806" s="254">
        <f>IF(B806="FX",N806,0)</f>
        <v>0</v>
      </c>
      <c r="W806" s="254">
        <f>IF(D806="O",IF(V806&lt;0,V806,0),0)</f>
        <v>0</v>
      </c>
      <c r="X806" s="254">
        <f>IF(B806="COM",N806,0)</f>
        <v>0</v>
      </c>
      <c r="Y806" s="254">
        <f>IF(D806="O",IF(X806&lt;0,X806,0),0)</f>
        <v>0</v>
      </c>
      <c r="Z806" s="254">
        <f>IF(B806="IND",N806,0)</f>
        <v>-1</v>
      </c>
      <c r="AA806" s="250">
        <f>IF(D806="O",IF(Z806&lt;0,Z806,0),0)</f>
        <v>0</v>
      </c>
      <c r="AB806" s="254">
        <f>IF(B806="CRYPTO",N806,0)</f>
        <v>0</v>
      </c>
      <c r="AC806" s="250">
        <f>IF(D806="O",IF(AB806&lt;0,AB806,0),0)</f>
        <v>0</v>
      </c>
      <c r="AD806" s="255">
        <f>IF(K806&lt;&gt;"",K806-E806,0)</f>
        <v>2.9166666667151731E-2</v>
      </c>
      <c r="AE806" s="255">
        <f>IF(N806&gt;0,AD806,0)</f>
        <v>0</v>
      </c>
      <c r="AF806" s="255">
        <f>IF(N806&lt;0,AD806,0)</f>
        <v>2.9166666667151731E-2</v>
      </c>
      <c r="AG806" s="255">
        <f>IF(N806=0,AD806,0)</f>
        <v>0</v>
      </c>
    </row>
    <row r="807" spans="2:33" ht="15" customHeight="1" x14ac:dyDescent="0.3">
      <c r="B807" s="196" t="s">
        <v>7</v>
      </c>
      <c r="C807" s="197" t="s">
        <v>15</v>
      </c>
      <c r="D807" s="246" t="str">
        <f>IF(E807&lt;&gt;"",IF(K807&lt;&gt;"","C","O"),"")</f>
        <v>C</v>
      </c>
      <c r="E807" s="199">
        <v>44572.78125</v>
      </c>
      <c r="F807" s="200" t="s">
        <v>114</v>
      </c>
      <c r="G807" s="235">
        <v>1.1366499999999999</v>
      </c>
      <c r="H807" s="235">
        <v>1.1349400000000001</v>
      </c>
      <c r="I807" s="247">
        <f>ABS(G807-H807)</f>
        <v>1.7099999999998783E-3</v>
      </c>
      <c r="J807" s="235">
        <v>1.1520600000000001</v>
      </c>
      <c r="K807" s="199">
        <v>44573.372916666667</v>
      </c>
      <c r="L807" s="235">
        <v>1.1366499999999999</v>
      </c>
      <c r="M807" s="248">
        <f>ROUND(IF(C807="L",(L807-G807),(G807-L807)),4)</f>
        <v>0</v>
      </c>
      <c r="N807" s="249">
        <f>IFERROR(ROUND((M807/I807),2),"")</f>
        <v>0</v>
      </c>
      <c r="O807" s="250">
        <f>IF(D807="O",IF(N807&lt;0,N807,0),0)</f>
        <v>0</v>
      </c>
      <c r="P807" s="251">
        <f>IF(N807&gt;= 0,N807,0)</f>
        <v>0</v>
      </c>
      <c r="Q807" s="251">
        <f>IF(N807&lt;0,N807,0)</f>
        <v>0</v>
      </c>
      <c r="R80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11259</v>
      </c>
      <c r="T80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7" s="253">
        <f ca="1">IF(Tabla33610673[[#This Row],[Equity]]&lt;Tabla33610673[[#This Row],[Equity Peak]],(Tabla33610673[[#This Row],[Equity Peak]]-Tabla33610673[[#This Row],[Equity]])/Tabla33610673[[#This Row],[Equity Peak]],"")</f>
        <v>8.8809946714031967E-5</v>
      </c>
      <c r="V807" s="254">
        <f>IF(B807="FX",N807,0)</f>
        <v>0</v>
      </c>
      <c r="W807" s="254">
        <f>IF(D807="O",IF(V807&lt;0,V807,0),0)</f>
        <v>0</v>
      </c>
      <c r="X807" s="254">
        <f>IF(B807="COM",N807,0)</f>
        <v>0</v>
      </c>
      <c r="Y807" s="254">
        <f>IF(D807="O",IF(X807&lt;0,X807,0),0)</f>
        <v>0</v>
      </c>
      <c r="Z807" s="254">
        <f>IF(B807="IND",N807,0)</f>
        <v>0</v>
      </c>
      <c r="AA807" s="250">
        <f>IF(D807="O",IF(Z807&lt;0,Z807,0),0)</f>
        <v>0</v>
      </c>
      <c r="AB807" s="254">
        <f>IF(B807="CRYPTO",N807,0)</f>
        <v>0</v>
      </c>
      <c r="AC807" s="250">
        <f>IF(D807="O",IF(AB807&lt;0,AB807,0),0)</f>
        <v>0</v>
      </c>
      <c r="AD807" s="255">
        <f>IF(K807&lt;&gt;"",K807-E807,0)</f>
        <v>0.59166666666715173</v>
      </c>
      <c r="AE807" s="255">
        <f>IF(N807&gt;0,AD807,0)</f>
        <v>0</v>
      </c>
      <c r="AF807" s="255">
        <f>IF(N807&lt;0,AD807,0)</f>
        <v>0</v>
      </c>
      <c r="AG807" s="255">
        <f>IF(N807=0,AD807,0)</f>
        <v>0.59166666666715173</v>
      </c>
    </row>
    <row r="808" spans="2:33" ht="15" customHeight="1" x14ac:dyDescent="0.3">
      <c r="B808" s="196" t="s">
        <v>7</v>
      </c>
      <c r="C808" s="197" t="s">
        <v>13</v>
      </c>
      <c r="D808" s="246" t="str">
        <f>IF(E808&lt;&gt;"",IF(K808&lt;&gt;"","C","O"),"")</f>
        <v>C</v>
      </c>
      <c r="E808" s="199">
        <v>44571.583333333336</v>
      </c>
      <c r="F808" s="200" t="s">
        <v>115</v>
      </c>
      <c r="G808" s="235">
        <v>156.62700000000001</v>
      </c>
      <c r="H808" s="235">
        <v>156.93899999999999</v>
      </c>
      <c r="I808" s="247">
        <f>ABS(G808-H808)</f>
        <v>0.3119999999999834</v>
      </c>
      <c r="J808" s="235">
        <v>155.73500000000001</v>
      </c>
      <c r="K808" s="199">
        <v>44572.119444444441</v>
      </c>
      <c r="L808" s="235">
        <v>156.59899999999999</v>
      </c>
      <c r="M808" s="248">
        <f>ROUND(IF(C808="L",(L808-G808),(G808-L808)),4)</f>
        <v>2.8000000000000001E-2</v>
      </c>
      <c r="N808" s="249">
        <f>IFERROR(ROUND((M808/I808),2),"")</f>
        <v>0.09</v>
      </c>
      <c r="O808" s="250">
        <f>IF(D808="O",IF(N808&lt;0,N808,0),0)</f>
        <v>0</v>
      </c>
      <c r="P808" s="251">
        <f>IF(N808&gt;= 0,N808,0)</f>
        <v>0.09</v>
      </c>
      <c r="Q808" s="251">
        <f>IF(N808&lt;0,N808,0)</f>
        <v>0</v>
      </c>
      <c r="R80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11259</v>
      </c>
      <c r="T80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8" s="253">
        <f ca="1">IF(Tabla33610673[[#This Row],[Equity]]&lt;Tabla33610673[[#This Row],[Equity Peak]],(Tabla33610673[[#This Row],[Equity Peak]]-Tabla33610673[[#This Row],[Equity]])/Tabla33610673[[#This Row],[Equity Peak]],"")</f>
        <v>8.8809946714031967E-5</v>
      </c>
      <c r="V808" s="254">
        <f>IF(B808="FX",N808,0)</f>
        <v>0.09</v>
      </c>
      <c r="W808" s="254">
        <f>IF(D808="O",IF(V808&lt;0,V808,0),0)</f>
        <v>0</v>
      </c>
      <c r="X808" s="254">
        <f>IF(B808="COM",N808,0)</f>
        <v>0</v>
      </c>
      <c r="Y808" s="254">
        <f>IF(D808="O",IF(X808&lt;0,X808,0),0)</f>
        <v>0</v>
      </c>
      <c r="Z808" s="254">
        <f>IF(B808="IND",N808,0)</f>
        <v>0</v>
      </c>
      <c r="AA808" s="250">
        <f>IF(D808="O",IF(Z808&lt;0,Z808,0),0)</f>
        <v>0</v>
      </c>
      <c r="AB808" s="254">
        <f>IF(B808="CRYPTO",N808,0)</f>
        <v>0</v>
      </c>
      <c r="AC808" s="250">
        <f>IF(D808="O",IF(AB808&lt;0,AB808,0),0)</f>
        <v>0</v>
      </c>
      <c r="AD808" s="255">
        <f>IF(K808&lt;&gt;"",K808-E808,0)</f>
        <v>0.53611111110512866</v>
      </c>
      <c r="AE808" s="255">
        <f>IF(N808&gt;0,AD808,0)</f>
        <v>0.53611111110512866</v>
      </c>
      <c r="AF808" s="255">
        <f>IF(N808&lt;0,AD808,0)</f>
        <v>0</v>
      </c>
      <c r="AG808" s="255">
        <f>IF(N808=0,AD808,0)</f>
        <v>0</v>
      </c>
    </row>
    <row r="809" spans="2:33" ht="15" customHeight="1" x14ac:dyDescent="0.3">
      <c r="B809" s="196" t="s">
        <v>5</v>
      </c>
      <c r="C809" s="197" t="s">
        <v>13</v>
      </c>
      <c r="D809" s="246" t="str">
        <f>IF(E809&lt;&gt;"",IF(K809&lt;&gt;"","C","O"),"")</f>
        <v>C</v>
      </c>
      <c r="E809" s="199">
        <v>44571.697916666664</v>
      </c>
      <c r="F809" s="200" t="s">
        <v>91</v>
      </c>
      <c r="G809" s="235">
        <v>15820.53</v>
      </c>
      <c r="H809" s="235">
        <v>15858.34</v>
      </c>
      <c r="I809" s="247">
        <f>ABS(G809-H809)</f>
        <v>37.809999999999491</v>
      </c>
      <c r="J809" s="235">
        <v>15114.67</v>
      </c>
      <c r="K809" s="199">
        <v>44571.863888888889</v>
      </c>
      <c r="L809" s="235">
        <v>15824.39</v>
      </c>
      <c r="M809" s="248">
        <f>ROUND(IF(C809="L",(L809-G809),(G809-L809)),4)</f>
        <v>-3.86</v>
      </c>
      <c r="N809" s="249">
        <f>IFERROR(ROUND((M809/I809),2),"")</f>
        <v>-0.1</v>
      </c>
      <c r="O809" s="250">
        <f>IF(D809="O",IF(N809&lt;0,N809,0),0)</f>
        <v>0</v>
      </c>
      <c r="P809" s="251">
        <f>IF(N809&gt;= 0,N809,0)</f>
        <v>0</v>
      </c>
      <c r="Q809" s="251">
        <f>IF(N809&lt;0,N809,0)</f>
        <v>-0.1</v>
      </c>
      <c r="R80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11250</v>
      </c>
      <c r="T80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09" s="253">
        <f ca="1">IF(Tabla33610673[[#This Row],[Equity]]&lt;Tabla33610673[[#This Row],[Equity Peak]],(Tabla33610673[[#This Row],[Equity Peak]]-Tabla33610673[[#This Row],[Equity]])/Tabla33610673[[#This Row],[Equity Peak]],"")</f>
        <v>8.8809946714031975E-4</v>
      </c>
      <c r="V809" s="254">
        <f>IF(B809="FX",N809,0)</f>
        <v>0</v>
      </c>
      <c r="W809" s="254">
        <f>IF(D809="O",IF(V809&lt;0,V809,0),0)</f>
        <v>0</v>
      </c>
      <c r="X809" s="254">
        <f>IF(B809="COM",N809,0)</f>
        <v>0</v>
      </c>
      <c r="Y809" s="254">
        <f>IF(D809="O",IF(X809&lt;0,X809,0),0)</f>
        <v>0</v>
      </c>
      <c r="Z809" s="254">
        <f>IF(B809="IND",N809,0)</f>
        <v>-0.1</v>
      </c>
      <c r="AA809" s="250">
        <f>IF(D809="O",IF(Z809&lt;0,Z809,0),0)</f>
        <v>0</v>
      </c>
      <c r="AB809" s="254">
        <f>IF(B809="CRYPTO",N809,0)</f>
        <v>0</v>
      </c>
      <c r="AC809" s="250">
        <f>IF(D809="O",IF(AB809&lt;0,AB809,0),0)</f>
        <v>0</v>
      </c>
      <c r="AD809" s="255">
        <f>IF(K809&lt;&gt;"",K809-E809,0)</f>
        <v>0.16597222222480923</v>
      </c>
      <c r="AE809" s="255">
        <f>IF(N809&gt;0,AD809,0)</f>
        <v>0</v>
      </c>
      <c r="AF809" s="255">
        <f>IF(N809&lt;0,AD809,0)</f>
        <v>0.16597222222480923</v>
      </c>
      <c r="AG809" s="255">
        <f>IF(N809=0,AD809,0)</f>
        <v>0</v>
      </c>
    </row>
    <row r="810" spans="2:33" ht="15" customHeight="1" x14ac:dyDescent="0.3">
      <c r="B810" s="196" t="s">
        <v>5</v>
      </c>
      <c r="C810" s="197" t="s">
        <v>13</v>
      </c>
      <c r="D810" s="246" t="str">
        <f>IF(E810&lt;&gt;"",IF(K810&lt;&gt;"","C","O"),"")</f>
        <v>C</v>
      </c>
      <c r="E810" s="199">
        <v>44571.604166666664</v>
      </c>
      <c r="F810" s="200" t="s">
        <v>92</v>
      </c>
      <c r="G810" s="235">
        <v>15478.61</v>
      </c>
      <c r="H810" s="235">
        <v>15526.76</v>
      </c>
      <c r="I810" s="247">
        <f>ABS(G810-H810)</f>
        <v>48.149999999999636</v>
      </c>
      <c r="J810" s="235">
        <v>14579.81</v>
      </c>
      <c r="K810" s="199">
        <v>44571.769444444442</v>
      </c>
      <c r="L810" s="235">
        <v>15327.9</v>
      </c>
      <c r="M810" s="248">
        <f>ROUND(IF(C810="L",(L810-G810),(G810-L810)),4)</f>
        <v>150.71</v>
      </c>
      <c r="N810" s="249">
        <f>IFERROR(ROUND((M810/I810),2),"")</f>
        <v>3.13</v>
      </c>
      <c r="O810" s="250">
        <f>IF(D810="O",IF(N810&lt;0,N810,0),0)</f>
        <v>0</v>
      </c>
      <c r="P810" s="251">
        <f>IF(N810&gt;= 0,N810,0)</f>
        <v>3.13</v>
      </c>
      <c r="Q810" s="251">
        <f>IF(N810&lt;0,N810,0)</f>
        <v>0</v>
      </c>
      <c r="R81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11260</v>
      </c>
      <c r="T81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11260</v>
      </c>
      <c r="U810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10" s="254">
        <f>IF(B810="FX",N810,0)</f>
        <v>0</v>
      </c>
      <c r="W810" s="254">
        <f>IF(D810="O",IF(V810&lt;0,V810,0),0)</f>
        <v>0</v>
      </c>
      <c r="X810" s="254">
        <f>IF(B810="COM",N810,0)</f>
        <v>0</v>
      </c>
      <c r="Y810" s="254">
        <f>IF(D810="O",IF(X810&lt;0,X810,0),0)</f>
        <v>0</v>
      </c>
      <c r="Z810" s="254">
        <f>IF(B810="IND",N810,0)</f>
        <v>3.13</v>
      </c>
      <c r="AA810" s="250">
        <f>IF(D810="O",IF(Z810&lt;0,Z810,0),0)</f>
        <v>0</v>
      </c>
      <c r="AB810" s="254">
        <f>IF(B810="CRYPTO",N810,0)</f>
        <v>0</v>
      </c>
      <c r="AC810" s="250">
        <f>IF(D810="O",IF(AB810&lt;0,AB810,0),0)</f>
        <v>0</v>
      </c>
      <c r="AD810" s="255">
        <f>IF(K810&lt;&gt;"",K810-E810,0)</f>
        <v>0.16527777777810115</v>
      </c>
      <c r="AE810" s="255">
        <f>IF(N810&gt;0,AD810,0)</f>
        <v>0.16527777777810115</v>
      </c>
      <c r="AF810" s="255">
        <f>IF(N810&lt;0,AD810,0)</f>
        <v>0</v>
      </c>
      <c r="AG810" s="255">
        <f>IF(N810=0,AD810,0)</f>
        <v>0</v>
      </c>
    </row>
    <row r="811" spans="2:33" ht="15" customHeight="1" x14ac:dyDescent="0.3">
      <c r="B811" s="196" t="s">
        <v>5</v>
      </c>
      <c r="C811" s="197" t="s">
        <v>13</v>
      </c>
      <c r="D811" s="246" t="str">
        <f>IF(E811&lt;&gt;"",IF(K811&lt;&gt;"","C","O"),"")</f>
        <v>C</v>
      </c>
      <c r="E811" s="199">
        <v>44571.604166666664</v>
      </c>
      <c r="F811" s="200" t="s">
        <v>93</v>
      </c>
      <c r="G811" s="235">
        <v>15478.61</v>
      </c>
      <c r="H811" s="235">
        <v>15534.05</v>
      </c>
      <c r="I811" s="247">
        <f>ABS(G811-H811)</f>
        <v>55.43999999999869</v>
      </c>
      <c r="J811" s="235">
        <v>14887.21</v>
      </c>
      <c r="K811" s="199">
        <v>44571.762499999997</v>
      </c>
      <c r="L811" s="235">
        <v>15285.47</v>
      </c>
      <c r="M811" s="248">
        <f>ROUND(IF(C811="L",(L811-G811),(G811-L811)),4)</f>
        <v>193.14</v>
      </c>
      <c r="N811" s="249">
        <f>IFERROR(ROUND((M811/I811),2),"")</f>
        <v>3.48</v>
      </c>
      <c r="O811" s="250">
        <f>IF(D811="O",IF(N811&lt;0,N811,0),0)</f>
        <v>0</v>
      </c>
      <c r="P811" s="251">
        <f>IF(N811&gt;= 0,N811,0)</f>
        <v>3.48</v>
      </c>
      <c r="Q811" s="251">
        <f>IF(N811&lt;0,N811,0)</f>
        <v>0</v>
      </c>
      <c r="R81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10947</v>
      </c>
      <c r="T81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10947</v>
      </c>
      <c r="U81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11" s="254">
        <f>IF(B811="FX",N811,0)</f>
        <v>0</v>
      </c>
      <c r="W811" s="254">
        <f>IF(D811="O",IF(V811&lt;0,V811,0),0)</f>
        <v>0</v>
      </c>
      <c r="X811" s="254">
        <f>IF(B811="COM",N811,0)</f>
        <v>0</v>
      </c>
      <c r="Y811" s="254">
        <f>IF(D811="O",IF(X811&lt;0,X811,0),0)</f>
        <v>0</v>
      </c>
      <c r="Z811" s="254">
        <f>IF(B811="IND",N811,0)</f>
        <v>3.48</v>
      </c>
      <c r="AA811" s="250">
        <f>IF(D811="O",IF(Z811&lt;0,Z811,0),0)</f>
        <v>0</v>
      </c>
      <c r="AB811" s="254">
        <f>IF(B811="CRYPTO",N811,0)</f>
        <v>0</v>
      </c>
      <c r="AC811" s="250">
        <f>IF(D811="O",IF(AB811&lt;0,AB811,0),0)</f>
        <v>0</v>
      </c>
      <c r="AD811" s="255">
        <f>IF(K811&lt;&gt;"",K811-E811,0)</f>
        <v>0.15833333333284827</v>
      </c>
      <c r="AE811" s="255">
        <f>IF(N811&gt;0,AD811,0)</f>
        <v>0.15833333333284827</v>
      </c>
      <c r="AF811" s="255">
        <f>IF(N811&lt;0,AD811,0)</f>
        <v>0</v>
      </c>
      <c r="AG811" s="255">
        <f>IF(N811=0,AD811,0)</f>
        <v>0</v>
      </c>
    </row>
    <row r="812" spans="2:33" ht="15" customHeight="1" x14ac:dyDescent="0.3">
      <c r="B812" s="196" t="s">
        <v>7</v>
      </c>
      <c r="C812" s="197" t="s">
        <v>15</v>
      </c>
      <c r="D812" s="246" t="str">
        <f>IF(E812&lt;&gt;"",IF(K812&lt;&gt;"","C","O"),"")</f>
        <v>C</v>
      </c>
      <c r="E812" s="199">
        <v>44568.90625</v>
      </c>
      <c r="F812" s="200" t="s">
        <v>115</v>
      </c>
      <c r="G812" s="235">
        <v>157.13800000000001</v>
      </c>
      <c r="H812" s="235">
        <v>156.75399999999999</v>
      </c>
      <c r="I812" s="247">
        <f>ABS(G812-H812)</f>
        <v>0.38400000000001455</v>
      </c>
      <c r="J812" s="235">
        <v>158.23500000000001</v>
      </c>
      <c r="K812" s="199">
        <v>44571.529861111114</v>
      </c>
      <c r="L812" s="235">
        <v>156.96799999999999</v>
      </c>
      <c r="M812" s="248">
        <f>ROUND(IF(C812="L",(L812-G812),(G812-L812)),4)</f>
        <v>-0.17</v>
      </c>
      <c r="N812" s="249">
        <f>IFERROR(ROUND((M812/I812),2),"")</f>
        <v>-0.44</v>
      </c>
      <c r="O812" s="250">
        <f>IF(D812="O",IF(N812&lt;0,N812,0),0)</f>
        <v>0</v>
      </c>
      <c r="P812" s="251">
        <f>IF(N812&gt;= 0,N812,0)</f>
        <v>0</v>
      </c>
      <c r="Q812" s="251">
        <f>IF(N812&lt;0,N812,0)</f>
        <v>-0.44</v>
      </c>
      <c r="R81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10599</v>
      </c>
      <c r="T81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10843</v>
      </c>
      <c r="U812" s="253">
        <f ca="1">IF(Tabla33610673[[#This Row],[Equity]]&lt;Tabla33610673[[#This Row],[Equity Peak]],(Tabla33610673[[#This Row],[Equity Peak]]-Tabla33610673[[#This Row],[Equity]])/Tabla33610673[[#This Row],[Equity Peak]],"")</f>
        <v>2.2502997325463434E-2</v>
      </c>
      <c r="V812" s="254">
        <f>IF(B812="FX",N812,0)</f>
        <v>-0.44</v>
      </c>
      <c r="W812" s="254">
        <f>IF(D812="O",IF(V812&lt;0,V812,0),0)</f>
        <v>0</v>
      </c>
      <c r="X812" s="254">
        <f>IF(B812="COM",N812,0)</f>
        <v>0</v>
      </c>
      <c r="Y812" s="254">
        <f>IF(D812="O",IF(X812&lt;0,X812,0),0)</f>
        <v>0</v>
      </c>
      <c r="Z812" s="254">
        <f>IF(B812="IND",N812,0)</f>
        <v>0</v>
      </c>
      <c r="AA812" s="250">
        <f>IF(D812="O",IF(Z812&lt;0,Z812,0),0)</f>
        <v>0</v>
      </c>
      <c r="AB812" s="254">
        <f>IF(B812="CRYPTO",N812,0)</f>
        <v>0</v>
      </c>
      <c r="AC812" s="250">
        <f>IF(D812="O",IF(AB812&lt;0,AB812,0),0)</f>
        <v>0</v>
      </c>
      <c r="AD812" s="255">
        <f>IF(K812&lt;&gt;"",K812-E812,0)</f>
        <v>2.6236111111138598</v>
      </c>
      <c r="AE812" s="255">
        <f>IF(N812&gt;0,AD812,0)</f>
        <v>0</v>
      </c>
      <c r="AF812" s="255">
        <f>IF(N812&lt;0,AD812,0)</f>
        <v>2.6236111111138598</v>
      </c>
      <c r="AG812" s="255">
        <f>IF(N812=0,AD812,0)</f>
        <v>0</v>
      </c>
    </row>
    <row r="813" spans="2:33" ht="15" customHeight="1" x14ac:dyDescent="0.3">
      <c r="B813" s="196" t="s">
        <v>5</v>
      </c>
      <c r="C813" s="197" t="s">
        <v>13</v>
      </c>
      <c r="D813" s="246" t="str">
        <f>IF(E813&lt;&gt;"",IF(K813&lt;&gt;"","C","O"),"")</f>
        <v>C</v>
      </c>
      <c r="E813" s="199">
        <v>44568.739583333336</v>
      </c>
      <c r="F813" s="200" t="s">
        <v>93</v>
      </c>
      <c r="G813" s="235">
        <v>15587.86</v>
      </c>
      <c r="H813" s="235">
        <v>15640.04</v>
      </c>
      <c r="I813" s="247">
        <f>ABS(G813-H813)</f>
        <v>52.180000000000291</v>
      </c>
      <c r="J813" s="235">
        <v>15031.27</v>
      </c>
      <c r="K813" s="199">
        <v>44568.783333333333</v>
      </c>
      <c r="L813" s="235">
        <v>15640.04</v>
      </c>
      <c r="M813" s="248">
        <f>ROUND(IF(C813="L",(L813-G813),(G813-L813)),4)</f>
        <v>-52.18</v>
      </c>
      <c r="N813" s="249">
        <f>IFERROR(ROUND((M813/I813),2),"")</f>
        <v>-1</v>
      </c>
      <c r="O813" s="250">
        <f>IF(D813="O",IF(N813&lt;0,N813,0),0)</f>
        <v>0</v>
      </c>
      <c r="P813" s="251">
        <f>IF(N813&gt;= 0,N813,0)</f>
        <v>0</v>
      </c>
      <c r="Q813" s="251">
        <f>IF(N813&lt;0,N813,0)</f>
        <v>-1</v>
      </c>
      <c r="R81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10643</v>
      </c>
      <c r="T81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10843</v>
      </c>
      <c r="U813" s="253">
        <f ca="1">IF(Tabla33610673[[#This Row],[Equity]]&lt;Tabla33610673[[#This Row],[Equity Peak]],(Tabla33610673[[#This Row],[Equity Peak]]-Tabla33610673[[#This Row],[Equity]])/Tabla33610673[[#This Row],[Equity Peak]],"")</f>
        <v>1.8445079774970025E-2</v>
      </c>
      <c r="V813" s="254">
        <f>IF(B813="FX",N813,0)</f>
        <v>0</v>
      </c>
      <c r="W813" s="254">
        <f>IF(D813="O",IF(V813&lt;0,V813,0),0)</f>
        <v>0</v>
      </c>
      <c r="X813" s="254">
        <f>IF(B813="COM",N813,0)</f>
        <v>0</v>
      </c>
      <c r="Y813" s="254">
        <f>IF(D813="O",IF(X813&lt;0,X813,0),0)</f>
        <v>0</v>
      </c>
      <c r="Z813" s="254">
        <f>IF(B813="IND",N813,0)</f>
        <v>-1</v>
      </c>
      <c r="AA813" s="250">
        <f>IF(D813="O",IF(Z813&lt;0,Z813,0),0)</f>
        <v>0</v>
      </c>
      <c r="AB813" s="254">
        <f>IF(B813="CRYPTO",N813,0)</f>
        <v>0</v>
      </c>
      <c r="AC813" s="250">
        <f>IF(D813="O",IF(AB813&lt;0,AB813,0),0)</f>
        <v>0</v>
      </c>
      <c r="AD813" s="255">
        <f>IF(K813&lt;&gt;"",K813-E813,0)</f>
        <v>4.3749999997089617E-2</v>
      </c>
      <c r="AE813" s="255">
        <f>IF(N813&gt;0,AD813,0)</f>
        <v>0</v>
      </c>
      <c r="AF813" s="255">
        <f>IF(N813&lt;0,AD813,0)</f>
        <v>4.3749999997089617E-2</v>
      </c>
      <c r="AG813" s="255">
        <f>IF(N813=0,AD813,0)</f>
        <v>0</v>
      </c>
    </row>
    <row r="814" spans="2:33" ht="15" customHeight="1" x14ac:dyDescent="0.3">
      <c r="B814" s="196" t="s">
        <v>5</v>
      </c>
      <c r="C814" s="197" t="s">
        <v>13</v>
      </c>
      <c r="D814" s="246" t="str">
        <f>IF(E814&lt;&gt;"",IF(K814&lt;&gt;"","C","O"),"")</f>
        <v>C</v>
      </c>
      <c r="E814" s="199">
        <v>44568.739583333336</v>
      </c>
      <c r="F814" s="200" t="s">
        <v>92</v>
      </c>
      <c r="G814" s="235">
        <v>15587.86</v>
      </c>
      <c r="H814" s="235">
        <v>15635.59</v>
      </c>
      <c r="I814" s="247">
        <f>ABS(G814-H814)</f>
        <v>47.729999999999563</v>
      </c>
      <c r="J814" s="235">
        <v>14696.86</v>
      </c>
      <c r="K814" s="199">
        <v>44568.782638888886</v>
      </c>
      <c r="L814" s="235">
        <v>15635.59</v>
      </c>
      <c r="M814" s="248">
        <f>ROUND(IF(C814="L",(L814-G814),(G814-L814)),4)</f>
        <v>-47.73</v>
      </c>
      <c r="N814" s="249">
        <f>IFERROR(ROUND((M814/I814),2),"")</f>
        <v>-1</v>
      </c>
      <c r="O814" s="250">
        <f>IF(D814="O",IF(N814&lt;0,N814,0),0)</f>
        <v>0</v>
      </c>
      <c r="P814" s="251">
        <f>IF(N814&gt;= 0,N814,0)</f>
        <v>0</v>
      </c>
      <c r="Q814" s="251">
        <f>IF(N814&lt;0,N814,0)</f>
        <v>-1</v>
      </c>
      <c r="R81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10743</v>
      </c>
      <c r="T81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10843</v>
      </c>
      <c r="U814" s="253">
        <f ca="1">IF(Tabla33610673[[#This Row],[Equity]]&lt;Tabla33610673[[#This Row],[Equity Peak]],(Tabla33610673[[#This Row],[Equity Peak]]-Tabla33610673[[#This Row],[Equity]])/Tabla33610673[[#This Row],[Equity Peak]],"")</f>
        <v>9.2225398874850126E-3</v>
      </c>
      <c r="V814" s="254">
        <f>IF(B814="FX",N814,0)</f>
        <v>0</v>
      </c>
      <c r="W814" s="254">
        <f>IF(D814="O",IF(V814&lt;0,V814,0),0)</f>
        <v>0</v>
      </c>
      <c r="X814" s="254">
        <f>IF(B814="COM",N814,0)</f>
        <v>0</v>
      </c>
      <c r="Y814" s="254">
        <f>IF(D814="O",IF(X814&lt;0,X814,0),0)</f>
        <v>0</v>
      </c>
      <c r="Z814" s="254">
        <f>IF(B814="IND",N814,0)</f>
        <v>-1</v>
      </c>
      <c r="AA814" s="250">
        <f>IF(D814="O",IF(Z814&lt;0,Z814,0),0)</f>
        <v>0</v>
      </c>
      <c r="AB814" s="254">
        <f>IF(B814="CRYPTO",N814,0)</f>
        <v>0</v>
      </c>
      <c r="AC814" s="250">
        <f>IF(D814="O",IF(AB814&lt;0,AB814,0),0)</f>
        <v>0</v>
      </c>
      <c r="AD814" s="255">
        <f>IF(K814&lt;&gt;"",K814-E814,0)</f>
        <v>4.3055555550381541E-2</v>
      </c>
      <c r="AE814" s="255">
        <f>IF(N814&gt;0,AD814,0)</f>
        <v>0</v>
      </c>
      <c r="AF814" s="255">
        <f>IF(N814&lt;0,AD814,0)</f>
        <v>4.3055555550381541E-2</v>
      </c>
      <c r="AG814" s="255">
        <f>IF(N814=0,AD814,0)</f>
        <v>0</v>
      </c>
    </row>
    <row r="815" spans="2:33" ht="15" customHeight="1" x14ac:dyDescent="0.3">
      <c r="B815" s="196" t="s">
        <v>5</v>
      </c>
      <c r="C815" s="197" t="s">
        <v>13</v>
      </c>
      <c r="D815" s="246" t="str">
        <f>IF(E815&lt;&gt;"",IF(K815&lt;&gt;"","C","O"),"")</f>
        <v>C</v>
      </c>
      <c r="E815" s="199">
        <v>44566.885416666664</v>
      </c>
      <c r="F815" s="200" t="s">
        <v>92</v>
      </c>
      <c r="G815" s="235">
        <v>15983.28</v>
      </c>
      <c r="H815" s="235">
        <v>16020.78</v>
      </c>
      <c r="I815" s="247">
        <f>ABS(G815-H815)</f>
        <v>37.5</v>
      </c>
      <c r="J815" s="235">
        <v>15283.3</v>
      </c>
      <c r="K815" s="199">
        <v>44567.692361111112</v>
      </c>
      <c r="L815" s="235">
        <v>15818.25</v>
      </c>
      <c r="M815" s="248">
        <f>ROUND(IF(C815="L",(L815-G815),(G815-L815)),4)</f>
        <v>165.03</v>
      </c>
      <c r="N815" s="249">
        <f>IFERROR(ROUND((M815/I815),2),"")</f>
        <v>4.4000000000000004</v>
      </c>
      <c r="O815" s="250">
        <f>IF(D815="O",IF(N815&lt;0,N815,0),0)</f>
        <v>0</v>
      </c>
      <c r="P815" s="251">
        <f>IF(N815&gt;= 0,N815,0)</f>
        <v>4.4000000000000004</v>
      </c>
      <c r="Q815" s="251">
        <f>IF(N815&lt;0,N815,0)</f>
        <v>0</v>
      </c>
      <c r="R81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10843</v>
      </c>
      <c r="T81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10843</v>
      </c>
      <c r="U815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15" s="254">
        <f>IF(B815="FX",N815,0)</f>
        <v>0</v>
      </c>
      <c r="W815" s="254">
        <f>IF(D815="O",IF(V815&lt;0,V815,0),0)</f>
        <v>0</v>
      </c>
      <c r="X815" s="254">
        <f>IF(B815="COM",N815,0)</f>
        <v>0</v>
      </c>
      <c r="Y815" s="254">
        <f>IF(D815="O",IF(X815&lt;0,X815,0),0)</f>
        <v>0</v>
      </c>
      <c r="Z815" s="254">
        <f>IF(B815="IND",N815,0)</f>
        <v>4.4000000000000004</v>
      </c>
      <c r="AA815" s="250">
        <f>IF(D815="O",IF(Z815&lt;0,Z815,0),0)</f>
        <v>0</v>
      </c>
      <c r="AB815" s="254">
        <f>IF(B815="CRYPTO",N815,0)</f>
        <v>0</v>
      </c>
      <c r="AC815" s="250">
        <f>IF(D815="O",IF(AB815&lt;0,AB815,0),0)</f>
        <v>0</v>
      </c>
      <c r="AD815" s="255">
        <f>IF(K815&lt;&gt;"",K815-E815,0)</f>
        <v>0.80694444444816327</v>
      </c>
      <c r="AE815" s="255">
        <f>IF(N815&gt;0,AD815,0)</f>
        <v>0.80694444444816327</v>
      </c>
      <c r="AF815" s="255">
        <f>IF(N815&lt;0,AD815,0)</f>
        <v>0</v>
      </c>
      <c r="AG815" s="255">
        <f>IF(N815=0,AD815,0)</f>
        <v>0</v>
      </c>
    </row>
    <row r="816" spans="2:33" ht="15" customHeight="1" x14ac:dyDescent="0.3">
      <c r="B816" s="196" t="s">
        <v>7</v>
      </c>
      <c r="C816" s="197" t="s">
        <v>13</v>
      </c>
      <c r="D816" s="246" t="str">
        <f>IF(E816&lt;&gt;"",IF(K816&lt;&gt;"","C","O"),"")</f>
        <v>C</v>
      </c>
      <c r="E816" s="199">
        <v>44567.416666666664</v>
      </c>
      <c r="F816" s="200" t="s">
        <v>115</v>
      </c>
      <c r="G816" s="235">
        <v>156.41399999999999</v>
      </c>
      <c r="H816" s="235">
        <v>156.779</v>
      </c>
      <c r="I816" s="247">
        <f>ABS(G816-H816)</f>
        <v>0.36500000000000909</v>
      </c>
      <c r="J816" s="235">
        <v>155.37200000000001</v>
      </c>
      <c r="K816" s="199">
        <v>44567.512499999997</v>
      </c>
      <c r="L816" s="235">
        <v>156.72200000000001</v>
      </c>
      <c r="M816" s="248">
        <f>ROUND(IF(C816="L",(L816-G816),(G816-L816)),4)</f>
        <v>-0.308</v>
      </c>
      <c r="N816" s="249">
        <f>IFERROR(ROUND((M816/I816),2),"")</f>
        <v>-0.84</v>
      </c>
      <c r="O816" s="250">
        <f>IF(D816="O",IF(N816&lt;0,N816,0),0)</f>
        <v>0</v>
      </c>
      <c r="P816" s="251">
        <f>IF(N816&gt;= 0,N816,0)</f>
        <v>0</v>
      </c>
      <c r="Q816" s="251">
        <f>IF(N816&lt;0,N816,0)</f>
        <v>-0.84</v>
      </c>
      <c r="R81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10403</v>
      </c>
      <c r="T81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10688</v>
      </c>
      <c r="U816" s="253">
        <f ca="1">IF(Tabla33610673[[#This Row],[Equity]]&lt;Tabla33610673[[#This Row],[Equity Peak]],(Tabla33610673[[#This Row],[Equity Peak]]-Tabla33610673[[#This Row],[Equity]])/Tabla33610673[[#This Row],[Equity Peak]],"")</f>
        <v>2.6665419161676647E-2</v>
      </c>
      <c r="V816" s="254">
        <f>IF(B816="FX",N816,0)</f>
        <v>-0.84</v>
      </c>
      <c r="W816" s="254">
        <f>IF(D816="O",IF(V816&lt;0,V816,0),0)</f>
        <v>0</v>
      </c>
      <c r="X816" s="254">
        <f>IF(B816="COM",N816,0)</f>
        <v>0</v>
      </c>
      <c r="Y816" s="254">
        <f>IF(D816="O",IF(X816&lt;0,X816,0),0)</f>
        <v>0</v>
      </c>
      <c r="Z816" s="254">
        <f>IF(B816="IND",N816,0)</f>
        <v>0</v>
      </c>
      <c r="AA816" s="250">
        <f>IF(D816="O",IF(Z816&lt;0,Z816,0),0)</f>
        <v>0</v>
      </c>
      <c r="AB816" s="254">
        <f>IF(B816="CRYPTO",N816,0)</f>
        <v>0</v>
      </c>
      <c r="AC816" s="250">
        <f>IF(D816="O",IF(AB816&lt;0,AB816,0),0)</f>
        <v>0</v>
      </c>
      <c r="AD816" s="255">
        <f>IF(K816&lt;&gt;"",K816-E816,0)</f>
        <v>9.5833333332848269E-2</v>
      </c>
      <c r="AE816" s="255">
        <f>IF(N816&gt;0,AD816,0)</f>
        <v>0</v>
      </c>
      <c r="AF816" s="255">
        <f>IF(N816&lt;0,AD816,0)</f>
        <v>9.5833333332848269E-2</v>
      </c>
      <c r="AG816" s="255">
        <f>IF(N816=0,AD816,0)</f>
        <v>0</v>
      </c>
    </row>
    <row r="817" spans="2:33" ht="15" customHeight="1" x14ac:dyDescent="0.3">
      <c r="B817" s="196" t="s">
        <v>7</v>
      </c>
      <c r="C817" s="197" t="s">
        <v>15</v>
      </c>
      <c r="D817" s="246" t="str">
        <f>IF(E817&lt;&gt;"",IF(K817&lt;&gt;"","C","O"),"")</f>
        <v>C</v>
      </c>
      <c r="E817" s="199">
        <v>44566.802083333336</v>
      </c>
      <c r="F817" s="200" t="s">
        <v>115</v>
      </c>
      <c r="G817" s="235">
        <v>157.47900000000001</v>
      </c>
      <c r="H817" s="235">
        <v>157.08199999999999</v>
      </c>
      <c r="I817" s="247">
        <f>ABS(G817-H817)</f>
        <v>0.39700000000001978</v>
      </c>
      <c r="J817" s="235">
        <v>158.613</v>
      </c>
      <c r="K817" s="199">
        <v>44567.006944444445</v>
      </c>
      <c r="L817" s="235">
        <v>157.285</v>
      </c>
      <c r="M817" s="248">
        <f>ROUND(IF(C817="L",(L817-G817),(G817-L817)),4)</f>
        <v>-0.19400000000000001</v>
      </c>
      <c r="N817" s="249">
        <f>IFERROR(ROUND((M817/I817),2),"")</f>
        <v>-0.49</v>
      </c>
      <c r="O817" s="250">
        <f>IF(D817="O",IF(N817&lt;0,N817,0),0)</f>
        <v>0</v>
      </c>
      <c r="P817" s="251">
        <f>IF(N817&gt;= 0,N817,0)</f>
        <v>0</v>
      </c>
      <c r="Q817" s="251">
        <f>IF(N817&lt;0,N817,0)</f>
        <v>-0.49</v>
      </c>
      <c r="R81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10487</v>
      </c>
      <c r="T81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10688</v>
      </c>
      <c r="U817" s="253">
        <f ca="1">IF(Tabla33610673[[#This Row],[Equity]]&lt;Tabla33610673[[#This Row],[Equity Peak]],(Tabla33610673[[#This Row],[Equity Peak]]-Tabla33610673[[#This Row],[Equity]])/Tabla33610673[[#This Row],[Equity Peak]],"")</f>
        <v>1.8806137724550899E-2</v>
      </c>
      <c r="V817" s="254">
        <f>IF(B817="FX",N817,0)</f>
        <v>-0.49</v>
      </c>
      <c r="W817" s="254">
        <f>IF(D817="O",IF(V817&lt;0,V817,0),0)</f>
        <v>0</v>
      </c>
      <c r="X817" s="254">
        <f>IF(B817="COM",N817,0)</f>
        <v>0</v>
      </c>
      <c r="Y817" s="254">
        <f>IF(D817="O",IF(X817&lt;0,X817,0),0)</f>
        <v>0</v>
      </c>
      <c r="Z817" s="254">
        <f>IF(B817="IND",N817,0)</f>
        <v>0</v>
      </c>
      <c r="AA817" s="250">
        <f>IF(D817="O",IF(Z817&lt;0,Z817,0),0)</f>
        <v>0</v>
      </c>
      <c r="AB817" s="254">
        <f>IF(B817="CRYPTO",N817,0)</f>
        <v>0</v>
      </c>
      <c r="AC817" s="250">
        <f>IF(D817="O",IF(AB817&lt;0,AB817,0),0)</f>
        <v>0</v>
      </c>
      <c r="AD817" s="255">
        <f>IF(K817&lt;&gt;"",K817-E817,0)</f>
        <v>0.20486111110949423</v>
      </c>
      <c r="AE817" s="255">
        <f>IF(N817&gt;0,AD817,0)</f>
        <v>0</v>
      </c>
      <c r="AF817" s="255">
        <f>IF(N817&lt;0,AD817,0)</f>
        <v>0.20486111110949423</v>
      </c>
      <c r="AG817" s="255">
        <f>IF(N817=0,AD817,0)</f>
        <v>0</v>
      </c>
    </row>
    <row r="818" spans="2:33" ht="15" customHeight="1" x14ac:dyDescent="0.3">
      <c r="B818" s="196" t="s">
        <v>5</v>
      </c>
      <c r="C818" s="197" t="s">
        <v>13</v>
      </c>
      <c r="D818" s="246" t="str">
        <f>IF(E818&lt;&gt;"",IF(K818&lt;&gt;"","C","O"),"")</f>
        <v>C</v>
      </c>
      <c r="E818" s="199">
        <v>44566.822916666664</v>
      </c>
      <c r="F818" s="200" t="s">
        <v>92</v>
      </c>
      <c r="G818" s="235">
        <v>16064.15</v>
      </c>
      <c r="H818" s="235">
        <v>16098.31</v>
      </c>
      <c r="I818" s="247">
        <f>ABS(G818-H818)</f>
        <v>34.159999999999854</v>
      </c>
      <c r="J818" s="235">
        <v>15426.57</v>
      </c>
      <c r="K818" s="199">
        <v>44566.875</v>
      </c>
      <c r="L818" s="235">
        <v>16098.31</v>
      </c>
      <c r="M818" s="248">
        <f>ROUND(IF(C818="L",(L818-G818),(G818-L818)),4)</f>
        <v>-34.159999999999997</v>
      </c>
      <c r="N818" s="249">
        <f>IFERROR(ROUND((M818/I818),2),"")</f>
        <v>-1</v>
      </c>
      <c r="O818" s="250">
        <f>IF(D818="O",IF(N818&lt;0,N818,0),0)</f>
        <v>0</v>
      </c>
      <c r="P818" s="251">
        <f>IF(N818&gt;= 0,N818,0)</f>
        <v>0</v>
      </c>
      <c r="Q818" s="251">
        <f>IF(N818&lt;0,N818,0)</f>
        <v>-1</v>
      </c>
      <c r="R81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10536</v>
      </c>
      <c r="T81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10688</v>
      </c>
      <c r="U818" s="253">
        <f ca="1">IF(Tabla33610673[[#This Row],[Equity]]&lt;Tabla33610673[[#This Row],[Equity Peak]],(Tabla33610673[[#This Row],[Equity Peak]]-Tabla33610673[[#This Row],[Equity]])/Tabla33610673[[#This Row],[Equity Peak]],"")</f>
        <v>1.4221556886227544E-2</v>
      </c>
      <c r="V818" s="254">
        <f>IF(B818="FX",N818,0)</f>
        <v>0</v>
      </c>
      <c r="W818" s="254">
        <f>IF(D818="O",IF(V818&lt;0,V818,0),0)</f>
        <v>0</v>
      </c>
      <c r="X818" s="254">
        <f>IF(B818="COM",N818,0)</f>
        <v>0</v>
      </c>
      <c r="Y818" s="254">
        <f>IF(D818="O",IF(X818&lt;0,X818,0),0)</f>
        <v>0</v>
      </c>
      <c r="Z818" s="254">
        <f>IF(B818="IND",N818,0)</f>
        <v>-1</v>
      </c>
      <c r="AA818" s="250">
        <f>IF(D818="O",IF(Z818&lt;0,Z818,0),0)</f>
        <v>0</v>
      </c>
      <c r="AB818" s="254">
        <f>IF(B818="CRYPTO",N818,0)</f>
        <v>0</v>
      </c>
      <c r="AC818" s="250">
        <f>IF(D818="O",IF(AB818&lt;0,AB818,0),0)</f>
        <v>0</v>
      </c>
      <c r="AD818" s="255">
        <f>IF(K818&lt;&gt;"",K818-E818,0)</f>
        <v>5.2083333335758653E-2</v>
      </c>
      <c r="AE818" s="255">
        <f>IF(N818&gt;0,AD818,0)</f>
        <v>0</v>
      </c>
      <c r="AF818" s="255">
        <f>IF(N818&lt;0,AD818,0)</f>
        <v>5.2083333335758653E-2</v>
      </c>
      <c r="AG818" s="255">
        <f>IF(N818=0,AD818,0)</f>
        <v>0</v>
      </c>
    </row>
    <row r="819" spans="2:33" ht="15" customHeight="1" x14ac:dyDescent="0.3">
      <c r="B819" s="196" t="s">
        <v>5</v>
      </c>
      <c r="C819" s="197" t="s">
        <v>15</v>
      </c>
      <c r="D819" s="246" t="str">
        <f>IF(E819&lt;&gt;"",IF(K819&lt;&gt;"","C","O"),"")</f>
        <v>C</v>
      </c>
      <c r="E819" s="199">
        <v>44566.46875</v>
      </c>
      <c r="F819" s="200" t="s">
        <v>91</v>
      </c>
      <c r="G819" s="235">
        <v>16221.64</v>
      </c>
      <c r="H819" s="235">
        <v>16195.8</v>
      </c>
      <c r="I819" s="247">
        <f>ABS(G819-H819)</f>
        <v>25.840000000000146</v>
      </c>
      <c r="J819" s="235">
        <v>16703.990000000002</v>
      </c>
      <c r="K819" s="199">
        <v>44566.699305555558</v>
      </c>
      <c r="L819" s="235">
        <v>16220.36</v>
      </c>
      <c r="M819" s="248">
        <f>ROUND(IF(C819="L",(L819-G819),(G819-L819)),4)</f>
        <v>-1.28</v>
      </c>
      <c r="N819" s="249">
        <f>IFERROR(ROUND((M819/I819),2),"")</f>
        <v>-0.05</v>
      </c>
      <c r="O819" s="250">
        <f>IF(D819="O",IF(N819&lt;0,N819,0),0)</f>
        <v>0</v>
      </c>
      <c r="P819" s="251">
        <f>IF(N819&gt;= 0,N819,0)</f>
        <v>0</v>
      </c>
      <c r="Q819" s="251">
        <f>IF(N819&lt;0,N819,0)</f>
        <v>-0.05</v>
      </c>
      <c r="R81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10636</v>
      </c>
      <c r="T81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10688</v>
      </c>
      <c r="U819" s="253">
        <f ca="1">IF(Tabla33610673[[#This Row],[Equity]]&lt;Tabla33610673[[#This Row],[Equity Peak]],(Tabla33610673[[#This Row],[Equity Peak]]-Tabla33610673[[#This Row],[Equity]])/Tabla33610673[[#This Row],[Equity Peak]],"")</f>
        <v>4.8652694610778445E-3</v>
      </c>
      <c r="V819" s="254">
        <f>IF(B819="FX",N819,0)</f>
        <v>0</v>
      </c>
      <c r="W819" s="254">
        <f>IF(D819="O",IF(V819&lt;0,V819,0),0)</f>
        <v>0</v>
      </c>
      <c r="X819" s="254">
        <f>IF(B819="COM",N819,0)</f>
        <v>0</v>
      </c>
      <c r="Y819" s="254">
        <f>IF(D819="O",IF(X819&lt;0,X819,0),0)</f>
        <v>0</v>
      </c>
      <c r="Z819" s="254">
        <f>IF(B819="IND",N819,0)</f>
        <v>-0.05</v>
      </c>
      <c r="AA819" s="250">
        <f>IF(D819="O",IF(Z819&lt;0,Z819,0),0)</f>
        <v>0</v>
      </c>
      <c r="AB819" s="254">
        <f>IF(B819="CRYPTO",N819,0)</f>
        <v>0</v>
      </c>
      <c r="AC819" s="250">
        <f>IF(D819="O",IF(AB819&lt;0,AB819,0),0)</f>
        <v>0</v>
      </c>
      <c r="AD819" s="255">
        <f>IF(K819&lt;&gt;"",K819-E819,0)</f>
        <v>0.2305555555576575</v>
      </c>
      <c r="AE819" s="255">
        <f>IF(N819&gt;0,AD819,0)</f>
        <v>0</v>
      </c>
      <c r="AF819" s="255">
        <f>IF(N819&lt;0,AD819,0)</f>
        <v>0.2305555555576575</v>
      </c>
      <c r="AG819" s="255">
        <f>IF(N819=0,AD819,0)</f>
        <v>0</v>
      </c>
    </row>
    <row r="820" spans="2:33" ht="15" customHeight="1" x14ac:dyDescent="0.3">
      <c r="B820" s="196" t="s">
        <v>5</v>
      </c>
      <c r="C820" s="197" t="s">
        <v>13</v>
      </c>
      <c r="D820" s="246" t="str">
        <f>IF(E820&lt;&gt;"",IF(K820&lt;&gt;"","C","O"),"")</f>
        <v>C</v>
      </c>
      <c r="E820" s="199">
        <v>44565.75</v>
      </c>
      <c r="F820" s="200" t="s">
        <v>92</v>
      </c>
      <c r="G820" s="235">
        <v>16226.25</v>
      </c>
      <c r="H820" s="235">
        <v>16253.44</v>
      </c>
      <c r="I820" s="247">
        <f>ABS(G820-H820)</f>
        <v>27.190000000000509</v>
      </c>
      <c r="J820" s="235">
        <v>15718.74</v>
      </c>
      <c r="K820" s="199">
        <v>44565.918749999997</v>
      </c>
      <c r="L820" s="235">
        <v>16239.05</v>
      </c>
      <c r="M820" s="248">
        <f>ROUND(IF(C820="L",(L820-G820),(G820-L820)),4)</f>
        <v>-12.8</v>
      </c>
      <c r="N820" s="249">
        <f>IFERROR(ROUND((M820/I820),2),"")</f>
        <v>-0.47</v>
      </c>
      <c r="O820" s="250">
        <f>IF(D820="O",IF(N820&lt;0,N820,0),0)</f>
        <v>0</v>
      </c>
      <c r="P820" s="251">
        <f>IF(N820&gt;= 0,N820,0)</f>
        <v>0</v>
      </c>
      <c r="Q820" s="251">
        <f>IF(N820&lt;0,N820,0)</f>
        <v>-0.47</v>
      </c>
      <c r="R82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10641</v>
      </c>
      <c r="T82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10688</v>
      </c>
      <c r="U820" s="253">
        <f ca="1">IF(Tabla33610673[[#This Row],[Equity]]&lt;Tabla33610673[[#This Row],[Equity Peak]],(Tabla33610673[[#This Row],[Equity Peak]]-Tabla33610673[[#This Row],[Equity]])/Tabla33610673[[#This Row],[Equity Peak]],"")</f>
        <v>4.3974550898203593E-3</v>
      </c>
      <c r="V820" s="254">
        <f>IF(B820="FX",N820,0)</f>
        <v>0</v>
      </c>
      <c r="W820" s="254">
        <f>IF(D820="O",IF(V820&lt;0,V820,0),0)</f>
        <v>0</v>
      </c>
      <c r="X820" s="254">
        <f>IF(B820="COM",N820,0)</f>
        <v>0</v>
      </c>
      <c r="Y820" s="254">
        <f>IF(D820="O",IF(X820&lt;0,X820,0),0)</f>
        <v>0</v>
      </c>
      <c r="Z820" s="254">
        <f>IF(B820="IND",N820,0)</f>
        <v>-0.47</v>
      </c>
      <c r="AA820" s="250">
        <f>IF(D820="O",IF(Z820&lt;0,Z820,0),0)</f>
        <v>0</v>
      </c>
      <c r="AB820" s="254">
        <f>IF(B820="CRYPTO",N820,0)</f>
        <v>0</v>
      </c>
      <c r="AC820" s="250">
        <f>IF(D820="O",IF(AB820&lt;0,AB820,0),0)</f>
        <v>0</v>
      </c>
      <c r="AD820" s="255">
        <f>IF(K820&lt;&gt;"",K820-E820,0)</f>
        <v>0.16874999999708962</v>
      </c>
      <c r="AE820" s="255">
        <f>IF(N820&gt;0,AD820,0)</f>
        <v>0</v>
      </c>
      <c r="AF820" s="255">
        <f>IF(N820&lt;0,AD820,0)</f>
        <v>0.16874999999708962</v>
      </c>
      <c r="AG820" s="255">
        <f>IF(N820=0,AD820,0)</f>
        <v>0</v>
      </c>
    </row>
    <row r="821" spans="2:33" ht="15" customHeight="1" x14ac:dyDescent="0.3">
      <c r="B821" s="196" t="s">
        <v>5</v>
      </c>
      <c r="C821" s="197" t="s">
        <v>13</v>
      </c>
      <c r="D821" s="246" t="str">
        <f>IF(E821&lt;&gt;"",IF(K821&lt;&gt;"","C","O"),"")</f>
        <v>C</v>
      </c>
      <c r="E821" s="199">
        <v>44565.739583333336</v>
      </c>
      <c r="F821" s="200" t="s">
        <v>93</v>
      </c>
      <c r="G821" s="235">
        <v>16284.25</v>
      </c>
      <c r="H821" s="235">
        <v>16311.97</v>
      </c>
      <c r="I821" s="247">
        <f>ABS(G821-H821)</f>
        <v>27.719999999999345</v>
      </c>
      <c r="J821" s="235">
        <v>15988.59</v>
      </c>
      <c r="K821" s="199">
        <v>44565.908333333333</v>
      </c>
      <c r="L821" s="235">
        <v>16219.12</v>
      </c>
      <c r="M821" s="248">
        <f>ROUND(IF(C821="L",(L821-G821),(G821-L821)),4)</f>
        <v>65.13</v>
      </c>
      <c r="N821" s="249">
        <f>IFERROR(ROUND((M821/I821),2),"")</f>
        <v>2.35</v>
      </c>
      <c r="O821" s="250">
        <f>IF(D821="O",IF(N821&lt;0,N821,0),0)</f>
        <v>0</v>
      </c>
      <c r="P821" s="251">
        <f>IF(N821&gt;= 0,N821,0)</f>
        <v>2.35</v>
      </c>
      <c r="Q821" s="251">
        <f>IF(N821&lt;0,N821,0)</f>
        <v>0</v>
      </c>
      <c r="R82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10688</v>
      </c>
      <c r="T82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10688</v>
      </c>
      <c r="U821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21" s="254">
        <f>IF(B821="FX",N821,0)</f>
        <v>0</v>
      </c>
      <c r="W821" s="254">
        <f>IF(D821="O",IF(V821&lt;0,V821,0),0)</f>
        <v>0</v>
      </c>
      <c r="X821" s="254">
        <f>IF(B821="COM",N821,0)</f>
        <v>0</v>
      </c>
      <c r="Y821" s="254">
        <f>IF(D821="O",IF(X821&lt;0,X821,0),0)</f>
        <v>0</v>
      </c>
      <c r="Z821" s="254">
        <f>IF(B821="IND",N821,0)</f>
        <v>2.35</v>
      </c>
      <c r="AA821" s="250">
        <f>IF(D821="O",IF(Z821&lt;0,Z821,0),0)</f>
        <v>0</v>
      </c>
      <c r="AB821" s="254">
        <f>IF(B821="CRYPTO",N821,0)</f>
        <v>0</v>
      </c>
      <c r="AC821" s="250">
        <f>IF(D821="O",IF(AB821&lt;0,AB821,0),0)</f>
        <v>0</v>
      </c>
      <c r="AD821" s="255">
        <f>IF(K821&lt;&gt;"",K821-E821,0)</f>
        <v>0.16874999999708962</v>
      </c>
      <c r="AE821" s="255">
        <f>IF(N821&gt;0,AD821,0)</f>
        <v>0.16874999999708962</v>
      </c>
      <c r="AF821" s="255">
        <f>IF(N821&lt;0,AD821,0)</f>
        <v>0</v>
      </c>
      <c r="AG821" s="255">
        <f>IF(N821=0,AD821,0)</f>
        <v>0</v>
      </c>
    </row>
    <row r="822" spans="2:33" ht="15" customHeight="1" x14ac:dyDescent="0.3">
      <c r="B822" s="196" t="s">
        <v>5</v>
      </c>
      <c r="C822" s="197" t="s">
        <v>15</v>
      </c>
      <c r="D822" s="246" t="str">
        <f>IF(E822&lt;&gt;"",IF(K822&lt;&gt;"","C","O"),"")</f>
        <v>C</v>
      </c>
      <c r="E822" s="199">
        <v>44565.520833333336</v>
      </c>
      <c r="F822" s="200" t="s">
        <v>91</v>
      </c>
      <c r="G822" s="235">
        <v>16109.16</v>
      </c>
      <c r="H822" s="235">
        <v>16083.87</v>
      </c>
      <c r="I822" s="247">
        <f>ABS(G822-H822)</f>
        <v>25.289999999999054</v>
      </c>
      <c r="J822" s="235">
        <v>16581.16</v>
      </c>
      <c r="K822" s="199">
        <v>44565.752083333333</v>
      </c>
      <c r="L822" s="235">
        <v>16110.05</v>
      </c>
      <c r="M822" s="248">
        <f>ROUND(IF(C822="L",(L822-G822),(G822-L822)),4)</f>
        <v>0.89</v>
      </c>
      <c r="N822" s="249">
        <f>IFERROR(ROUND((M822/I822),2),"")</f>
        <v>0.04</v>
      </c>
      <c r="O822" s="250">
        <f>IF(D822="O",IF(N822&lt;0,N822,0),0)</f>
        <v>0</v>
      </c>
      <c r="P822" s="251">
        <f>IF(N822&gt;= 0,N822,0)</f>
        <v>0.04</v>
      </c>
      <c r="Q822" s="251">
        <f>IF(N822&lt;0,N822,0)</f>
        <v>0</v>
      </c>
      <c r="R82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10453</v>
      </c>
      <c r="T82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10453</v>
      </c>
      <c r="U822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22" s="254">
        <f>IF(B822="FX",N822,0)</f>
        <v>0</v>
      </c>
      <c r="W822" s="254">
        <f>IF(D822="O",IF(V822&lt;0,V822,0),0)</f>
        <v>0</v>
      </c>
      <c r="X822" s="254">
        <f>IF(B822="COM",N822,0)</f>
        <v>0</v>
      </c>
      <c r="Y822" s="254">
        <f>IF(D822="O",IF(X822&lt;0,X822,0),0)</f>
        <v>0</v>
      </c>
      <c r="Z822" s="254">
        <f>IF(B822="IND",N822,0)</f>
        <v>0.04</v>
      </c>
      <c r="AA822" s="250">
        <f>IF(D822="O",IF(Z822&lt;0,Z822,0),0)</f>
        <v>0</v>
      </c>
      <c r="AB822" s="254">
        <f>IF(B822="CRYPTO",N822,0)</f>
        <v>0</v>
      </c>
      <c r="AC822" s="250">
        <f>IF(D822="O",IF(AB822&lt;0,AB822,0),0)</f>
        <v>0</v>
      </c>
      <c r="AD822" s="255">
        <f>IF(K822&lt;&gt;"",K822-E822,0)</f>
        <v>0.23124999999708962</v>
      </c>
      <c r="AE822" s="255">
        <f>IF(N822&gt;0,AD822,0)</f>
        <v>0.23124999999708962</v>
      </c>
      <c r="AF822" s="255">
        <f>IF(N822&lt;0,AD822,0)</f>
        <v>0</v>
      </c>
      <c r="AG822" s="255">
        <f>IF(N822=0,AD822,0)</f>
        <v>0</v>
      </c>
    </row>
    <row r="823" spans="2:33" ht="15" customHeight="1" x14ac:dyDescent="0.3">
      <c r="B823" s="196" t="s">
        <v>7</v>
      </c>
      <c r="C823" s="197" t="s">
        <v>15</v>
      </c>
      <c r="D823" s="246" t="str">
        <f>IF(E823&lt;&gt;"",IF(K823&lt;&gt;"","C","O"),"")</f>
        <v>C</v>
      </c>
      <c r="E823" s="199">
        <v>44565.125</v>
      </c>
      <c r="F823" s="200" t="s">
        <v>116</v>
      </c>
      <c r="G823" s="235">
        <v>115.39100000000001</v>
      </c>
      <c r="H823" s="235">
        <v>115.291</v>
      </c>
      <c r="I823" s="247">
        <f>ABS(G823-H823)</f>
        <v>0.10000000000000853</v>
      </c>
      <c r="J823" s="235">
        <v>116.43</v>
      </c>
      <c r="K823" s="199">
        <v>44565.710416666669</v>
      </c>
      <c r="L823" s="235">
        <v>116.148</v>
      </c>
      <c r="M823" s="248">
        <f>ROUND(IF(C823="L",(L823-G823),(G823-L823)),4)</f>
        <v>0.75700000000000001</v>
      </c>
      <c r="N823" s="249">
        <f>IFERROR(ROUND((M823/I823),2),"")</f>
        <v>7.57</v>
      </c>
      <c r="O823" s="250">
        <f>IF(D823="O",IF(N823&lt;0,N823,0),0)</f>
        <v>0</v>
      </c>
      <c r="P823" s="251">
        <f>IF(N823&gt;= 0,N823,0)</f>
        <v>7.57</v>
      </c>
      <c r="Q823" s="251">
        <f>IF(N823&lt;0,N823,0)</f>
        <v>0</v>
      </c>
      <c r="R82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10449</v>
      </c>
      <c r="T82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3" s="253">
        <f ca="1">IF(Tabla33610673[[#This Row],[Equity]]&lt;Tabla33610673[[#This Row],[Equity Peak]],(Tabla33610673[[#This Row],[Equity Peak]]-Tabla33610673[[#This Row],[Equity]])/Tabla33610673[[#This Row],[Equity Peak]],"")</f>
        <v>9.5693779904306223E-5</v>
      </c>
      <c r="V823" s="254">
        <f>IF(B823="FX",N823,0)</f>
        <v>7.57</v>
      </c>
      <c r="W823" s="254">
        <f>IF(D823="O",IF(V823&lt;0,V823,0),0)</f>
        <v>0</v>
      </c>
      <c r="X823" s="254">
        <f>IF(B823="COM",N823,0)</f>
        <v>0</v>
      </c>
      <c r="Y823" s="254">
        <f>IF(D823="O",IF(X823&lt;0,X823,0),0)</f>
        <v>0</v>
      </c>
      <c r="Z823" s="254">
        <f>IF(B823="IND",N823,0)</f>
        <v>0</v>
      </c>
      <c r="AA823" s="250">
        <f>IF(D823="O",IF(Z823&lt;0,Z823,0),0)</f>
        <v>0</v>
      </c>
      <c r="AB823" s="254">
        <f>IF(B823="CRYPTO",N823,0)</f>
        <v>0</v>
      </c>
      <c r="AC823" s="250">
        <f>IF(D823="O",IF(AB823&lt;0,AB823,0),0)</f>
        <v>0</v>
      </c>
      <c r="AD823" s="255">
        <f>IF(K823&lt;&gt;"",K823-E823,0)</f>
        <v>0.58541666666860692</v>
      </c>
      <c r="AE823" s="255">
        <f>IF(N823&gt;0,AD823,0)</f>
        <v>0.58541666666860692</v>
      </c>
      <c r="AF823" s="255">
        <f>IF(N823&lt;0,AD823,0)</f>
        <v>0</v>
      </c>
      <c r="AG823" s="255">
        <f>IF(N823=0,AD823,0)</f>
        <v>0</v>
      </c>
    </row>
    <row r="824" spans="2:33" ht="15" customHeight="1" x14ac:dyDescent="0.3">
      <c r="B824" s="196" t="s">
        <v>7</v>
      </c>
      <c r="C824" s="197" t="s">
        <v>15</v>
      </c>
      <c r="D824" s="246" t="str">
        <f>IF(E824&lt;&gt;"",IF(K824&lt;&gt;"","C","O"),"")</f>
        <v>C</v>
      </c>
      <c r="E824" s="199">
        <v>44565.28125</v>
      </c>
      <c r="F824" s="200" t="s">
        <v>115</v>
      </c>
      <c r="G824" s="235">
        <v>155.958</v>
      </c>
      <c r="H824" s="235">
        <v>155.59899999999999</v>
      </c>
      <c r="I824" s="247">
        <f>ABS(G824-H824)</f>
        <v>0.35900000000000887</v>
      </c>
      <c r="J824" s="235">
        <v>156.98400000000001</v>
      </c>
      <c r="K824" s="199">
        <v>44565.644444444442</v>
      </c>
      <c r="L824" s="235">
        <v>156.98400000000001</v>
      </c>
      <c r="M824" s="248">
        <f>ROUND(IF(C824="L",(L824-G824),(G824-L824)),4)</f>
        <v>1.026</v>
      </c>
      <c r="N824" s="249">
        <f>IFERROR(ROUND((M824/I824),2),"")</f>
        <v>2.86</v>
      </c>
      <c r="O824" s="250">
        <f>IF(D824="O",IF(N824&lt;0,N824,0),0)</f>
        <v>0</v>
      </c>
      <c r="P824" s="251">
        <f>IF(N824&gt;= 0,N824,0)</f>
        <v>2.86</v>
      </c>
      <c r="Q824" s="251">
        <f>IF(N824&lt;0,N824,0)</f>
        <v>0</v>
      </c>
      <c r="R82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9692</v>
      </c>
      <c r="T82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4" s="253">
        <f ca="1">IF(Tabla33610673[[#This Row],[Equity]]&lt;Tabla33610673[[#This Row],[Equity Peak]],(Tabla33610673[[#This Row],[Equity Peak]]-Tabla33610673[[#This Row],[Equity]])/Tabla33610673[[#This Row],[Equity Peak]],"")</f>
        <v>7.253588516746412E-2</v>
      </c>
      <c r="V824" s="254">
        <f>IF(B824="FX",N824,0)</f>
        <v>2.86</v>
      </c>
      <c r="W824" s="254">
        <f>IF(D824="O",IF(V824&lt;0,V824,0),0)</f>
        <v>0</v>
      </c>
      <c r="X824" s="254">
        <f>IF(B824="COM",N824,0)</f>
        <v>0</v>
      </c>
      <c r="Y824" s="254">
        <f>IF(D824="O",IF(X824&lt;0,X824,0),0)</f>
        <v>0</v>
      </c>
      <c r="Z824" s="254">
        <f>IF(B824="IND",N824,0)</f>
        <v>0</v>
      </c>
      <c r="AA824" s="250">
        <f>IF(D824="O",IF(Z824&lt;0,Z824,0),0)</f>
        <v>0</v>
      </c>
      <c r="AB824" s="254">
        <f>IF(B824="CRYPTO",N824,0)</f>
        <v>0</v>
      </c>
      <c r="AC824" s="250">
        <f>IF(D824="O",IF(AB824&lt;0,AB824,0),0)</f>
        <v>0</v>
      </c>
      <c r="AD824" s="255">
        <f>IF(K824&lt;&gt;"",K824-E824,0)</f>
        <v>0.3631944444423425</v>
      </c>
      <c r="AE824" s="255">
        <f>IF(N824&gt;0,AD824,0)</f>
        <v>0.3631944444423425</v>
      </c>
      <c r="AF824" s="255">
        <f>IF(N824&lt;0,AD824,0)</f>
        <v>0</v>
      </c>
      <c r="AG824" s="255">
        <f>IF(N824=0,AD824,0)</f>
        <v>0</v>
      </c>
    </row>
    <row r="825" spans="2:33" ht="15" customHeight="1" x14ac:dyDescent="0.3">
      <c r="B825" s="196" t="s">
        <v>5</v>
      </c>
      <c r="C825" s="197" t="s">
        <v>15</v>
      </c>
      <c r="D825" s="246" t="str">
        <f>IF(E825&lt;&gt;"",IF(K825&lt;&gt;"","C","O"),"")</f>
        <v>C</v>
      </c>
      <c r="E825" s="199">
        <v>44565.520833333336</v>
      </c>
      <c r="F825" s="200" t="s">
        <v>92</v>
      </c>
      <c r="G825" s="235">
        <v>16546.169999999998</v>
      </c>
      <c r="H825" s="235">
        <v>16514.47</v>
      </c>
      <c r="I825" s="247">
        <f>ABS(G825-H825)</f>
        <v>31.69999999999709</v>
      </c>
      <c r="J825" s="235">
        <v>17137.919999999998</v>
      </c>
      <c r="K825" s="199">
        <v>44565.600694444445</v>
      </c>
      <c r="L825" s="235">
        <v>16514.47</v>
      </c>
      <c r="M825" s="248">
        <f>ROUND(IF(C825="L",(L825-G825),(G825-L825)),4)</f>
        <v>-31.7</v>
      </c>
      <c r="N825" s="249">
        <f>IFERROR(ROUND((M825/I825),2),"")</f>
        <v>-1</v>
      </c>
      <c r="O825" s="250">
        <f>IF(D825="O",IF(N825&lt;0,N825,0),0)</f>
        <v>0</v>
      </c>
      <c r="P825" s="251">
        <f>IF(N825&gt;= 0,N825,0)</f>
        <v>0</v>
      </c>
      <c r="Q825" s="251">
        <f>IF(N825&lt;0,N825,0)</f>
        <v>-1</v>
      </c>
      <c r="R82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9406</v>
      </c>
      <c r="T82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5" s="253">
        <f ca="1">IF(Tabla33610673[[#This Row],[Equity]]&lt;Tabla33610673[[#This Row],[Equity Peak]],(Tabla33610673[[#This Row],[Equity Peak]]-Tabla33610673[[#This Row],[Equity]])/Tabla33610673[[#This Row],[Equity Peak]],"")</f>
        <v>9.990430622009569E-2</v>
      </c>
      <c r="V825" s="254">
        <f>IF(B825="FX",N825,0)</f>
        <v>0</v>
      </c>
      <c r="W825" s="254">
        <f>IF(D825="O",IF(V825&lt;0,V825,0),0)</f>
        <v>0</v>
      </c>
      <c r="X825" s="254">
        <f>IF(B825="COM",N825,0)</f>
        <v>0</v>
      </c>
      <c r="Y825" s="254">
        <f>IF(D825="O",IF(X825&lt;0,X825,0),0)</f>
        <v>0</v>
      </c>
      <c r="Z825" s="254">
        <f>IF(B825="IND",N825,0)</f>
        <v>-1</v>
      </c>
      <c r="AA825" s="250">
        <f>IF(D825="O",IF(Z825&lt;0,Z825,0),0)</f>
        <v>0</v>
      </c>
      <c r="AB825" s="254">
        <f>IF(B825="CRYPTO",N825,0)</f>
        <v>0</v>
      </c>
      <c r="AC825" s="250">
        <f>IF(D825="O",IF(AB825&lt;0,AB825,0),0)</f>
        <v>0</v>
      </c>
      <c r="AD825" s="255">
        <f>IF(K825&lt;&gt;"",K825-E825,0)</f>
        <v>7.9861111109494232E-2</v>
      </c>
      <c r="AE825" s="255">
        <f>IF(N825&gt;0,AD825,0)</f>
        <v>0</v>
      </c>
      <c r="AF825" s="255">
        <f>IF(N825&lt;0,AD825,0)</f>
        <v>7.9861111109494232E-2</v>
      </c>
      <c r="AG825" s="255">
        <f>IF(N825=0,AD825,0)</f>
        <v>0</v>
      </c>
    </row>
    <row r="826" spans="2:33" ht="15" customHeight="1" x14ac:dyDescent="0.3">
      <c r="B826" s="196" t="s">
        <v>5</v>
      </c>
      <c r="C826" s="197" t="s">
        <v>15</v>
      </c>
      <c r="D826" s="246" t="str">
        <f>IF(E826&lt;&gt;"",IF(K826&lt;&gt;"","C","O"),"")</f>
        <v>C</v>
      </c>
      <c r="E826" s="199">
        <v>44565.520833333336</v>
      </c>
      <c r="F826" s="200" t="s">
        <v>93</v>
      </c>
      <c r="G826" s="235">
        <v>16546.169999999998</v>
      </c>
      <c r="H826" s="235">
        <v>16515.93</v>
      </c>
      <c r="I826" s="247">
        <f>ABS(G826-H826)</f>
        <v>30.239999999997963</v>
      </c>
      <c r="J826" s="235">
        <v>16868.759999999998</v>
      </c>
      <c r="K826" s="199">
        <v>44565.599305555559</v>
      </c>
      <c r="L826" s="235">
        <v>16515.93</v>
      </c>
      <c r="M826" s="248">
        <f>ROUND(IF(C826="L",(L826-G826),(G826-L826)),4)</f>
        <v>-30.24</v>
      </c>
      <c r="N826" s="249">
        <f>IFERROR(ROUND((M826/I826),2),"")</f>
        <v>-1</v>
      </c>
      <c r="O826" s="250">
        <f>IF(D826="O",IF(N826&lt;0,N826,0),0)</f>
        <v>0</v>
      </c>
      <c r="P826" s="251">
        <f>IF(N826&gt;= 0,N826,0)</f>
        <v>0</v>
      </c>
      <c r="Q826" s="251">
        <f>IF(N826&lt;0,N826,0)</f>
        <v>-1</v>
      </c>
      <c r="R82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9506</v>
      </c>
      <c r="T82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6" s="253">
        <f ca="1">IF(Tabla33610673[[#This Row],[Equity]]&lt;Tabla33610673[[#This Row],[Equity Peak]],(Tabla33610673[[#This Row],[Equity Peak]]-Tabla33610673[[#This Row],[Equity]])/Tabla33610673[[#This Row],[Equity Peak]],"")</f>
        <v>9.0334928229665074E-2</v>
      </c>
      <c r="V826" s="254">
        <f>IF(B826="FX",N826,0)</f>
        <v>0</v>
      </c>
      <c r="W826" s="254">
        <f>IF(D826="O",IF(V826&lt;0,V826,0),0)</f>
        <v>0</v>
      </c>
      <c r="X826" s="254">
        <f>IF(B826="COM",N826,0)</f>
        <v>0</v>
      </c>
      <c r="Y826" s="254">
        <f>IF(D826="O",IF(X826&lt;0,X826,0),0)</f>
        <v>0</v>
      </c>
      <c r="Z826" s="254">
        <f>IF(B826="IND",N826,0)</f>
        <v>-1</v>
      </c>
      <c r="AA826" s="250">
        <f>IF(D826="O",IF(Z826&lt;0,Z826,0),0)</f>
        <v>0</v>
      </c>
      <c r="AB826" s="254">
        <f>IF(B826="CRYPTO",N826,0)</f>
        <v>0</v>
      </c>
      <c r="AC826" s="250">
        <f>IF(D826="O",IF(AB826&lt;0,AB826,0),0)</f>
        <v>0</v>
      </c>
      <c r="AD826" s="255">
        <f>IF(K826&lt;&gt;"",K826-E826,0)</f>
        <v>7.8472222223354038E-2</v>
      </c>
      <c r="AE826" s="255">
        <f>IF(N826&gt;0,AD826,0)</f>
        <v>0</v>
      </c>
      <c r="AF826" s="255">
        <f>IF(N826&lt;0,AD826,0)</f>
        <v>7.8472222223354038E-2</v>
      </c>
      <c r="AG826" s="255">
        <f>IF(N826=0,AD826,0)</f>
        <v>0</v>
      </c>
    </row>
    <row r="827" spans="2:33" ht="15" customHeight="1" x14ac:dyDescent="0.3">
      <c r="B827" s="196" t="s">
        <v>5</v>
      </c>
      <c r="C827" s="197" t="s">
        <v>15</v>
      </c>
      <c r="D827" s="246" t="str">
        <f>IF(E827&lt;&gt;"",IF(K827&lt;&gt;"","C","O"),"")</f>
        <v>C</v>
      </c>
      <c r="E827" s="199">
        <v>44565.270833333336</v>
      </c>
      <c r="F827" s="200" t="s">
        <v>92</v>
      </c>
      <c r="G827" s="235">
        <v>16517.189999999999</v>
      </c>
      <c r="H827" s="235">
        <v>16485.71</v>
      </c>
      <c r="I827" s="247">
        <f>ABS(G827-H827)</f>
        <v>31.479999999999563</v>
      </c>
      <c r="J827" s="235">
        <v>17104.759999999998</v>
      </c>
      <c r="K827" s="199">
        <v>44565.456944444442</v>
      </c>
      <c r="L827" s="235">
        <v>16485.71</v>
      </c>
      <c r="M827" s="248">
        <f>ROUND(IF(C827="L",(L827-G827),(G827-L827)),4)</f>
        <v>-31.48</v>
      </c>
      <c r="N827" s="249">
        <f>IFERROR(ROUND((M827/I827),2),"")</f>
        <v>-1</v>
      </c>
      <c r="O827" s="250">
        <f>IF(D827="O",IF(N827&lt;0,N827,0),0)</f>
        <v>0</v>
      </c>
      <c r="P827" s="251">
        <f>IF(N827&gt;= 0,N827,0)</f>
        <v>0</v>
      </c>
      <c r="Q827" s="251">
        <f>IF(N827&lt;0,N827,0)</f>
        <v>-1</v>
      </c>
      <c r="R82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9606</v>
      </c>
      <c r="T82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7" s="253">
        <f ca="1">IF(Tabla33610673[[#This Row],[Equity]]&lt;Tabla33610673[[#This Row],[Equity Peak]],(Tabla33610673[[#This Row],[Equity Peak]]-Tabla33610673[[#This Row],[Equity]])/Tabla33610673[[#This Row],[Equity Peak]],"")</f>
        <v>8.0765550239234443E-2</v>
      </c>
      <c r="V827" s="254">
        <f>IF(B827="FX",N827,0)</f>
        <v>0</v>
      </c>
      <c r="W827" s="254">
        <f>IF(D827="O",IF(V827&lt;0,V827,0),0)</f>
        <v>0</v>
      </c>
      <c r="X827" s="254">
        <f>IF(B827="COM",N827,0)</f>
        <v>0</v>
      </c>
      <c r="Y827" s="254">
        <f>IF(D827="O",IF(X827&lt;0,X827,0),0)</f>
        <v>0</v>
      </c>
      <c r="Z827" s="254">
        <f>IF(B827="IND",N827,0)</f>
        <v>-1</v>
      </c>
      <c r="AA827" s="250">
        <f>IF(D827="O",IF(Z827&lt;0,Z827,0),0)</f>
        <v>0</v>
      </c>
      <c r="AB827" s="254">
        <f>IF(B827="CRYPTO",N827,0)</f>
        <v>0</v>
      </c>
      <c r="AC827" s="250">
        <f>IF(D827="O",IF(AB827&lt;0,AB827,0),0)</f>
        <v>0</v>
      </c>
      <c r="AD827" s="255">
        <f>IF(K827&lt;&gt;"",K827-E827,0)</f>
        <v>0.18611111110658385</v>
      </c>
      <c r="AE827" s="255">
        <f>IF(N827&gt;0,AD827,0)</f>
        <v>0</v>
      </c>
      <c r="AF827" s="255">
        <f>IF(N827&lt;0,AD827,0)</f>
        <v>0.18611111110658385</v>
      </c>
      <c r="AG827" s="255">
        <f>IF(N827=0,AD827,0)</f>
        <v>0</v>
      </c>
    </row>
    <row r="828" spans="2:33" ht="15" customHeight="1" x14ac:dyDescent="0.3">
      <c r="B828" s="196" t="s">
        <v>5</v>
      </c>
      <c r="C828" s="197" t="s">
        <v>15</v>
      </c>
      <c r="D828" s="246" t="str">
        <f>IF(E828&lt;&gt;"",IF(K828&lt;&gt;"","C","O"),"")</f>
        <v>C</v>
      </c>
      <c r="E828" s="199">
        <v>44565.270833333336</v>
      </c>
      <c r="F828" s="200" t="s">
        <v>93</v>
      </c>
      <c r="G828" s="235">
        <v>16517.189999999999</v>
      </c>
      <c r="H828" s="235">
        <v>16487.36</v>
      </c>
      <c r="I828" s="247">
        <f>ABS(G828-H828)</f>
        <v>29.829999999998108</v>
      </c>
      <c r="J828" s="235">
        <v>16835.39</v>
      </c>
      <c r="K828" s="199">
        <v>44565.447222222225</v>
      </c>
      <c r="L828" s="235">
        <v>16487.36</v>
      </c>
      <c r="M828" s="248">
        <f>ROUND(IF(C828="L",(L828-G828),(G828-L828)),4)</f>
        <v>-29.83</v>
      </c>
      <c r="N828" s="249">
        <f>IFERROR(ROUND((M828/I828),2),"")</f>
        <v>-1</v>
      </c>
      <c r="O828" s="250">
        <f>IF(D828="O",IF(N828&lt;0,N828,0),0)</f>
        <v>0</v>
      </c>
      <c r="P828" s="251">
        <f>IF(N828&gt;= 0,N828,0)</f>
        <v>0</v>
      </c>
      <c r="Q828" s="251">
        <f>IF(N828&lt;0,N828,0)</f>
        <v>-1</v>
      </c>
      <c r="R828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8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9706</v>
      </c>
      <c r="T828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8" s="253">
        <f ca="1">IF(Tabla33610673[[#This Row],[Equity]]&lt;Tabla33610673[[#This Row],[Equity Peak]],(Tabla33610673[[#This Row],[Equity Peak]]-Tabla33610673[[#This Row],[Equity]])/Tabla33610673[[#This Row],[Equity Peak]],"")</f>
        <v>7.1196172248803827E-2</v>
      </c>
      <c r="V828" s="254">
        <f>IF(B828="FX",N828,0)</f>
        <v>0</v>
      </c>
      <c r="W828" s="254">
        <f>IF(D828="O",IF(V828&lt;0,V828,0),0)</f>
        <v>0</v>
      </c>
      <c r="X828" s="254">
        <f>IF(B828="COM",N828,0)</f>
        <v>0</v>
      </c>
      <c r="Y828" s="254">
        <f>IF(D828="O",IF(X828&lt;0,X828,0),0)</f>
        <v>0</v>
      </c>
      <c r="Z828" s="254">
        <f>IF(B828="IND",N828,0)</f>
        <v>-1</v>
      </c>
      <c r="AA828" s="250">
        <f>IF(D828="O",IF(Z828&lt;0,Z828,0),0)</f>
        <v>0</v>
      </c>
      <c r="AB828" s="254">
        <f>IF(B828="CRYPTO",N828,0)</f>
        <v>0</v>
      </c>
      <c r="AC828" s="250">
        <f>IF(D828="O",IF(AB828&lt;0,AB828,0),0)</f>
        <v>0</v>
      </c>
      <c r="AD828" s="255">
        <f>IF(K828&lt;&gt;"",K828-E828,0)</f>
        <v>0.17638888888905058</v>
      </c>
      <c r="AE828" s="255">
        <f>IF(N828&gt;0,AD828,0)</f>
        <v>0</v>
      </c>
      <c r="AF828" s="255">
        <f>IF(N828&lt;0,AD828,0)</f>
        <v>0.17638888888905058</v>
      </c>
      <c r="AG828" s="255">
        <f>IF(N828=0,AD828,0)</f>
        <v>0</v>
      </c>
    </row>
    <row r="829" spans="2:33" ht="15" customHeight="1" x14ac:dyDescent="0.3">
      <c r="B829" s="196" t="s">
        <v>5</v>
      </c>
      <c r="C829" s="197" t="s">
        <v>15</v>
      </c>
      <c r="D829" s="246" t="str">
        <f>IF(E829&lt;&gt;"",IF(K829&lt;&gt;"","C","O"),"")</f>
        <v>C</v>
      </c>
      <c r="E829" s="199">
        <v>44565.322916666664</v>
      </c>
      <c r="F829" s="200" t="s">
        <v>91</v>
      </c>
      <c r="G829" s="235">
        <v>16073.46</v>
      </c>
      <c r="H829" s="235">
        <v>16048.77</v>
      </c>
      <c r="I829" s="247">
        <f>ABS(G829-H829)</f>
        <v>24.68999999999869</v>
      </c>
      <c r="J829" s="235">
        <v>16534.39</v>
      </c>
      <c r="K829" s="199">
        <v>44565.42083333333</v>
      </c>
      <c r="L829" s="235">
        <v>16052.98</v>
      </c>
      <c r="M829" s="248">
        <f>ROUND(IF(C829="L",(L829-G829),(G829-L829)),4)</f>
        <v>-20.48</v>
      </c>
      <c r="N829" s="249">
        <f>IFERROR(ROUND((M829/I829),2),"")</f>
        <v>-0.83</v>
      </c>
      <c r="O829" s="250">
        <f>IF(D829="O",IF(N829&lt;0,N829,0),0)</f>
        <v>0</v>
      </c>
      <c r="P829" s="251">
        <f>IF(N829&gt;= 0,N829,0)</f>
        <v>0</v>
      </c>
      <c r="Q829" s="251">
        <f>IF(N829&lt;0,N829,0)</f>
        <v>-0.83</v>
      </c>
      <c r="R829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9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9806</v>
      </c>
      <c r="T829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29" s="253">
        <f ca="1">IF(Tabla33610673[[#This Row],[Equity]]&lt;Tabla33610673[[#This Row],[Equity Peak]],(Tabla33610673[[#This Row],[Equity Peak]]-Tabla33610673[[#This Row],[Equity]])/Tabla33610673[[#This Row],[Equity Peak]],"")</f>
        <v>6.1626794258373203E-2</v>
      </c>
      <c r="V829" s="254">
        <f>IF(B829="FX",N829,0)</f>
        <v>0</v>
      </c>
      <c r="W829" s="254">
        <f>IF(D829="O",IF(V829&lt;0,V829,0),0)</f>
        <v>0</v>
      </c>
      <c r="X829" s="254">
        <f>IF(B829="COM",N829,0)</f>
        <v>0</v>
      </c>
      <c r="Y829" s="254">
        <f>IF(D829="O",IF(X829&lt;0,X829,0),0)</f>
        <v>0</v>
      </c>
      <c r="Z829" s="254">
        <f>IF(B829="IND",N829,0)</f>
        <v>-0.83</v>
      </c>
      <c r="AA829" s="250">
        <f>IF(D829="O",IF(Z829&lt;0,Z829,0),0)</f>
        <v>0</v>
      </c>
      <c r="AB829" s="254">
        <f>IF(B829="CRYPTO",N829,0)</f>
        <v>0</v>
      </c>
      <c r="AC829" s="250">
        <f>IF(D829="O",IF(AB829&lt;0,AB829,0),0)</f>
        <v>0</v>
      </c>
      <c r="AD829" s="255">
        <f>IF(K829&lt;&gt;"",K829-E829,0)</f>
        <v>9.7916666665696539E-2</v>
      </c>
      <c r="AE829" s="255">
        <f>IF(N829&gt;0,AD829,0)</f>
        <v>0</v>
      </c>
      <c r="AF829" s="255">
        <f>IF(N829&lt;0,AD829,0)</f>
        <v>9.7916666665696539E-2</v>
      </c>
      <c r="AG829" s="255">
        <f>IF(N829=0,AD829,0)</f>
        <v>0</v>
      </c>
    </row>
    <row r="830" spans="2:33" ht="15" customHeight="1" x14ac:dyDescent="0.3">
      <c r="B830" s="196" t="s">
        <v>7</v>
      </c>
      <c r="C830" s="197" t="s">
        <v>13</v>
      </c>
      <c r="D830" s="246" t="str">
        <f>IF(E830&lt;&gt;"",IF(K830&lt;&gt;"","C","O"),"")</f>
        <v>C</v>
      </c>
      <c r="E830" s="199">
        <v>44564.739583333336</v>
      </c>
      <c r="F830" s="200" t="s">
        <v>115</v>
      </c>
      <c r="G830" s="235">
        <v>154.95500000000001</v>
      </c>
      <c r="H830" s="235">
        <v>155.28800000000001</v>
      </c>
      <c r="I830" s="247">
        <f>ABS(G830-H830)</f>
        <v>0.33299999999999841</v>
      </c>
      <c r="J830" s="235">
        <v>154.00399999999999</v>
      </c>
      <c r="K830" s="199">
        <v>44564.793055555558</v>
      </c>
      <c r="L830" s="235">
        <v>155.28800000000001</v>
      </c>
      <c r="M830" s="248">
        <f>ROUND(IF(C830="L",(L830-G830),(G830-L830)),4)</f>
        <v>-0.33300000000000002</v>
      </c>
      <c r="N830" s="249">
        <f>IFERROR(ROUND((M830/I830),2),"")</f>
        <v>-1</v>
      </c>
      <c r="O830" s="250">
        <f>IF(D830="O",IF(N830&lt;0,N830,0),0)</f>
        <v>0</v>
      </c>
      <c r="P830" s="251">
        <f>IF(N830&gt;= 0,N830,0)</f>
        <v>0</v>
      </c>
      <c r="Q830" s="251">
        <f>IF(N830&lt;0,N830,0)</f>
        <v>-1</v>
      </c>
      <c r="R830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0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9889</v>
      </c>
      <c r="T830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0" s="253">
        <f ca="1">IF(Tabla33610673[[#This Row],[Equity]]&lt;Tabla33610673[[#This Row],[Equity Peak]],(Tabla33610673[[#This Row],[Equity Peak]]-Tabla33610673[[#This Row],[Equity]])/Tabla33610673[[#This Row],[Equity Peak]],"")</f>
        <v>5.3684210526315793E-2</v>
      </c>
      <c r="V830" s="254">
        <f>IF(B830="FX",N830,0)</f>
        <v>-1</v>
      </c>
      <c r="W830" s="254">
        <f>IF(D830="O",IF(V830&lt;0,V830,0),0)</f>
        <v>0</v>
      </c>
      <c r="X830" s="254">
        <f>IF(B830="COM",N830,0)</f>
        <v>0</v>
      </c>
      <c r="Y830" s="254">
        <f>IF(D830="O",IF(X830&lt;0,X830,0),0)</f>
        <v>0</v>
      </c>
      <c r="Z830" s="254">
        <f>IF(B830="IND",N830,0)</f>
        <v>0</v>
      </c>
      <c r="AA830" s="250">
        <f>IF(D830="O",IF(Z830&lt;0,Z830,0),0)</f>
        <v>0</v>
      </c>
      <c r="AB830" s="254">
        <f>IF(B830="CRYPTO",N830,0)</f>
        <v>0</v>
      </c>
      <c r="AC830" s="250">
        <f>IF(D830="O",IF(AB830&lt;0,AB830,0),0)</f>
        <v>0</v>
      </c>
      <c r="AD830" s="255">
        <f>IF(K830&lt;&gt;"",K830-E830,0)</f>
        <v>5.3472222221898846E-2</v>
      </c>
      <c r="AE830" s="255">
        <f>IF(N830&gt;0,AD830,0)</f>
        <v>0</v>
      </c>
      <c r="AF830" s="255">
        <f>IF(N830&lt;0,AD830,0)</f>
        <v>5.3472222221898846E-2</v>
      </c>
      <c r="AG830" s="255">
        <f>IF(N830=0,AD830,0)</f>
        <v>0</v>
      </c>
    </row>
    <row r="831" spans="2:33" ht="15" customHeight="1" x14ac:dyDescent="0.3">
      <c r="B831" s="196" t="s">
        <v>7</v>
      </c>
      <c r="C831" s="197" t="s">
        <v>15</v>
      </c>
      <c r="D831" s="246" t="str">
        <f>IF(E831&lt;&gt;"",IF(K831&lt;&gt;"","C","O"),"")</f>
        <v>C</v>
      </c>
      <c r="E831" s="199">
        <v>44564.729166666664</v>
      </c>
      <c r="F831" s="200" t="s">
        <v>116</v>
      </c>
      <c r="G831" s="235">
        <v>115.36499999999999</v>
      </c>
      <c r="H831" s="235">
        <v>115.26600000000001</v>
      </c>
      <c r="I831" s="247">
        <f>ABS(G831-H831)</f>
        <v>9.8999999999989541E-2</v>
      </c>
      <c r="J831" s="235">
        <v>116.396</v>
      </c>
      <c r="K831" s="199">
        <v>44564.785416666666</v>
      </c>
      <c r="L831" s="235">
        <v>115.26600000000001</v>
      </c>
      <c r="M831" s="248">
        <f>ROUND(IF(C831="L",(L831-G831),(G831-L831)),4)</f>
        <v>-9.9000000000000005E-2</v>
      </c>
      <c r="N831" s="249">
        <f>IFERROR(ROUND((M831/I831),2),"")</f>
        <v>-1</v>
      </c>
      <c r="O831" s="250">
        <f>IF(D831="O",IF(N831&lt;0,N831,0),0)</f>
        <v>0</v>
      </c>
      <c r="P831" s="251">
        <f>IF(N831&gt;= 0,N831,0)</f>
        <v>0</v>
      </c>
      <c r="Q831" s="251">
        <f>IF(N831&lt;0,N831,0)</f>
        <v>-1</v>
      </c>
      <c r="R831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1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9989</v>
      </c>
      <c r="T831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1" s="253">
        <f ca="1">IF(Tabla33610673[[#This Row],[Equity]]&lt;Tabla33610673[[#This Row],[Equity Peak]],(Tabla33610673[[#This Row],[Equity Peak]]-Tabla33610673[[#This Row],[Equity]])/Tabla33610673[[#This Row],[Equity Peak]],"")</f>
        <v>4.4114832535885169E-2</v>
      </c>
      <c r="V831" s="254">
        <f>IF(B831="FX",N831,0)</f>
        <v>-1</v>
      </c>
      <c r="W831" s="254">
        <f>IF(D831="O",IF(V831&lt;0,V831,0),0)</f>
        <v>0</v>
      </c>
      <c r="X831" s="254">
        <f>IF(B831="COM",N831,0)</f>
        <v>0</v>
      </c>
      <c r="Y831" s="254">
        <f>IF(D831="O",IF(X831&lt;0,X831,0),0)</f>
        <v>0</v>
      </c>
      <c r="Z831" s="254">
        <f>IF(B831="IND",N831,0)</f>
        <v>0</v>
      </c>
      <c r="AA831" s="250">
        <f>IF(D831="O",IF(Z831&lt;0,Z831,0),0)</f>
        <v>0</v>
      </c>
      <c r="AB831" s="254">
        <f>IF(B831="CRYPTO",N831,0)</f>
        <v>0</v>
      </c>
      <c r="AC831" s="250">
        <f>IF(D831="O",IF(AB831&lt;0,AB831,0),0)</f>
        <v>0</v>
      </c>
      <c r="AD831" s="255">
        <f>IF(K831&lt;&gt;"",K831-E831,0)</f>
        <v>5.6250000001455192E-2</v>
      </c>
      <c r="AE831" s="255">
        <f>IF(N831&gt;0,AD831,0)</f>
        <v>0</v>
      </c>
      <c r="AF831" s="255">
        <f>IF(N831&lt;0,AD831,0)</f>
        <v>5.6250000001455192E-2</v>
      </c>
      <c r="AG831" s="255">
        <f>IF(N831=0,AD831,0)</f>
        <v>0</v>
      </c>
    </row>
    <row r="832" spans="2:33" ht="15" customHeight="1" x14ac:dyDescent="0.3">
      <c r="B832" s="196" t="s">
        <v>5</v>
      </c>
      <c r="C832" s="197" t="s">
        <v>15</v>
      </c>
      <c r="D832" s="246" t="str">
        <f>IF(E832&lt;&gt;"",IF(K832&lt;&gt;"","C","O"),"")</f>
        <v>C</v>
      </c>
      <c r="E832" s="199">
        <v>44564.625</v>
      </c>
      <c r="F832" s="200" t="s">
        <v>91</v>
      </c>
      <c r="G832" s="235">
        <v>16057.66</v>
      </c>
      <c r="H832" s="235">
        <v>16034.29</v>
      </c>
      <c r="I832" s="247">
        <f>ABS(G832-H832)</f>
        <v>23.369999999998981</v>
      </c>
      <c r="J832" s="235">
        <v>16493.96</v>
      </c>
      <c r="K832" s="199">
        <v>44564.668055555558</v>
      </c>
      <c r="L832" s="235">
        <v>16034.29</v>
      </c>
      <c r="M832" s="248">
        <f>ROUND(IF(C832="L",(L832-G832),(G832-L832)),4)</f>
        <v>-23.37</v>
      </c>
      <c r="N832" s="249">
        <f>IFERROR(ROUND((M832/I832),2),"")</f>
        <v>-1</v>
      </c>
      <c r="O832" s="250">
        <f>IF(D832="O",IF(N832&lt;0,N832,0),0)</f>
        <v>0</v>
      </c>
      <c r="P832" s="251">
        <f>IF(N832&gt;= 0,N832,0)</f>
        <v>0</v>
      </c>
      <c r="Q832" s="251">
        <f>IF(N832&lt;0,N832,0)</f>
        <v>-1</v>
      </c>
      <c r="R832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2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10089</v>
      </c>
      <c r="T832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2" s="253">
        <f ca="1">IF(Tabla33610673[[#This Row],[Equity]]&lt;Tabla33610673[[#This Row],[Equity Peak]],(Tabla33610673[[#This Row],[Equity Peak]]-Tabla33610673[[#This Row],[Equity]])/Tabla33610673[[#This Row],[Equity Peak]],"")</f>
        <v>3.4545454545454546E-2</v>
      </c>
      <c r="V832" s="254">
        <f>IF(B832="FX",N832,0)</f>
        <v>0</v>
      </c>
      <c r="W832" s="254">
        <f>IF(D832="O",IF(V832&lt;0,V832,0),0)</f>
        <v>0</v>
      </c>
      <c r="X832" s="254">
        <f>IF(B832="COM",N832,0)</f>
        <v>0</v>
      </c>
      <c r="Y832" s="254">
        <f>IF(D832="O",IF(X832&lt;0,X832,0),0)</f>
        <v>0</v>
      </c>
      <c r="Z832" s="254">
        <f>IF(B832="IND",N832,0)</f>
        <v>-1</v>
      </c>
      <c r="AA832" s="250">
        <f>IF(D832="O",IF(Z832&lt;0,Z832,0),0)</f>
        <v>0</v>
      </c>
      <c r="AB832" s="254">
        <f>IF(B832="CRYPTO",N832,0)</f>
        <v>0</v>
      </c>
      <c r="AC832" s="250">
        <f>IF(D832="O",IF(AB832&lt;0,AB832,0),0)</f>
        <v>0</v>
      </c>
      <c r="AD832" s="255">
        <f>IF(K832&lt;&gt;"",K832-E832,0)</f>
        <v>4.3055555557657499E-2</v>
      </c>
      <c r="AE832" s="255">
        <f>IF(N832&gt;0,AD832,0)</f>
        <v>0</v>
      </c>
      <c r="AF832" s="255">
        <f>IF(N832&lt;0,AD832,0)</f>
        <v>4.3055555557657499E-2</v>
      </c>
      <c r="AG832" s="255">
        <f>IF(N832=0,AD832,0)</f>
        <v>0</v>
      </c>
    </row>
    <row r="833" spans="2:33" ht="15" customHeight="1" x14ac:dyDescent="0.3">
      <c r="B833" s="196" t="s">
        <v>5</v>
      </c>
      <c r="C833" s="197" t="s">
        <v>15</v>
      </c>
      <c r="D833" s="246" t="str">
        <f>IF(E833&lt;&gt;"",IF(K833&lt;&gt;"","C","O"),"")</f>
        <v>C</v>
      </c>
      <c r="E833" s="199">
        <v>44564.427083333336</v>
      </c>
      <c r="F833" s="200" t="s">
        <v>91</v>
      </c>
      <c r="G833" s="235">
        <v>15996.66</v>
      </c>
      <c r="H833" s="235">
        <v>15974.46</v>
      </c>
      <c r="I833" s="247">
        <f>ABS(G833-H833)</f>
        <v>22.200000000000728</v>
      </c>
      <c r="J833" s="235">
        <v>16411.099999999999</v>
      </c>
      <c r="K833" s="199">
        <v>44564.481249999997</v>
      </c>
      <c r="L833" s="235">
        <v>15992.55</v>
      </c>
      <c r="M833" s="248">
        <f>ROUND(IF(C833="L",(L833-G833),(G833-L833)),4)</f>
        <v>-4.1100000000000003</v>
      </c>
      <c r="N833" s="249">
        <f>IFERROR(ROUND((M833/I833),2),"")</f>
        <v>-0.19</v>
      </c>
      <c r="O833" s="250">
        <f>IF(D833="O",IF(N833&lt;0,N833,0),0)</f>
        <v>0</v>
      </c>
      <c r="P833" s="251">
        <f>IF(N833&gt;= 0,N833,0)</f>
        <v>0</v>
      </c>
      <c r="Q833" s="251">
        <f>IF(N833&lt;0,N833,0)</f>
        <v>-0.19</v>
      </c>
      <c r="R833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3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10189</v>
      </c>
      <c r="T833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3" s="253">
        <f ca="1">IF(Tabla33610673[[#This Row],[Equity]]&lt;Tabla33610673[[#This Row],[Equity Peak]],(Tabla33610673[[#This Row],[Equity Peak]]-Tabla33610673[[#This Row],[Equity]])/Tabla33610673[[#This Row],[Equity Peak]],"")</f>
        <v>2.4976076555023922E-2</v>
      </c>
      <c r="V833" s="254">
        <f>IF(B833="FX",N833,0)</f>
        <v>0</v>
      </c>
      <c r="W833" s="254">
        <f>IF(D833="O",IF(V833&lt;0,V833,0),0)</f>
        <v>0</v>
      </c>
      <c r="X833" s="254">
        <f>IF(B833="COM",N833,0)</f>
        <v>0</v>
      </c>
      <c r="Y833" s="254">
        <f>IF(D833="O",IF(X833&lt;0,X833,0),0)</f>
        <v>0</v>
      </c>
      <c r="Z833" s="254">
        <f>IF(B833="IND",N833,0)</f>
        <v>-0.19</v>
      </c>
      <c r="AA833" s="250">
        <f>IF(D833="O",IF(Z833&lt;0,Z833,0),0)</f>
        <v>0</v>
      </c>
      <c r="AB833" s="254">
        <f>IF(B833="CRYPTO",N833,0)</f>
        <v>0</v>
      </c>
      <c r="AC833" s="250">
        <f>IF(D833="O",IF(AB833&lt;0,AB833,0),0)</f>
        <v>0</v>
      </c>
      <c r="AD833" s="255">
        <f>IF(K833&lt;&gt;"",K833-E833,0)</f>
        <v>5.4166666661330964E-2</v>
      </c>
      <c r="AE833" s="255">
        <f>IF(N833&gt;0,AD833,0)</f>
        <v>0</v>
      </c>
      <c r="AF833" s="255">
        <f>IF(N833&lt;0,AD833,0)</f>
        <v>5.4166666661330964E-2</v>
      </c>
      <c r="AG833" s="255">
        <f>IF(N833=0,AD833,0)</f>
        <v>0</v>
      </c>
    </row>
    <row r="834" spans="2:33" ht="15" customHeight="1" x14ac:dyDescent="0.3">
      <c r="B834" s="196" t="s">
        <v>7</v>
      </c>
      <c r="C834" s="197" t="s">
        <v>15</v>
      </c>
      <c r="D834" s="246" t="str">
        <f>IF(E834&lt;&gt;"",IF(K834&lt;&gt;"","C","O"),"")</f>
        <v>C</v>
      </c>
      <c r="E834" s="199">
        <v>44564.34375</v>
      </c>
      <c r="F834" s="200" t="s">
        <v>116</v>
      </c>
      <c r="G834" s="235">
        <v>115.34099999999999</v>
      </c>
      <c r="H834" s="235">
        <v>115.247</v>
      </c>
      <c r="I834" s="247">
        <f>ABS(G834-H834)</f>
        <v>9.3999999999994088E-2</v>
      </c>
      <c r="J834" s="235">
        <v>116.32299999999999</v>
      </c>
      <c r="K834" s="199">
        <v>44564.421527777777</v>
      </c>
      <c r="L834" s="235">
        <v>115.264</v>
      </c>
      <c r="M834" s="248">
        <f>ROUND(IF(C834="L",(L834-G834),(G834-L834)),4)</f>
        <v>-7.6999999999999999E-2</v>
      </c>
      <c r="N834" s="249">
        <f>IFERROR(ROUND((M834/I834),2),"")</f>
        <v>-0.82</v>
      </c>
      <c r="O834" s="250">
        <f>IF(D834="O",IF(N834&lt;0,N834,0),0)</f>
        <v>0</v>
      </c>
      <c r="P834" s="251">
        <f>IF(N834&gt;= 0,N834,0)</f>
        <v>0</v>
      </c>
      <c r="Q834" s="251">
        <f>IF(N834&lt;0,N834,0)</f>
        <v>-0.82</v>
      </c>
      <c r="R834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4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10208</v>
      </c>
      <c r="T834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4" s="253">
        <f ca="1">IF(Tabla33610673[[#This Row],[Equity]]&lt;Tabla33610673[[#This Row],[Equity Peak]],(Tabla33610673[[#This Row],[Equity Peak]]-Tabla33610673[[#This Row],[Equity]])/Tabla33610673[[#This Row],[Equity Peak]],"")</f>
        <v>2.3157894736842106E-2</v>
      </c>
      <c r="V834" s="254">
        <f>IF(B834="FX",N834,0)</f>
        <v>-0.82</v>
      </c>
      <c r="W834" s="254">
        <f>IF(D834="O",IF(V834&lt;0,V834,0),0)</f>
        <v>0</v>
      </c>
      <c r="X834" s="254">
        <f>IF(B834="COM",N834,0)</f>
        <v>0</v>
      </c>
      <c r="Y834" s="254">
        <f>IF(D834="O",IF(X834&lt;0,X834,0),0)</f>
        <v>0</v>
      </c>
      <c r="Z834" s="254">
        <f>IF(B834="IND",N834,0)</f>
        <v>0</v>
      </c>
      <c r="AA834" s="250">
        <f>IF(D834="O",IF(Z834&lt;0,Z834,0),0)</f>
        <v>0</v>
      </c>
      <c r="AB834" s="254">
        <f>IF(B834="CRYPTO",N834,0)</f>
        <v>0</v>
      </c>
      <c r="AC834" s="250">
        <f>IF(D834="O",IF(AB834&lt;0,AB834,0),0)</f>
        <v>0</v>
      </c>
      <c r="AD834" s="255">
        <f>IF(K834&lt;&gt;"",K834-E834,0)</f>
        <v>7.7777777776645962E-2</v>
      </c>
      <c r="AE834" s="255">
        <f>IF(N834&gt;0,AD834,0)</f>
        <v>0</v>
      </c>
      <c r="AF834" s="255">
        <f>IF(N834&lt;0,AD834,0)</f>
        <v>7.7777777776645962E-2</v>
      </c>
      <c r="AG834" s="255">
        <f>IF(N834=0,AD834,0)</f>
        <v>0</v>
      </c>
    </row>
    <row r="835" spans="2:33" ht="15" customHeight="1" x14ac:dyDescent="0.3">
      <c r="B835" s="196" t="s">
        <v>7</v>
      </c>
      <c r="C835" s="197" t="s">
        <v>15</v>
      </c>
      <c r="D835" s="246" t="str">
        <f>IF(E835&lt;&gt;"",IF(K835&lt;&gt;"","C","O"),"")</f>
        <v>C</v>
      </c>
      <c r="E835" s="199">
        <v>44564.104166666664</v>
      </c>
      <c r="F835" s="200" t="s">
        <v>116</v>
      </c>
      <c r="G835" s="235">
        <v>115.242</v>
      </c>
      <c r="H835" s="235">
        <v>115.146</v>
      </c>
      <c r="I835" s="247">
        <f>ABS(G835-H835)</f>
        <v>9.6000000000003638E-2</v>
      </c>
      <c r="J835" s="235">
        <v>116.24299999999999</v>
      </c>
      <c r="K835" s="199">
        <v>44564.157638888886</v>
      </c>
      <c r="L835" s="235">
        <v>115.184</v>
      </c>
      <c r="M835" s="248">
        <f>ROUND(IF(C835="L",(L835-G835),(G835-L835)),4)</f>
        <v>-5.8000000000000003E-2</v>
      </c>
      <c r="N835" s="249">
        <f>IFERROR(ROUND((M835/I835),2),"")</f>
        <v>-0.6</v>
      </c>
      <c r="O835" s="250">
        <f>IF(D835="O",IF(N835&lt;0,N835,0),0)</f>
        <v>0</v>
      </c>
      <c r="P835" s="251">
        <f>IF(N835&gt;= 0,N835,0)</f>
        <v>0</v>
      </c>
      <c r="Q835" s="251">
        <f>IF(N835&lt;0,N835,0)</f>
        <v>-0.6</v>
      </c>
      <c r="R835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5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10290</v>
      </c>
      <c r="T835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5" s="253">
        <f ca="1">IF(Tabla33610673[[#This Row],[Equity]]&lt;Tabla33610673[[#This Row],[Equity Peak]],(Tabla33610673[[#This Row],[Equity Peak]]-Tabla33610673[[#This Row],[Equity]])/Tabla33610673[[#This Row],[Equity Peak]],"")</f>
        <v>1.5311004784688996E-2</v>
      </c>
      <c r="V835" s="254">
        <f>IF(B835="FX",N835,0)</f>
        <v>-0.6</v>
      </c>
      <c r="W835" s="254">
        <f>IF(D835="O",IF(V835&lt;0,V835,0),0)</f>
        <v>0</v>
      </c>
      <c r="X835" s="254">
        <f>IF(B835="COM",N835,0)</f>
        <v>0</v>
      </c>
      <c r="Y835" s="254">
        <f>IF(D835="O",IF(X835&lt;0,X835,0),0)</f>
        <v>0</v>
      </c>
      <c r="Z835" s="254">
        <f>IF(B835="IND",N835,0)</f>
        <v>0</v>
      </c>
      <c r="AA835" s="250">
        <f>IF(D835="O",IF(Z835&lt;0,Z835,0),0)</f>
        <v>0</v>
      </c>
      <c r="AB835" s="254">
        <f>IF(B835="CRYPTO",N835,0)</f>
        <v>0</v>
      </c>
      <c r="AC835" s="250">
        <f>IF(D835="O",IF(AB835&lt;0,AB835,0),0)</f>
        <v>0</v>
      </c>
      <c r="AD835" s="255">
        <f>IF(K835&lt;&gt;"",K835-E835,0)</f>
        <v>5.3472222221898846E-2</v>
      </c>
      <c r="AE835" s="255">
        <f>IF(N835&gt;0,AD835,0)</f>
        <v>0</v>
      </c>
      <c r="AF835" s="255">
        <f>IF(N835&lt;0,AD835,0)</f>
        <v>5.3472222221898846E-2</v>
      </c>
      <c r="AG835" s="255">
        <f>IF(N835=0,AD835,0)</f>
        <v>0</v>
      </c>
    </row>
    <row r="836" spans="2:33" ht="15" customHeight="1" x14ac:dyDescent="0.3">
      <c r="B836" s="196" t="s">
        <v>19</v>
      </c>
      <c r="C836" s="197" t="s">
        <v>15</v>
      </c>
      <c r="D836" s="246" t="str">
        <f>IF(E836&lt;&gt;"",IF(K836&lt;&gt;"","C","O"),"")</f>
        <v>C</v>
      </c>
      <c r="E836" s="199">
        <v>44564.052083333336</v>
      </c>
      <c r="F836" s="200" t="s">
        <v>88</v>
      </c>
      <c r="G836" s="235">
        <v>1830.53</v>
      </c>
      <c r="H836" s="235">
        <v>1828.24</v>
      </c>
      <c r="I836" s="247">
        <f>ABS(G836-H836)</f>
        <v>2.2899999999999636</v>
      </c>
      <c r="J836" s="235">
        <v>1857.97</v>
      </c>
      <c r="K836" s="199">
        <v>44564.073611111111</v>
      </c>
      <c r="L836" s="235">
        <v>1828.24</v>
      </c>
      <c r="M836" s="248">
        <f>ROUND(IF(C836="L",(L836-G836),(G836-L836)),4)</f>
        <v>-2.29</v>
      </c>
      <c r="N836" s="249">
        <f>IFERROR(ROUND((M836/I836),2),"")</f>
        <v>-1</v>
      </c>
      <c r="O836" s="250">
        <f>IF(D836="O",IF(N836&lt;0,N836,0),0)</f>
        <v>0</v>
      </c>
      <c r="P836" s="251">
        <f>IF(N836&gt;= 0,N836,0)</f>
        <v>0</v>
      </c>
      <c r="Q836" s="251">
        <f>IF(N836&lt;0,N836,0)</f>
        <v>-1</v>
      </c>
      <c r="R836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6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10350</v>
      </c>
      <c r="T836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6" s="253">
        <f ca="1">IF(Tabla33610673[[#This Row],[Equity]]&lt;Tabla33610673[[#This Row],[Equity Peak]],(Tabla33610673[[#This Row],[Equity Peak]]-Tabla33610673[[#This Row],[Equity]])/Tabla33610673[[#This Row],[Equity Peak]],"")</f>
        <v>9.5693779904306216E-3</v>
      </c>
      <c r="V836" s="254">
        <f>IF(B836="FX",N836,0)</f>
        <v>0</v>
      </c>
      <c r="W836" s="254">
        <f>IF(D836="O",IF(V836&lt;0,V836,0),0)</f>
        <v>0</v>
      </c>
      <c r="X836" s="254">
        <f>IF(B836="COM",N836,0)</f>
        <v>-1</v>
      </c>
      <c r="Y836" s="254">
        <f>IF(D836="O",IF(X836&lt;0,X836,0),0)</f>
        <v>0</v>
      </c>
      <c r="Z836" s="254">
        <f>IF(B836="IND",N836,0)</f>
        <v>0</v>
      </c>
      <c r="AA836" s="250">
        <f>IF(D836="O",IF(Z836&lt;0,Z836,0),0)</f>
        <v>0</v>
      </c>
      <c r="AB836" s="254">
        <f>IF(B836="CRYPTO",N836,0)</f>
        <v>0</v>
      </c>
      <c r="AC836" s="250">
        <f>IF(D836="O",IF(AB836&lt;0,AB836,0),0)</f>
        <v>0</v>
      </c>
      <c r="AD836" s="255">
        <f>IF(K836&lt;&gt;"",K836-E836,0)</f>
        <v>2.1527777775190771E-2</v>
      </c>
      <c r="AE836" s="255">
        <f>IF(N836&gt;0,AD836,0)</f>
        <v>0</v>
      </c>
      <c r="AF836" s="255">
        <f>IF(N836&lt;0,AD836,0)</f>
        <v>2.1527777775190771E-2</v>
      </c>
      <c r="AG836" s="255">
        <f>IF(N836=0,AD836,0)</f>
        <v>0</v>
      </c>
    </row>
    <row r="837" spans="2:33" ht="15" customHeight="1" x14ac:dyDescent="0.3">
      <c r="B837" s="196" t="s">
        <v>7</v>
      </c>
      <c r="C837" s="197" t="s">
        <v>13</v>
      </c>
      <c r="D837" s="246" t="str">
        <f>IF(E837&lt;&gt;"",IF(K837&lt;&gt;"","C","O"),"")</f>
        <v>C</v>
      </c>
      <c r="E837" s="199">
        <v>44875.65625</v>
      </c>
      <c r="F837" s="200" t="s">
        <v>116</v>
      </c>
      <c r="G837" s="235">
        <v>143.74600000000001</v>
      </c>
      <c r="H837" s="235">
        <v>144.096</v>
      </c>
      <c r="I837" s="247">
        <f>ABS(G837-H837)</f>
        <v>0.34999999999999432</v>
      </c>
      <c r="J837" s="235">
        <v>140.124</v>
      </c>
      <c r="K837" s="199">
        <v>40857.819444444445</v>
      </c>
      <c r="L837" s="235">
        <v>142.172</v>
      </c>
      <c r="M837" s="248">
        <f>ROUND(IF(C837="L",(L837-G837),(G837-L837)),4)</f>
        <v>1.5740000000000001</v>
      </c>
      <c r="N837" s="249">
        <f>IFERROR(ROUND((M837/I837),2),"")</f>
        <v>4.5</v>
      </c>
      <c r="O837" s="250">
        <f>IF(D837="O",IF(N837&lt;0,N837,0),0)</f>
        <v>0</v>
      </c>
      <c r="P837" s="251">
        <f>IF(N837&gt;= 0,N837,0)</f>
        <v>4.5</v>
      </c>
      <c r="Q837" s="251">
        <f>IF(N837&lt;0,N837,0)</f>
        <v>0</v>
      </c>
      <c r="R837" s="251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7" s="252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10450</v>
      </c>
      <c r="T837" s="252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10450</v>
      </c>
      <c r="U837" s="253" t="str">
        <f ca="1">IF(Tabla33610673[[#This Row],[Equity]]&lt;Tabla33610673[[#This Row],[Equity Peak]],(Tabla33610673[[#This Row],[Equity Peak]]-Tabla33610673[[#This Row],[Equity]])/Tabla33610673[[#This Row],[Equity Peak]],"")</f>
        <v/>
      </c>
      <c r="V837" s="254">
        <f>IF(B837="FX",N837,0)</f>
        <v>4.5</v>
      </c>
      <c r="W837" s="254">
        <f>IF(D837="O",IF(V837&lt;0,V837,0),0)</f>
        <v>0</v>
      </c>
      <c r="X837" s="254">
        <f>IF(B837="COM",N837,0)</f>
        <v>0</v>
      </c>
      <c r="Y837" s="254">
        <f>IF(D837="O",IF(X837&lt;0,X837,0),0)</f>
        <v>0</v>
      </c>
      <c r="Z837" s="254">
        <f>IF(B837="IND",N837,0)</f>
        <v>0</v>
      </c>
      <c r="AA837" s="250">
        <f>IF(D837="O",IF(Z837&lt;0,Z837,0),0)</f>
        <v>0</v>
      </c>
      <c r="AB837" s="254">
        <f>IF(B837="CRYPTO",N837,0)</f>
        <v>0</v>
      </c>
      <c r="AC837" s="250">
        <f>IF(D837="O",IF(AB837&lt;0,AB837,0),0)</f>
        <v>0</v>
      </c>
      <c r="AD837" s="255">
        <f>IF(K837&lt;&gt;"",K837-E837,0)</f>
        <v>-4017.8368055555547</v>
      </c>
      <c r="AE837" s="255">
        <f>IF(N837&gt;0,AD837,0)</f>
        <v>-4017.8368055555547</v>
      </c>
      <c r="AF837" s="255">
        <f>IF(N837&lt;0,AD837,0)</f>
        <v>0</v>
      </c>
      <c r="AG837" s="255">
        <f>IF(N837=0,AD837,0)</f>
        <v>0</v>
      </c>
    </row>
  </sheetData>
  <sheetProtection algorithmName="SHA-512" hashValue="XXQnqZKnXFQefRrEoa6xRpvOc0Wt+w4f0OwjgISnBSU3IS0FtOBWtdUBJkmhMcMTpKPGWPNUmgct62RvzkibsQ==" saltValue="dT0IKo/NZXNg2TkhN8EmHA==" spinCount="100000" sheet="1" objects="1" scenarios="1" selectLockedCells="1"/>
  <mergeCells count="11">
    <mergeCell ref="E2:N5"/>
    <mergeCell ref="L8:M8"/>
    <mergeCell ref="H11:I11"/>
    <mergeCell ref="H12:I12"/>
    <mergeCell ref="AD12:AG12"/>
    <mergeCell ref="L6:M7"/>
    <mergeCell ref="N6:N7"/>
    <mergeCell ref="I7:I9"/>
    <mergeCell ref="J7:J9"/>
    <mergeCell ref="L9:M9"/>
    <mergeCell ref="L10:M10"/>
  </mergeCells>
  <conditionalFormatting sqref="X9">
    <cfRule type="cellIs" dxfId="71" priority="3" operator="equal">
      <formula>"OK"</formula>
    </cfRule>
    <cfRule type="cellIs" dxfId="70" priority="4" operator="equal">
      <formula>"warning"</formula>
    </cfRule>
  </conditionalFormatting>
  <conditionalFormatting sqref="F13">
    <cfRule type="cellIs" dxfId="69" priority="1" operator="equal">
      <formula>"OK"</formula>
    </cfRule>
    <cfRule type="cellIs" dxfId="68" priority="2" operator="equal">
      <formula>"Error!!"</formula>
    </cfRule>
  </conditionalFormatting>
  <conditionalFormatting sqref="E15:H15 K15:L15">
    <cfRule type="expression" dxfId="67" priority="5">
      <formula>+$D15=#REF!</formula>
    </cfRule>
    <cfRule type="expression" dxfId="66" priority="6">
      <formula>+$D15=#REF!</formula>
    </cfRule>
  </conditionalFormatting>
  <conditionalFormatting sqref="D15 K16:L16 D16:H837 J17:L837">
    <cfRule type="expression" dxfId="65" priority="9">
      <formula>+$D15=$AG$8</formula>
    </cfRule>
    <cfRule type="expression" dxfId="64" priority="10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020A4BBE-4A54-4F2D-9269-EC2E91A4487B}">
      <formula1>$AG$4:$AG$5</formula1>
    </dataValidation>
    <dataValidation type="list" allowBlank="1" showInputMessage="1" showErrorMessage="1" promptTitle="Instrument Type" prompt="Select Type from List_x000a_" sqref="B15:B16" xr:uid="{81CB297B-3E19-4342-BA62-629C5730D696}">
      <formula1>$AE$4:$AE$6</formula1>
    </dataValidation>
    <dataValidation type="list" allowBlank="1" showInputMessage="1" showErrorMessage="1" promptTitle="Instrument Type" prompt="Select Type from List_x000a_" sqref="B17:B837" xr:uid="{EC12D098-1306-40F5-8A86-DDB8717308A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7"/>
  <sheetViews>
    <sheetView showGridLines="0" topLeftCell="F1" zoomScaleNormal="100" workbookViewId="0">
      <selection activeCell="A2" sqref="A2"/>
    </sheetView>
  </sheetViews>
  <sheetFormatPr defaultColWidth="0" defaultRowHeight="12.75" x14ac:dyDescent="0.2"/>
  <cols>
    <col min="1" max="1" width="9.375" style="100" bestFit="1" customWidth="1"/>
    <col min="2" max="2" width="15.625" style="101" bestFit="1" customWidth="1"/>
    <col min="3" max="3" width="16.625" style="101" bestFit="1" customWidth="1"/>
    <col min="4" max="4" width="14.625" style="101" bestFit="1" customWidth="1"/>
    <col min="5" max="5" width="22" style="101" hidden="1" customWidth="1"/>
    <col min="6" max="6" width="1.625" style="93" customWidth="1"/>
    <col min="7" max="7" width="1.875" style="84" hidden="1" customWidth="1"/>
    <col min="8" max="8" width="16.875" style="84" hidden="1" customWidth="1"/>
    <col min="9" max="9" width="11.625" style="93" hidden="1" customWidth="1"/>
    <col min="10" max="10" width="14.5" style="93" hidden="1" customWidth="1"/>
    <col min="11" max="11" width="23.625" style="84" customWidth="1"/>
    <col min="12" max="12" width="12.625" style="84" customWidth="1"/>
    <col min="13" max="13" width="8.875" style="84" customWidth="1"/>
    <col min="14" max="14" width="9" style="84" customWidth="1"/>
    <col min="15" max="15" width="10.625" style="84" bestFit="1" customWidth="1"/>
    <col min="16" max="24" width="9" style="84" customWidth="1"/>
    <col min="25" max="26" width="0" style="84" hidden="1" customWidth="1"/>
    <col min="27" max="16384" width="9" style="84" hidden="1"/>
  </cols>
  <sheetData>
    <row r="1" spans="1:24" ht="16.5" thickBot="1" x14ac:dyDescent="0.35">
      <c r="A1" s="81" t="s">
        <v>64</v>
      </c>
      <c r="B1" s="82" t="s">
        <v>65</v>
      </c>
      <c r="C1" s="82" t="s">
        <v>66</v>
      </c>
      <c r="D1" s="82" t="s">
        <v>67</v>
      </c>
      <c r="E1" s="82" t="s">
        <v>68</v>
      </c>
      <c r="F1" s="83"/>
      <c r="H1" s="102" t="s">
        <v>69</v>
      </c>
      <c r="I1" s="85" t="s">
        <v>75</v>
      </c>
      <c r="J1"/>
      <c r="K1" s="3"/>
      <c r="L1" s="86" t="s">
        <v>70</v>
      </c>
      <c r="M1" s="87">
        <f>SUMIFS(Table2[Profits in $],Table2[Date],MIN(Table2[Date]))+$P$1</f>
        <v>112120</v>
      </c>
      <c r="N1" s="3"/>
      <c r="O1" s="86" t="s">
        <v>71</v>
      </c>
      <c r="P1" s="87">
        <f>SUMIFS(Table2[Profits in $],Table2[Date],MAX(Table2[Date]))</f>
        <v>12120</v>
      </c>
      <c r="Q1" s="3"/>
      <c r="R1" s="86" t="s">
        <v>72</v>
      </c>
      <c r="S1" s="88">
        <f>($P$1/SUMIFS(Table2[Profits in $],Table2[Date],MIN(Table2[Date])))</f>
        <v>0.1212</v>
      </c>
      <c r="T1" s="3"/>
      <c r="U1" s="3"/>
      <c r="V1" s="3"/>
      <c r="W1" s="3"/>
      <c r="X1" s="3"/>
    </row>
    <row r="2" spans="1:24" ht="15" x14ac:dyDescent="0.3">
      <c r="A2" s="89">
        <v>44317</v>
      </c>
      <c r="B2" s="90">
        <v>12.12</v>
      </c>
      <c r="C2" s="91">
        <v>1000</v>
      </c>
      <c r="D2" s="91">
        <v>12120</v>
      </c>
      <c r="E2" s="92">
        <f>IF(Table2[[#This Row],[Date]]=MIN(Table2[Date]),Table2[[#This Row],[Profits in $]],SUMIFS(Table2[Profits in $],Table2[Date],MIN(Table2[Date]))+Table2[[#This Row],[Profits in $]])</f>
        <v>112120</v>
      </c>
      <c r="G2" s="94">
        <f>MIN(Table2[Cumulative Equity])*0.99</f>
        <v>99000</v>
      </c>
      <c r="H2" s="95">
        <v>44197</v>
      </c>
      <c r="I2" s="85">
        <v>100000</v>
      </c>
      <c r="J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x14ac:dyDescent="0.3">
      <c r="A3" s="96">
        <v>44197</v>
      </c>
      <c r="B3" s="97" t="s">
        <v>73</v>
      </c>
      <c r="C3" s="98" t="s">
        <v>73</v>
      </c>
      <c r="D3" s="98">
        <v>100000</v>
      </c>
      <c r="E3" s="99">
        <f>IF(Table2[[#This Row],[Date]]=MIN(Table2[Date]),Table2[[#This Row],[Profits in $]],SUMIFS(Table2[Profits in $],Table2[Date],MIN(Table2[Date]))+Table2[[#This Row],[Profits in $]])</f>
        <v>100000</v>
      </c>
      <c r="G3" s="94">
        <f>MAX(Table2[Cumulative Equity])*1.05</f>
        <v>117999</v>
      </c>
      <c r="H3" s="95">
        <v>44253</v>
      </c>
      <c r="I3" s="85">
        <v>112270</v>
      </c>
      <c r="J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3">
      <c r="A4" s="89">
        <v>44253</v>
      </c>
      <c r="B4" s="90">
        <v>12.27</v>
      </c>
      <c r="C4" s="91">
        <v>1000</v>
      </c>
      <c r="D4" s="91">
        <v>12270</v>
      </c>
      <c r="E4" s="92">
        <f>IF(Table2[[#This Row],[Date]]=MIN(Table2[Date]),Table2[[#This Row],[Profits in $]],SUMIFS(Table2[Profits in $],Table2[Date],MIN(Table2[Date]))+Table2[[#This Row],[Profits in $]])</f>
        <v>112270</v>
      </c>
      <c r="H4" s="95">
        <v>44274</v>
      </c>
      <c r="I4" s="85">
        <v>111120</v>
      </c>
      <c r="J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x14ac:dyDescent="0.3">
      <c r="A5" s="96">
        <v>44274</v>
      </c>
      <c r="B5" s="97">
        <v>11.12</v>
      </c>
      <c r="C5" s="98">
        <v>1000</v>
      </c>
      <c r="D5" s="98">
        <v>11120</v>
      </c>
      <c r="E5" s="99">
        <f>IF(Table2[[#This Row],[Date]]=MIN(Table2[Date]),Table2[[#This Row],[Profits in $]],SUMIFS(Table2[Profits in $],Table2[Date],MIN(Table2[Date]))+Table2[[#This Row],[Profits in $]])</f>
        <v>111120</v>
      </c>
      <c r="H5" s="95">
        <v>44287</v>
      </c>
      <c r="I5" s="85">
        <v>112380</v>
      </c>
      <c r="J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x14ac:dyDescent="0.3">
      <c r="A6" s="96">
        <v>44287</v>
      </c>
      <c r="B6" s="97">
        <v>12.38</v>
      </c>
      <c r="C6" s="98">
        <v>1000</v>
      </c>
      <c r="D6" s="98">
        <v>12380</v>
      </c>
      <c r="E6" s="99">
        <f>IF(Table2[[#This Row],[Date]]=MIN(Table2[Date]),Table2[[#This Row],[Profits in $]],SUMIFS(Table2[Profits in $],Table2[Date],MIN(Table2[Date]))+Table2[[#This Row],[Profits in $]])</f>
        <v>112380</v>
      </c>
      <c r="H6" s="95">
        <v>44317</v>
      </c>
      <c r="I6" s="85">
        <v>112120</v>
      </c>
      <c r="J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x14ac:dyDescent="0.3">
      <c r="H7" s="95" t="s">
        <v>74</v>
      </c>
      <c r="I7" s="85">
        <v>547890</v>
      </c>
      <c r="J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x14ac:dyDescent="0.3">
      <c r="H8"/>
      <c r="I8"/>
      <c r="J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x14ac:dyDescent="0.3">
      <c r="H9"/>
      <c r="I9"/>
      <c r="J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thickBot="1" x14ac:dyDescent="0.35">
      <c r="H10"/>
      <c r="I10"/>
      <c r="J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thickBot="1" x14ac:dyDescent="0.35">
      <c r="H11"/>
      <c r="I11" s="85"/>
      <c r="J11" s="85"/>
      <c r="K11" s="3"/>
      <c r="L11" s="8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x14ac:dyDescent="0.3">
      <c r="H12"/>
      <c r="I12" s="85"/>
      <c r="J12" s="8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x14ac:dyDescent="0.3">
      <c r="H13"/>
      <c r="I13" s="85"/>
      <c r="J13" s="8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x14ac:dyDescent="0.3">
      <c r="H14"/>
      <c r="I14" s="85"/>
      <c r="J14" s="8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x14ac:dyDescent="0.3">
      <c r="H15"/>
      <c r="I15" s="85"/>
      <c r="J15" s="8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x14ac:dyDescent="0.3">
      <c r="H16"/>
      <c r="I16" s="85"/>
      <c r="J16" s="8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8:24" ht="15" x14ac:dyDescent="0.3">
      <c r="H17"/>
      <c r="I17" s="85"/>
      <c r="J17" s="8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8:24" ht="15" x14ac:dyDescent="0.3">
      <c r="H18"/>
      <c r="I18" s="85"/>
      <c r="J18" s="8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8:24" ht="15" x14ac:dyDescent="0.3">
      <c r="H19"/>
      <c r="I19" s="85"/>
      <c r="J19" s="8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8:24" ht="15" x14ac:dyDescent="0.3">
      <c r="H20"/>
      <c r="I20" s="85"/>
      <c r="J20" s="8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8:24" ht="15" x14ac:dyDescent="0.3">
      <c r="H21"/>
      <c r="I21" s="85"/>
      <c r="J21" s="8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8:24" ht="15" x14ac:dyDescent="0.3">
      <c r="H22"/>
      <c r="I22" s="85"/>
      <c r="J22" s="8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8:24" ht="15" x14ac:dyDescent="0.3">
      <c r="H23"/>
      <c r="I23" s="85"/>
      <c r="J23" s="8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8:24" ht="15" x14ac:dyDescent="0.3">
      <c r="H24"/>
      <c r="I24" s="85"/>
      <c r="J24" s="8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8:24" ht="15" x14ac:dyDescent="0.3">
      <c r="H25"/>
      <c r="I25" s="85"/>
      <c r="J25" s="8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8:24" ht="15" x14ac:dyDescent="0.3">
      <c r="H26"/>
      <c r="I26" s="85"/>
      <c r="J26" s="8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8:24" ht="15" x14ac:dyDescent="0.3">
      <c r="H27"/>
      <c r="I27" s="85"/>
      <c r="J27" s="8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8:24" ht="15" x14ac:dyDescent="0.3">
      <c r="H28"/>
      <c r="I28" s="85"/>
      <c r="J28" s="8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8:24" ht="15" x14ac:dyDescent="0.3">
      <c r="H29"/>
      <c r="I29" s="85"/>
      <c r="J29" s="8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8:24" ht="15" x14ac:dyDescent="0.3">
      <c r="H30"/>
      <c r="I30" s="85"/>
      <c r="J30" s="8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8:24" ht="15" x14ac:dyDescent="0.3">
      <c r="H31"/>
      <c r="I31" s="85"/>
      <c r="J31" s="8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8:24" ht="15" x14ac:dyDescent="0.3">
      <c r="H32"/>
      <c r="I32" s="85"/>
      <c r="J32" s="8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8:24" ht="15" x14ac:dyDescent="0.3">
      <c r="H33"/>
      <c r="I33" s="85"/>
      <c r="J33" s="8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8:24" ht="15" x14ac:dyDescent="0.3">
      <c r="H34"/>
      <c r="I34" s="85"/>
      <c r="J34" s="8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8:24" x14ac:dyDescent="0.2">
      <c r="H35"/>
      <c r="I35" s="85"/>
      <c r="J35" s="85"/>
    </row>
    <row r="36" spans="8:24" x14ac:dyDescent="0.2">
      <c r="H36"/>
      <c r="I36" s="85"/>
      <c r="J36" s="85"/>
    </row>
    <row r="37" spans="8:24" x14ac:dyDescent="0.2">
      <c r="H37"/>
      <c r="I37" s="85"/>
      <c r="J37" s="85"/>
    </row>
    <row r="38" spans="8:24" x14ac:dyDescent="0.2">
      <c r="H38"/>
      <c r="I38" s="85"/>
      <c r="J38" s="85"/>
    </row>
    <row r="39" spans="8:24" x14ac:dyDescent="0.2">
      <c r="H39"/>
      <c r="I39" s="85"/>
      <c r="J39" s="85"/>
    </row>
    <row r="40" spans="8:24" x14ac:dyDescent="0.2">
      <c r="H40"/>
      <c r="I40" s="85"/>
      <c r="J40" s="85"/>
    </row>
    <row r="41" spans="8:24" x14ac:dyDescent="0.2">
      <c r="H41"/>
      <c r="I41" s="85"/>
      <c r="J41" s="85"/>
    </row>
    <row r="42" spans="8:24" x14ac:dyDescent="0.2">
      <c r="H42"/>
      <c r="I42" s="85"/>
      <c r="J42" s="85"/>
    </row>
    <row r="43" spans="8:24" x14ac:dyDescent="0.2">
      <c r="H43"/>
      <c r="I43" s="85"/>
      <c r="J43" s="85"/>
    </row>
    <row r="44" spans="8:24" x14ac:dyDescent="0.2">
      <c r="H44"/>
      <c r="I44" s="85"/>
      <c r="J44" s="85"/>
    </row>
    <row r="45" spans="8:24" x14ac:dyDescent="0.2">
      <c r="H45"/>
      <c r="I45" s="85"/>
      <c r="J45" s="85"/>
    </row>
    <row r="46" spans="8:24" x14ac:dyDescent="0.2">
      <c r="H46"/>
      <c r="I46" s="85"/>
      <c r="J46" s="85"/>
    </row>
    <row r="47" spans="8:24" x14ac:dyDescent="0.2">
      <c r="H47"/>
      <c r="I47" s="85"/>
      <c r="J47" s="85"/>
    </row>
  </sheetData>
  <sheetProtection algorithmName="SHA-512" hashValue="NXa5/JknuXBWaWwlYCvnpsEm4kPPF4tDwcKilqDzprMKynzaIa/i00NDLW++R2ki93O4N9rMxhPcuPfOFHx9HA==" saltValue="or6kPG0BQBzRBi/w8XN6rA==" spinCount="100000" sheet="1" objects="1" scenarios="1" selectLockedCells="1"/>
  <pageMargins left="0.7" right="0.7" top="0.75" bottom="0.75" header="0.3" footer="0.3"/>
  <pageSetup paperSize="9" orientation="portrait" horizontalDpi="4294967294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2"/>
  <sheetViews>
    <sheetView showGridLines="0" workbookViewId="0">
      <selection activeCell="E33" sqref="E33"/>
    </sheetView>
  </sheetViews>
  <sheetFormatPr defaultColWidth="8.875" defaultRowHeight="12.75" x14ac:dyDescent="0.2"/>
  <cols>
    <col min="1" max="1" width="13" customWidth="1"/>
    <col min="2" max="2" width="12.375" customWidth="1"/>
  </cols>
  <sheetData>
    <row r="1" spans="1:2" x14ac:dyDescent="0.2">
      <c r="A1" t="s">
        <v>78</v>
      </c>
      <c r="B1" t="s">
        <v>79</v>
      </c>
    </row>
    <row r="2" spans="1:2" ht="15.75" x14ac:dyDescent="0.25">
      <c r="A2" s="105" t="s">
        <v>81</v>
      </c>
      <c r="B2" s="105" t="s">
        <v>7</v>
      </c>
    </row>
    <row r="3" spans="1:2" ht="15.75" x14ac:dyDescent="0.25">
      <c r="A3" s="105" t="s">
        <v>83</v>
      </c>
      <c r="B3" s="105" t="s">
        <v>7</v>
      </c>
    </row>
    <row r="4" spans="1:2" ht="15.75" x14ac:dyDescent="0.25">
      <c r="A4" s="105" t="s">
        <v>96</v>
      </c>
      <c r="B4" s="105" t="s">
        <v>7</v>
      </c>
    </row>
    <row r="5" spans="1:2" ht="15.75" x14ac:dyDescent="0.25">
      <c r="A5" s="105" t="s">
        <v>97</v>
      </c>
      <c r="B5" s="105" t="s">
        <v>7</v>
      </c>
    </row>
    <row r="6" spans="1:2" ht="15.75" x14ac:dyDescent="0.25">
      <c r="A6" s="105" t="s">
        <v>98</v>
      </c>
      <c r="B6" s="105" t="s">
        <v>7</v>
      </c>
    </row>
    <row r="7" spans="1:2" ht="15.75" x14ac:dyDescent="0.25">
      <c r="A7" s="105" t="s">
        <v>99</v>
      </c>
      <c r="B7" s="105" t="s">
        <v>7</v>
      </c>
    </row>
    <row r="8" spans="1:2" ht="15.75" x14ac:dyDescent="0.25">
      <c r="A8" s="105" t="s">
        <v>100</v>
      </c>
      <c r="B8" s="105" t="s">
        <v>7</v>
      </c>
    </row>
    <row r="9" spans="1:2" ht="15.75" x14ac:dyDescent="0.25">
      <c r="A9" s="105" t="s">
        <v>85</v>
      </c>
      <c r="B9" s="105" t="s">
        <v>7</v>
      </c>
    </row>
    <row r="10" spans="1:2" ht="15.75" x14ac:dyDescent="0.25">
      <c r="A10" s="105" t="s">
        <v>101</v>
      </c>
      <c r="B10" s="105" t="s">
        <v>7</v>
      </c>
    </row>
    <row r="11" spans="1:2" ht="15.75" x14ac:dyDescent="0.25">
      <c r="A11" s="105" t="s">
        <v>102</v>
      </c>
      <c r="B11" s="105" t="s">
        <v>7</v>
      </c>
    </row>
    <row r="12" spans="1:2" ht="15.75" x14ac:dyDescent="0.25">
      <c r="A12" s="105" t="s">
        <v>88</v>
      </c>
      <c r="B12" s="105" t="s">
        <v>19</v>
      </c>
    </row>
    <row r="13" spans="1:2" ht="15.75" x14ac:dyDescent="0.25">
      <c r="A13" s="105" t="s">
        <v>89</v>
      </c>
      <c r="B13" s="105" t="s">
        <v>19</v>
      </c>
    </row>
    <row r="14" spans="1:2" ht="15.75" x14ac:dyDescent="0.25">
      <c r="A14" s="105" t="s">
        <v>108</v>
      </c>
      <c r="B14" s="105" t="s">
        <v>19</v>
      </c>
    </row>
    <row r="15" spans="1:2" ht="15.75" x14ac:dyDescent="0.25">
      <c r="A15" s="105" t="s">
        <v>80</v>
      </c>
      <c r="B15" s="105" t="s">
        <v>84</v>
      </c>
    </row>
    <row r="16" spans="1:2" ht="15.75" x14ac:dyDescent="0.25">
      <c r="A16" s="105" t="s">
        <v>82</v>
      </c>
      <c r="B16" s="105" t="s">
        <v>84</v>
      </c>
    </row>
    <row r="17" spans="1:2" ht="15.75" x14ac:dyDescent="0.25">
      <c r="A17" s="105" t="s">
        <v>90</v>
      </c>
      <c r="B17" s="105" t="s">
        <v>5</v>
      </c>
    </row>
    <row r="18" spans="1:2" ht="15.75" x14ac:dyDescent="0.25">
      <c r="A18" s="105" t="s">
        <v>91</v>
      </c>
      <c r="B18" s="105" t="s">
        <v>5</v>
      </c>
    </row>
    <row r="19" spans="1:2" ht="15.75" x14ac:dyDescent="0.25">
      <c r="A19" s="105" t="s">
        <v>92</v>
      </c>
      <c r="B19" s="105" t="s">
        <v>5</v>
      </c>
    </row>
    <row r="20" spans="1:2" ht="15.75" x14ac:dyDescent="0.25">
      <c r="A20" s="105" t="s">
        <v>93</v>
      </c>
      <c r="B20" s="105" t="s">
        <v>5</v>
      </c>
    </row>
    <row r="21" spans="1:2" ht="15.75" x14ac:dyDescent="0.25">
      <c r="A21" s="105" t="s">
        <v>94</v>
      </c>
      <c r="B21" s="105" t="s">
        <v>5</v>
      </c>
    </row>
    <row r="22" spans="1:2" ht="15.75" x14ac:dyDescent="0.25">
      <c r="A22" s="105" t="s">
        <v>95</v>
      </c>
      <c r="B22" s="105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423-48B9-A9D5-D92FFD59A85A}">
  <sheetPr codeName="Hoja11">
    <pageSetUpPr fitToPage="1"/>
  </sheetPr>
  <dimension ref="A1:AX1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:B5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77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COUNTA(Tabla3361067348[Inst])</f>
        <v>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0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COUNTIF(Tabla3361067348[No. of Rs],"&gt;0")</f>
        <v>0</v>
      </c>
      <c r="G7" s="24" t="str">
        <f>IFERROR((F7/$F$6),"")</f>
        <v/>
      </c>
      <c r="H7" s="78" t="str">
        <f>IFERROR((+P13/F7),"")</f>
        <v/>
      </c>
      <c r="I7" s="227" t="e">
        <f>H7/H9</f>
        <v>#VALUE!</v>
      </c>
      <c r="J7" s="227" t="e">
        <f>AVERAGE(Tabla3361067348[No. of Rs])</f>
        <v>#DIV/0!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 t="str">
        <f>IFERROR((V6/N6),"")</f>
        <v/>
      </c>
      <c r="W7" s="27"/>
      <c r="X7" s="26" t="str">
        <f>IFERROR((X6/N6),"")</f>
        <v/>
      </c>
      <c r="Y7" s="28"/>
      <c r="Z7" s="26" t="str">
        <f>IFERROR((Z6/N6),"")</f>
        <v/>
      </c>
      <c r="AA7" s="28"/>
      <c r="AB7" s="26" t="str">
        <f>IFERROR((AB6/N6),"")</f>
        <v/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COUNTIF(Tabla3361067348[No. of Rs],"=0")</f>
        <v>0</v>
      </c>
      <c r="G8" s="24" t="str">
        <f>IFERROR((F8/$F$6),"")</f>
        <v/>
      </c>
      <c r="H8" s="78"/>
      <c r="I8" s="228"/>
      <c r="J8" s="228"/>
      <c r="K8" s="163"/>
      <c r="L8" s="212" t="s">
        <v>112</v>
      </c>
      <c r="M8" s="213"/>
      <c r="N8" s="195">
        <f ca="1">OFFSET(Tabla3361067348[[#Headers],[Equity]],1,0)</f>
        <v>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COUNTIF(Tabla3361067348[No. of Rs],"&lt;0")</f>
        <v>0</v>
      </c>
      <c r="G9" s="32" t="str">
        <f>IFERROR((F9/$F$6),"")</f>
        <v/>
      </c>
      <c r="H9" s="79" t="str">
        <f>IFERROR((-Q13/F9),"")</f>
        <v/>
      </c>
      <c r="I9" s="229"/>
      <c r="J9" s="229"/>
      <c r="K9" s="149"/>
      <c r="L9" s="230" t="s">
        <v>106</v>
      </c>
      <c r="M9" s="231"/>
      <c r="N9" s="125">
        <f>MAX(Tabla3361067348[Drawdown])</f>
        <v>0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OFFSET(Tabla3361067348[[#Headers],[Drawdown]],1,0)</f>
        <v>0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IF(COUNTIFS(Tabla3361067348[O/C],"O")&lt;1,"None",COUNTIFS(Tabla3361067348[O/C],"O"))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SUM(Tabla3361067348[No. of Rs])</f>
        <v>0</v>
      </c>
      <c r="O13" s="42">
        <f>SUM(Tabla3361067348[Heat])</f>
        <v>0</v>
      </c>
      <c r="P13" s="43">
        <f>SUM(Tabla3361067348[[ TR WIN]])</f>
        <v>0</v>
      </c>
      <c r="Q13" s="43">
        <f>SUM(Tabla3361067348[[ TR LOSS]])</f>
        <v>0</v>
      </c>
      <c r="R13" s="114"/>
      <c r="S13" s="115"/>
      <c r="T13" s="115"/>
      <c r="U13" s="121"/>
      <c r="V13" s="44">
        <f>SUM(Tabla3361067348[Currency])</f>
        <v>0</v>
      </c>
      <c r="W13" s="44">
        <f>SUM(Tabla3361067348[Heat3])</f>
        <v>0</v>
      </c>
      <c r="X13" s="44">
        <f>SUM(Tabla3361067348[Commodities])</f>
        <v>0</v>
      </c>
      <c r="Y13" s="44">
        <f>SUM(Tabla3361067348[Heat4])</f>
        <v>0</v>
      </c>
      <c r="Z13" s="44">
        <f>SUM(Tabla3361067348[Index])</f>
        <v>0</v>
      </c>
      <c r="AA13" s="44">
        <f>SUM(Tabla3361067348[Heat5])</f>
        <v>0</v>
      </c>
      <c r="AB13" s="44">
        <f>SUM(Tabla3361067348[Cryptocurrency])</f>
        <v>0</v>
      </c>
      <c r="AC13" s="44">
        <f>SUM(Tabla3361067348[Heat6])</f>
        <v>0</v>
      </c>
      <c r="AD13" s="75" t="e">
        <f>AVERAGEIF(Tabla3361067348[Length of 
Trade],"&lt;&gt;0")</f>
        <v>#DIV/0!</v>
      </c>
      <c r="AE13" s="75" t="e">
        <f>AVERAGEIF(Tabla3361067348[Win],"&lt;&gt;0")</f>
        <v>#DIV/0!</v>
      </c>
      <c r="AF13" s="75" t="e">
        <f>AVERAGEIF(Tabla3361067348[Loss],"&lt;&gt;0")</f>
        <v>#DIV/0!</v>
      </c>
      <c r="AG13" s="76" t="e">
        <f>AVERAGEIF(Tabla3361067348[Breakeven],"&lt;&gt;0")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81"/>
      <c r="C17" s="182"/>
      <c r="D17" s="183"/>
      <c r="E17" s="184"/>
      <c r="F17" s="185"/>
      <c r="G17" s="186"/>
      <c r="H17" s="186"/>
      <c r="I17" s="65"/>
      <c r="J17" s="186"/>
      <c r="K17" s="184"/>
      <c r="L17" s="186"/>
      <c r="M17" s="187"/>
      <c r="N17" s="188"/>
      <c r="O17" s="189"/>
      <c r="P17" s="190"/>
      <c r="Q17" s="190"/>
      <c r="R17" s="190"/>
      <c r="S17" s="191"/>
      <c r="T17" s="191"/>
      <c r="U17" s="192"/>
      <c r="V17" s="193"/>
      <c r="W17" s="193"/>
      <c r="X17" s="193"/>
      <c r="Y17" s="193"/>
      <c r="Z17" s="193"/>
      <c r="AA17" s="189"/>
      <c r="AB17" s="193"/>
      <c r="AC17" s="189"/>
      <c r="AD17" s="194"/>
      <c r="AE17" s="194"/>
      <c r="AF17" s="194"/>
      <c r="AG17" s="194"/>
      <c r="AH17" s="176"/>
      <c r="AI17" s="109"/>
    </row>
  </sheetData>
  <sheetProtection algorithmName="SHA-512" hashValue="0CM4O+Rx4DkjGqbOLvgK8Ou6ivzvKW7Ackftd6P0+DwN1o8bAaoyhUht6acmO80zd8D1geE8O29mIPRz+jcE3g==" saltValue="6UckQWzkJT81rKsIQU128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3" priority="3" operator="equal">
      <formula>"OK"</formula>
    </cfRule>
    <cfRule type="cellIs" dxfId="62" priority="4" operator="equal">
      <formula>"warning"</formula>
    </cfRule>
  </conditionalFormatting>
  <conditionalFormatting sqref="F13">
    <cfRule type="cellIs" dxfId="61" priority="1" operator="equal">
      <formula>"OK"</formula>
    </cfRule>
    <cfRule type="cellIs" dxfId="60" priority="2" operator="equal">
      <formula>"Error!!"</formula>
    </cfRule>
  </conditionalFormatting>
  <conditionalFormatting sqref="E15:H15 K15:L15">
    <cfRule type="expression" dxfId="59" priority="5">
      <formula>+$D15=#REF!</formula>
    </cfRule>
    <cfRule type="expression" dxfId="58" priority="6">
      <formula>+$D15=#REF!</formula>
    </cfRule>
  </conditionalFormatting>
  <conditionalFormatting sqref="D15 K16:L16 D16:H17 J17:L17">
    <cfRule type="expression" dxfId="57" priority="7">
      <formula>+$D15=$AG$8</formula>
    </cfRule>
    <cfRule type="expression" dxfId="56" priority="8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E238E195-9138-42BE-8AA1-2FB025BB7756}">
      <formula1>$AG$4:$AG$5</formula1>
    </dataValidation>
    <dataValidation type="list" allowBlank="1" showInputMessage="1" showErrorMessage="1" promptTitle="Instrument Type" prompt="Select Type from List_x000a_" sqref="B15:B16" xr:uid="{790F9287-FE2A-4227-B22B-FAFD6B8728FC}">
      <formula1>$AE$4:$AE$6</formula1>
    </dataValidation>
    <dataValidation type="list" allowBlank="1" showInputMessage="1" showErrorMessage="1" promptTitle="Instrument Type" prompt="Select Type from List_x000a_" sqref="B17" xr:uid="{71DE4D9A-DB2E-4631-B2A9-6EF06009D8D9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BF39-94DC-4895-A3D4-EDB934FBE3CF}">
  <sheetPr codeName="Hoja12">
    <pageSetUpPr fitToPage="1"/>
  </sheetPr>
  <dimension ref="A1:AX101"/>
  <sheetViews>
    <sheetView showGridLines="0" showZeros="0" tabSelected="1" zoomScale="115" zoomScaleNormal="115" zoomScalePageLayoutView="99" workbookViewId="0">
      <pane ySplit="16" topLeftCell="A17" activePane="bottomLeft" state="frozen"/>
      <selection pane="bottomLeft" activeCell="L18" sqref="L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COUNTA(Tabla33610673484[Inst])</f>
        <v>85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72.879999999999981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72.879999999999981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COUNTIF(Tabla33610673484[No. of Rs],"&gt;0")</f>
        <v>25</v>
      </c>
      <c r="G7" s="24">
        <f>IFERROR((F7/$F$6),"")</f>
        <v>0.29411764705882354</v>
      </c>
      <c r="H7" s="78">
        <f>IFERROR((+P13/F7),"")</f>
        <v>4.6059999999999999</v>
      </c>
      <c r="I7" s="227">
        <f>H7/H9</f>
        <v>6.3200378519044245</v>
      </c>
      <c r="J7" s="227">
        <f>AVERAGE(Tabla33610673484[No. of Rs])</f>
        <v>0.8574117647058821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COUNTIF(Tabla33610673484[No. of Rs],"=0")</f>
        <v>2</v>
      </c>
      <c r="G8" s="24">
        <f>IFERROR((F8/$F$6),"")</f>
        <v>2.3529411764705882E-2</v>
      </c>
      <c r="H8" s="78"/>
      <c r="I8" s="228"/>
      <c r="J8" s="228"/>
      <c r="K8" s="163"/>
      <c r="L8" s="212" t="s">
        <v>112</v>
      </c>
      <c r="M8" s="213"/>
      <c r="N8" s="195">
        <f ca="1">OFFSET(Tabla33610673484[[#Headers],[Equity]],1,0)</f>
        <v>17288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COUNTIF(Tabla33610673484[No. of Rs],"&lt;0")</f>
        <v>58</v>
      </c>
      <c r="G9" s="32">
        <f>IFERROR((F9/$F$6),"")</f>
        <v>0.68235294117647061</v>
      </c>
      <c r="H9" s="79">
        <f>IFERROR((-Q13/F9),"")</f>
        <v>0.72879310344827575</v>
      </c>
      <c r="I9" s="229"/>
      <c r="J9" s="229"/>
      <c r="K9" s="149"/>
      <c r="L9" s="230" t="s">
        <v>106</v>
      </c>
      <c r="M9" s="231"/>
      <c r="N9" s="125">
        <f ca="1">MAX(Tabla33610673484[Drawdown])</f>
        <v>7.1545033587686685E-2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OFFSET(Tabla33610673484[[#Headers],[Drawdown]],1,0)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>
        <f>IF(COUNTIFS(Tabla33610673484[O/C],"O")&lt;1,"None",COUNTIFS(Tabla33610673484[O/C],"O"))</f>
        <v>1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SUM(Tabla33610673484[No. of Rs])</f>
        <v>72.879999999999981</v>
      </c>
      <c r="O13" s="42">
        <f>SUM(Tabla33610673484[Heat])</f>
        <v>0</v>
      </c>
      <c r="P13" s="43">
        <f>SUM(Tabla33610673484[[ TR WIN]])</f>
        <v>115.14999999999999</v>
      </c>
      <c r="Q13" s="43">
        <f>SUM(Tabla33610673484[[ TR LOSS]])</f>
        <v>-42.269999999999996</v>
      </c>
      <c r="R13" s="114"/>
      <c r="S13" s="115"/>
      <c r="T13" s="115"/>
      <c r="U13" s="121"/>
      <c r="V13" s="44">
        <f>SUM(Tabla33610673484[Currency])</f>
        <v>72.879999999999981</v>
      </c>
      <c r="W13" s="44">
        <f>SUM(Tabla33610673484[Heat3])</f>
        <v>0</v>
      </c>
      <c r="X13" s="44">
        <f>SUM(Tabla33610673484[Commodities])</f>
        <v>0</v>
      </c>
      <c r="Y13" s="44">
        <f>SUM(Tabla33610673484[Heat4])</f>
        <v>0</v>
      </c>
      <c r="Z13" s="44">
        <f>SUM(Tabla33610673484[Index])</f>
        <v>0</v>
      </c>
      <c r="AA13" s="44">
        <f>SUM(Tabla33610673484[Heat5])</f>
        <v>0</v>
      </c>
      <c r="AB13" s="44">
        <f>SUM(Tabla33610673484[Cryptocurrency])</f>
        <v>0</v>
      </c>
      <c r="AC13" s="44">
        <f>SUM(Tabla33610673484[Heat6])</f>
        <v>0</v>
      </c>
      <c r="AD13" s="75" t="e">
        <f>AVERAGEIF(Tabla33610673484[Length of 
Trade],"&lt;&gt;0")</f>
        <v>#VALUE!</v>
      </c>
      <c r="AE13" s="75" t="e">
        <f>AVERAGEIF(Tabla33610673484[Win],"&lt;&gt;0")</f>
        <v>#VALUE!</v>
      </c>
      <c r="AF13" s="75">
        <f>AVERAGEIF(Tabla33610673484[Loss],"&lt;&gt;0")</f>
        <v>0.13542863984686596</v>
      </c>
      <c r="AG13" s="76">
        <f>AVERAGEIF(Tabla33610673484[Breakeven],"&lt;&gt;0")</f>
        <v>0.625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7</v>
      </c>
      <c r="C17" s="197" t="s">
        <v>15</v>
      </c>
      <c r="D17" s="233" t="str">
        <f>IF(E17&lt;&gt;"",IF(K17&lt;&gt;"","C","O"),"")</f>
        <v>O</v>
      </c>
      <c r="E17" s="234">
        <v>44875.65625</v>
      </c>
      <c r="F17" s="200" t="s">
        <v>114</v>
      </c>
      <c r="G17" s="235">
        <v>1.0119899999999999</v>
      </c>
      <c r="H17" s="236">
        <v>1.0079400000000001</v>
      </c>
      <c r="I17" s="237">
        <f>ABS(G17-H17)</f>
        <v>4.049999999999887E-3</v>
      </c>
      <c r="J17" s="235">
        <v>1.0484</v>
      </c>
      <c r="K17" s="199"/>
      <c r="L17" s="235">
        <v>1.0309600000000001</v>
      </c>
      <c r="M17" s="238">
        <f>ROUND(IF(C17="L",(L17-G17),(G17-L17)),4)</f>
        <v>1.9E-2</v>
      </c>
      <c r="N17" s="239">
        <f>IFERROR(ROUND((M17/I17),2),"")</f>
        <v>4.6900000000000004</v>
      </c>
      <c r="O17" s="240">
        <f>IF(D17="O",IF(N17&lt;0,N17,0),0)</f>
        <v>0</v>
      </c>
      <c r="P17" s="241">
        <f>IF(N17&gt;= 0,N17,0)</f>
        <v>4.6900000000000004</v>
      </c>
      <c r="Q17" s="241">
        <f>IF(N17&lt;0,N17,0)</f>
        <v>0</v>
      </c>
      <c r="R17" s="241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7" s="242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17288</v>
      </c>
      <c r="T17" s="242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17288</v>
      </c>
      <c r="U17" s="243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17" s="244">
        <f>IF(B17="FX",N17,0)</f>
        <v>4.6900000000000004</v>
      </c>
      <c r="W17" s="244">
        <f>IF(D17="O",IF(V17&lt;0,V17,0),0)</f>
        <v>0</v>
      </c>
      <c r="X17" s="244">
        <f>IF(B17="COM",N17,0)</f>
        <v>0</v>
      </c>
      <c r="Y17" s="244">
        <f>IF(D17="O",IF(X17&lt;0,X17,0),0)</f>
        <v>0</v>
      </c>
      <c r="Z17" s="244">
        <f>IF(B17="IND",N17,0)</f>
        <v>0</v>
      </c>
      <c r="AA17" s="240">
        <f>IF(D17="O",IF(Z17&lt;0,Z17,0),0)</f>
        <v>0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0</v>
      </c>
      <c r="AE17" s="245">
        <f>IF(N17&gt;0,AD17,0)</f>
        <v>0</v>
      </c>
      <c r="AF17" s="245">
        <f>IF(N17&lt;0,AD17,0)</f>
        <v>0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232" t="s">
        <v>7</v>
      </c>
      <c r="C18" s="197" t="s">
        <v>15</v>
      </c>
      <c r="D18" s="233" t="str">
        <f>IF(E18&lt;&gt;"",IF(K18&lt;&gt;"","C","O"),"")</f>
        <v>C</v>
      </c>
      <c r="E18" s="234">
        <v>44873.71875</v>
      </c>
      <c r="F18" s="200" t="s">
        <v>114</v>
      </c>
      <c r="G18" s="235">
        <v>1.0042800000000001</v>
      </c>
      <c r="H18" s="236">
        <v>1.0022599999999999</v>
      </c>
      <c r="I18" s="237">
        <f>ABS(G18-H18)</f>
        <v>2.0200000000001328E-3</v>
      </c>
      <c r="J18" s="235">
        <v>1.02217</v>
      </c>
      <c r="K18" s="199" t="s">
        <v>117</v>
      </c>
      <c r="L18" s="235">
        <v>1.0043800000000001</v>
      </c>
      <c r="M18" s="238">
        <f>ROUND(IF(C18="L",(L18-G18),(G18-L18)),4)</f>
        <v>1E-4</v>
      </c>
      <c r="N18" s="239">
        <f>IFERROR(ROUND((M18/I18),2),"")</f>
        <v>0.05</v>
      </c>
      <c r="O18" s="240">
        <f>IF(D18="O",IF(N18&lt;0,N18,0),0)</f>
        <v>0</v>
      </c>
      <c r="P18" s="241">
        <f>IF(N18&gt;= 0,N18,0)</f>
        <v>0.05</v>
      </c>
      <c r="Q18" s="241">
        <f>IF(N18&lt;0,N18,0)</f>
        <v>0</v>
      </c>
      <c r="R18" s="241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8" s="242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16819</v>
      </c>
      <c r="T18" s="242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16921</v>
      </c>
      <c r="U18" s="243">
        <f ca="1">IF(Tabla33610673484[[#This Row],[Equity]]&lt;Tabla33610673484[[#This Row],[Equity Peak]],(Tabla33610673484[[#This Row],[Equity Peak]]-Tabla33610673484[[#This Row],[Equity]])/Tabla33610673484[[#This Row],[Equity Peak]],"")</f>
        <v>6.0280125288103541E-3</v>
      </c>
      <c r="V18" s="244">
        <f>IF(B18="FX",N18,0)</f>
        <v>0.05</v>
      </c>
      <c r="W18" s="244">
        <f>IF(D18="O",IF(V18&lt;0,V18,0),0)</f>
        <v>0</v>
      </c>
      <c r="X18" s="244">
        <f>IF(B18="COM",N18,0)</f>
        <v>0</v>
      </c>
      <c r="Y18" s="244">
        <f>IF(D18="O",IF(X18&lt;0,X18,0),0)</f>
        <v>0</v>
      </c>
      <c r="Z18" s="244">
        <f>IF(B18="IND",N18,0)</f>
        <v>0</v>
      </c>
      <c r="AA18" s="240">
        <f>IF(D18="O",IF(Z18&lt;0,Z18,0),0)</f>
        <v>0</v>
      </c>
      <c r="AB18" s="244">
        <f>IF(B18="CRYPTO",N18,0)</f>
        <v>0</v>
      </c>
      <c r="AC18" s="240">
        <f>IF(D18="O",IF(AB18&lt;0,AB18,0),0)</f>
        <v>0</v>
      </c>
      <c r="AD18" s="245" t="e">
        <f>IF(K18&lt;&gt;"",K18-E18,0)</f>
        <v>#VALUE!</v>
      </c>
      <c r="AE18" s="245" t="e">
        <f>IF(N18&gt;0,AD18,0)</f>
        <v>#VALUE!</v>
      </c>
      <c r="AF18" s="245">
        <f>IF(N18&lt;0,AD18,0)</f>
        <v>0</v>
      </c>
      <c r="AG18" s="245">
        <f>IF(N18=0,AD18,0)</f>
        <v>0</v>
      </c>
      <c r="AH18" s="176"/>
      <c r="AI18" s="109"/>
    </row>
    <row r="19" spans="1:35" s="112" customFormat="1" x14ac:dyDescent="0.3">
      <c r="A19" s="140"/>
      <c r="B19" s="232" t="s">
        <v>7</v>
      </c>
      <c r="C19" s="197" t="s">
        <v>15</v>
      </c>
      <c r="D19" s="233" t="str">
        <f>IF(E19&lt;&gt;"",IF(K19&lt;&gt;"","C","O"),"")</f>
        <v>C</v>
      </c>
      <c r="E19" s="234">
        <v>44872.802083333336</v>
      </c>
      <c r="F19" s="200" t="s">
        <v>114</v>
      </c>
      <c r="G19" s="235">
        <v>1.0017499999999999</v>
      </c>
      <c r="H19" s="236">
        <v>0.99878</v>
      </c>
      <c r="I19" s="237">
        <f>ABS(G19-H19)</f>
        <v>2.9699999999999172E-3</v>
      </c>
      <c r="J19" s="235">
        <v>1.0285</v>
      </c>
      <c r="K19" s="199">
        <v>44873.132638888892</v>
      </c>
      <c r="L19" s="235">
        <v>1.00166</v>
      </c>
      <c r="M19" s="238">
        <f>ROUND(IF(C19="L",(L19-G19),(G19-L19)),4)</f>
        <v>-1E-4</v>
      </c>
      <c r="N19" s="239">
        <f>IFERROR(ROUND((M19/I19),2),"")</f>
        <v>-0.03</v>
      </c>
      <c r="O19" s="240">
        <f>IF(D19="O",IF(N19&lt;0,N19,0),0)</f>
        <v>0</v>
      </c>
      <c r="P19" s="241">
        <f>IF(N19&gt;= 0,N19,0)</f>
        <v>0</v>
      </c>
      <c r="Q19" s="241">
        <f>IF(N19&lt;0,N19,0)</f>
        <v>-0.03</v>
      </c>
      <c r="R19" s="241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9" s="242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16814</v>
      </c>
      <c r="T19" s="242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16921</v>
      </c>
      <c r="U19" s="243">
        <f ca="1">IF(Tabla33610673484[[#This Row],[Equity]]&lt;Tabla33610673484[[#This Row],[Equity Peak]],(Tabla33610673484[[#This Row],[Equity Peak]]-Tabla33610673484[[#This Row],[Equity]])/Tabla33610673484[[#This Row],[Equity Peak]],"")</f>
        <v>6.323503339046156E-3</v>
      </c>
      <c r="V19" s="244">
        <f>IF(B19="FX",N19,0)</f>
        <v>-0.03</v>
      </c>
      <c r="W19" s="244">
        <f>IF(D19="O",IF(V19&lt;0,V19,0),0)</f>
        <v>0</v>
      </c>
      <c r="X19" s="244">
        <f>IF(B19="COM",N19,0)</f>
        <v>0</v>
      </c>
      <c r="Y19" s="244">
        <f>IF(D19="O",IF(X19&lt;0,X19,0),0)</f>
        <v>0</v>
      </c>
      <c r="Z19" s="244">
        <f>IF(B19="IND",N19,0)</f>
        <v>0</v>
      </c>
      <c r="AA19" s="240">
        <f>IF(D19="O",IF(Z19&lt;0,Z19,0),0)</f>
        <v>0</v>
      </c>
      <c r="AB19" s="244">
        <f>IF(B19="CRYPTO",N19,0)</f>
        <v>0</v>
      </c>
      <c r="AC19" s="240">
        <f>IF(D19="O",IF(AB19&lt;0,AB19,0),0)</f>
        <v>0</v>
      </c>
      <c r="AD19" s="245">
        <f>IF(K19&lt;&gt;"",K19-E19,0)</f>
        <v>0.33055555555620231</v>
      </c>
      <c r="AE19" s="245">
        <f>IF(N19&gt;0,AD19,0)</f>
        <v>0</v>
      </c>
      <c r="AF19" s="245">
        <f>IF(N19&lt;0,AD19,0)</f>
        <v>0.33055555555620231</v>
      </c>
      <c r="AG19" s="245">
        <f>IF(N19=0,AD19,0)</f>
        <v>0</v>
      </c>
      <c r="AH19" s="176"/>
      <c r="AI19" s="109"/>
    </row>
    <row r="20" spans="1:35" s="112" customFormat="1" x14ac:dyDescent="0.3">
      <c r="A20" s="140"/>
      <c r="B20" s="232" t="s">
        <v>7</v>
      </c>
      <c r="C20" s="197" t="s">
        <v>15</v>
      </c>
      <c r="D20" s="233" t="str">
        <f>IF(E20&lt;&gt;"",IF(K20&lt;&gt;"","C","O"),"")</f>
        <v>C</v>
      </c>
      <c r="E20" s="234">
        <v>44872.458333333336</v>
      </c>
      <c r="F20" s="200" t="s">
        <v>114</v>
      </c>
      <c r="G20" s="235">
        <v>0.99865999999999999</v>
      </c>
      <c r="H20" s="236">
        <v>0.99665000000000004</v>
      </c>
      <c r="I20" s="237">
        <f>ABS(G20-H20)</f>
        <v>2.0099999999999563E-3</v>
      </c>
      <c r="J20" s="235">
        <v>1.0167900000000001</v>
      </c>
      <c r="K20" s="199">
        <v>44872.6</v>
      </c>
      <c r="L20" s="235">
        <v>0.99660000000000004</v>
      </c>
      <c r="M20" s="238">
        <f>ROUND(IF(C20="L",(L20-G20),(G20-L20)),4)</f>
        <v>-2.0999999999999999E-3</v>
      </c>
      <c r="N20" s="239">
        <f>IFERROR(ROUND((M20/I20),2),"")</f>
        <v>-1.04</v>
      </c>
      <c r="O20" s="240">
        <f>IF(D20="O",IF(N20&lt;0,N20,0),0)</f>
        <v>0</v>
      </c>
      <c r="P20" s="241">
        <f>IF(N20&gt;= 0,N20,0)</f>
        <v>0</v>
      </c>
      <c r="Q20" s="241">
        <f>IF(N20&lt;0,N20,0)</f>
        <v>-1.04</v>
      </c>
      <c r="R20" s="241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0" s="242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16817</v>
      </c>
      <c r="T20" s="242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16921</v>
      </c>
      <c r="U20" s="243">
        <f ca="1">IF(Tabla33610673484[[#This Row],[Equity]]&lt;Tabla33610673484[[#This Row],[Equity Peak]],(Tabla33610673484[[#This Row],[Equity Peak]]-Tabla33610673484[[#This Row],[Equity]])/Tabla33610673484[[#This Row],[Equity Peak]],"")</f>
        <v>6.1462088529046751E-3</v>
      </c>
      <c r="V20" s="244">
        <f>IF(B20="FX",N20,0)</f>
        <v>-1.04</v>
      </c>
      <c r="W20" s="244">
        <f>IF(D20="O",IF(V20&lt;0,V20,0),0)</f>
        <v>0</v>
      </c>
      <c r="X20" s="244">
        <f>IF(B20="COM",N20,0)</f>
        <v>0</v>
      </c>
      <c r="Y20" s="244">
        <f>IF(D20="O",IF(X20&lt;0,X20,0),0)</f>
        <v>0</v>
      </c>
      <c r="Z20" s="244">
        <f>IF(B20="IND",N20,0)</f>
        <v>0</v>
      </c>
      <c r="AA20" s="240">
        <f>IF(D20="O",IF(Z20&lt;0,Z20,0),0)</f>
        <v>0</v>
      </c>
      <c r="AB20" s="244">
        <f>IF(B20="CRYPTO",N20,0)</f>
        <v>0</v>
      </c>
      <c r="AC20" s="240">
        <f>IF(D20="O",IF(AB20&lt;0,AB20,0),0)</f>
        <v>0</v>
      </c>
      <c r="AD20" s="245">
        <f>IF(K20&lt;&gt;"",K20-E20,0)</f>
        <v>0.14166666666278616</v>
      </c>
      <c r="AE20" s="245">
        <f>IF(N20&gt;0,AD20,0)</f>
        <v>0</v>
      </c>
      <c r="AF20" s="245">
        <f>IF(N20&lt;0,AD20,0)</f>
        <v>0.14166666666278616</v>
      </c>
      <c r="AG20" s="245">
        <f>IF(N20=0,AD20,0)</f>
        <v>0</v>
      </c>
      <c r="AH20" s="176"/>
      <c r="AI20" s="109"/>
    </row>
    <row r="21" spans="1:35" s="112" customFormat="1" x14ac:dyDescent="0.3">
      <c r="A21" s="140"/>
      <c r="B21" s="196" t="s">
        <v>7</v>
      </c>
      <c r="C21" s="197" t="s">
        <v>13</v>
      </c>
      <c r="D21" s="198" t="str">
        <f t="shared" ref="D21:D52" si="0">IF(E21&lt;&gt;"",IF(K21&lt;&gt;"","C","O"),"")</f>
        <v>C</v>
      </c>
      <c r="E21" s="199">
        <v>44868.427083333336</v>
      </c>
      <c r="F21" s="200" t="s">
        <v>114</v>
      </c>
      <c r="G21" s="201">
        <v>0.97990999999999995</v>
      </c>
      <c r="H21" s="201">
        <v>0.98119000000000001</v>
      </c>
      <c r="I21" s="202">
        <f t="shared" ref="I21:I52" si="1">ABS(G21-H21)</f>
        <v>1.2800000000000589E-3</v>
      </c>
      <c r="J21" s="201">
        <v>0.96836999999999995</v>
      </c>
      <c r="K21" s="199">
        <v>44869.246527777781</v>
      </c>
      <c r="L21" s="201">
        <v>0.97711999999999999</v>
      </c>
      <c r="M21" s="203">
        <f t="shared" ref="M21:M52" si="2">ROUND(IF(C21="L",(L21-G21),(G21-L21)),4)</f>
        <v>2.8E-3</v>
      </c>
      <c r="N21" s="204">
        <f t="shared" ref="N21:N52" si="3">IFERROR(ROUND((M21/I21),2),"")</f>
        <v>2.19</v>
      </c>
      <c r="O21" s="205">
        <f t="shared" ref="O21:O52" si="4">IF(D21="O",IF(N21&lt;0,N21,0),0)</f>
        <v>0</v>
      </c>
      <c r="P21" s="206">
        <f t="shared" ref="P21:P52" si="5">IF(N21&gt;= 0,N21,0)</f>
        <v>2.19</v>
      </c>
      <c r="Q21" s="206">
        <f t="shared" ref="Q21:Q52" si="6">IF(N21&lt;0,N21,0)</f>
        <v>0</v>
      </c>
      <c r="R2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16921</v>
      </c>
      <c r="T2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16921</v>
      </c>
      <c r="U21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1" s="209">
        <f t="shared" ref="V21:V52" si="7">IF(B21="FX",N21,0)</f>
        <v>2.19</v>
      </c>
      <c r="W21" s="209">
        <f t="shared" ref="W21:W52" si="8">IF(D21="O",IF(V21&lt;0,V21,0),0)</f>
        <v>0</v>
      </c>
      <c r="X21" s="209">
        <f t="shared" ref="X21:X52" si="9">IF(B21="COM",N21,0)</f>
        <v>0</v>
      </c>
      <c r="Y21" s="209">
        <f t="shared" ref="Y21:Y52" si="10">IF(D21="O",IF(X21&lt;0,X21,0),0)</f>
        <v>0</v>
      </c>
      <c r="Z21" s="209">
        <f t="shared" ref="Z21:Z52" si="11">IF(B21="IND",N21,0)</f>
        <v>0</v>
      </c>
      <c r="AA21" s="205">
        <f t="shared" ref="AA21:AA52" si="12">IF(D21="O",IF(Z21&lt;0,Z21,0),0)</f>
        <v>0</v>
      </c>
      <c r="AB21" s="209">
        <f t="shared" ref="AB21:AB52" si="13">IF(B21="CRYPTO",N21,0)</f>
        <v>0</v>
      </c>
      <c r="AC21" s="205">
        <f t="shared" ref="AC21:AC52" si="14">IF(D21="O",IF(AB21&lt;0,AB21,0),0)</f>
        <v>0</v>
      </c>
      <c r="AD21" s="210">
        <f t="shared" ref="AD21:AD52" si="15">IF(K21&lt;&gt;"",K21-E21,0)</f>
        <v>0.81944444444525288</v>
      </c>
      <c r="AE21" s="210">
        <f t="shared" ref="AE21:AE52" si="16">IF(N21&gt;0,AD21,0)</f>
        <v>0.81944444444525288</v>
      </c>
      <c r="AF21" s="210">
        <f t="shared" ref="AF21:AF52" si="17">IF(N21&lt;0,AD21,0)</f>
        <v>0</v>
      </c>
      <c r="AG21" s="210">
        <f t="shared" ref="AG21:AG52" si="18">IF(N21=0,AD21,0)</f>
        <v>0</v>
      </c>
      <c r="AH21" s="176"/>
      <c r="AI21" s="109"/>
    </row>
    <row r="22" spans="1:35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44867.9375</v>
      </c>
      <c r="F22" s="200" t="s">
        <v>114</v>
      </c>
      <c r="G22" s="201">
        <v>0.98358999999999996</v>
      </c>
      <c r="H22" s="201">
        <v>0.98824000000000001</v>
      </c>
      <c r="I22" s="202">
        <f t="shared" si="1"/>
        <v>4.650000000000043E-3</v>
      </c>
      <c r="J22" s="201">
        <v>0.94169999999999998</v>
      </c>
      <c r="K22" s="199">
        <v>44868.194444444445</v>
      </c>
      <c r="L22" s="201">
        <v>0.98392000000000002</v>
      </c>
      <c r="M22" s="203">
        <f t="shared" si="2"/>
        <v>-2.9999999999999997E-4</v>
      </c>
      <c r="N22" s="204">
        <f t="shared" si="3"/>
        <v>-0.06</v>
      </c>
      <c r="O22" s="205">
        <f t="shared" si="4"/>
        <v>0</v>
      </c>
      <c r="P22" s="206">
        <f t="shared" si="5"/>
        <v>0</v>
      </c>
      <c r="Q22" s="206">
        <f t="shared" si="6"/>
        <v>-0.06</v>
      </c>
      <c r="R2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16702</v>
      </c>
      <c r="T2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16708</v>
      </c>
      <c r="U22" s="208">
        <f ca="1">IF(Tabla33610673484[[#This Row],[Equity]]&lt;Tabla33610673484[[#This Row],[Equity Peak]],(Tabla33610673484[[#This Row],[Equity Peak]]-Tabla33610673484[[#This Row],[Equity]])/Tabla33610673484[[#This Row],[Equity Peak]],"")</f>
        <v>3.5910940866650708E-4</v>
      </c>
      <c r="V22" s="209">
        <f t="shared" si="7"/>
        <v>-0.06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0.25694444444525288</v>
      </c>
      <c r="AE22" s="210">
        <f t="shared" si="16"/>
        <v>0</v>
      </c>
      <c r="AF22" s="210">
        <f t="shared" si="17"/>
        <v>0.25694444444525288</v>
      </c>
      <c r="AG22" s="210">
        <f t="shared" si="18"/>
        <v>0</v>
      </c>
    </row>
    <row r="23" spans="1:35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44859.677083333336</v>
      </c>
      <c r="F23" s="200" t="s">
        <v>114</v>
      </c>
      <c r="G23" s="201">
        <v>0.99012</v>
      </c>
      <c r="H23" s="201">
        <v>0.98811000000000004</v>
      </c>
      <c r="I23" s="202">
        <f t="shared" si="1"/>
        <v>2.0099999999999563E-3</v>
      </c>
      <c r="J23" s="201">
        <v>1.0082100000000001</v>
      </c>
      <c r="K23" s="199">
        <v>44860.813194444447</v>
      </c>
      <c r="L23" s="201">
        <v>1.0082100000000001</v>
      </c>
      <c r="M23" s="203">
        <f t="shared" si="2"/>
        <v>1.8100000000000002E-2</v>
      </c>
      <c r="N23" s="204">
        <f t="shared" si="3"/>
        <v>9</v>
      </c>
      <c r="O23" s="205">
        <f t="shared" si="4"/>
        <v>0</v>
      </c>
      <c r="P23" s="206">
        <f t="shared" si="5"/>
        <v>9</v>
      </c>
      <c r="Q23" s="206">
        <f t="shared" si="6"/>
        <v>0</v>
      </c>
      <c r="R2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16708</v>
      </c>
      <c r="T2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16708</v>
      </c>
      <c r="U23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3" s="209">
        <f t="shared" si="7"/>
        <v>9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1.1361111111109494</v>
      </c>
      <c r="AE23" s="210">
        <f t="shared" si="16"/>
        <v>1.1361111111109494</v>
      </c>
      <c r="AF23" s="210">
        <f t="shared" si="17"/>
        <v>0</v>
      </c>
      <c r="AG23" s="210">
        <f t="shared" si="18"/>
        <v>0</v>
      </c>
    </row>
    <row r="24" spans="1:35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44858.041666666664</v>
      </c>
      <c r="F24" s="200" t="s">
        <v>114</v>
      </c>
      <c r="G24" s="201">
        <v>0.98826999999999998</v>
      </c>
      <c r="H24" s="201">
        <v>0.98623000000000005</v>
      </c>
      <c r="I24" s="202">
        <f t="shared" si="1"/>
        <v>2.0399999999999308E-3</v>
      </c>
      <c r="J24" s="201">
        <v>1.00667</v>
      </c>
      <c r="K24" s="199">
        <v>44858.052083333336</v>
      </c>
      <c r="L24" s="201">
        <v>0.98623000000000005</v>
      </c>
      <c r="M24" s="203">
        <f t="shared" si="2"/>
        <v>-2E-3</v>
      </c>
      <c r="N24" s="204">
        <f t="shared" si="3"/>
        <v>-0.98</v>
      </c>
      <c r="O24" s="205">
        <f t="shared" si="4"/>
        <v>0</v>
      </c>
      <c r="P24" s="206">
        <f t="shared" si="5"/>
        <v>0</v>
      </c>
      <c r="Q24" s="206">
        <f t="shared" si="6"/>
        <v>-0.98</v>
      </c>
      <c r="R2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15808</v>
      </c>
      <c r="T2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16104</v>
      </c>
      <c r="U24" s="208">
        <f ca="1">IF(Tabla33610673484[[#This Row],[Equity]]&lt;Tabla33610673484[[#This Row],[Equity Peak]],(Tabla33610673484[[#This Row],[Equity Peak]]-Tabla33610673484[[#This Row],[Equity]])/Tabla33610673484[[#This Row],[Equity Peak]],"")</f>
        <v>1.838052657724789E-2</v>
      </c>
      <c r="V24" s="209">
        <f t="shared" si="7"/>
        <v>-0.98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1.0416666671517305E-2</v>
      </c>
      <c r="AE24" s="210">
        <f t="shared" si="16"/>
        <v>0</v>
      </c>
      <c r="AF24" s="210">
        <f t="shared" si="17"/>
        <v>1.0416666671517305E-2</v>
      </c>
      <c r="AG24" s="210">
        <f t="shared" si="18"/>
        <v>0</v>
      </c>
    </row>
    <row r="25" spans="1:35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44851.75</v>
      </c>
      <c r="F25" s="200" t="s">
        <v>114</v>
      </c>
      <c r="G25" s="201">
        <v>0.98168999999999995</v>
      </c>
      <c r="H25" s="201">
        <v>0.97882000000000002</v>
      </c>
      <c r="I25" s="202">
        <f t="shared" si="1"/>
        <v>2.8699999999999282E-3</v>
      </c>
      <c r="J25" s="201">
        <v>1.0075099999999999</v>
      </c>
      <c r="K25" s="199">
        <v>44852.57708333333</v>
      </c>
      <c r="L25" s="201">
        <v>0.98189000000000004</v>
      </c>
      <c r="M25" s="203">
        <f t="shared" si="2"/>
        <v>2.0000000000000001E-4</v>
      </c>
      <c r="N25" s="204">
        <f t="shared" si="3"/>
        <v>7.0000000000000007E-2</v>
      </c>
      <c r="O25" s="205">
        <f t="shared" si="4"/>
        <v>0</v>
      </c>
      <c r="P25" s="206">
        <f t="shared" si="5"/>
        <v>7.0000000000000007E-2</v>
      </c>
      <c r="Q25" s="206">
        <f t="shared" si="6"/>
        <v>0</v>
      </c>
      <c r="R2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15906</v>
      </c>
      <c r="T2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16104</v>
      </c>
      <c r="U25" s="208">
        <f ca="1">IF(Tabla33610673484[[#This Row],[Equity]]&lt;Tabla33610673484[[#This Row],[Equity Peak]],(Tabla33610673484[[#This Row],[Equity Peak]]-Tabla33610673484[[#This Row],[Equity]])/Tabla33610673484[[#This Row],[Equity Peak]],"")</f>
        <v>1.2295081967213115E-2</v>
      </c>
      <c r="V25" s="209">
        <f t="shared" si="7"/>
        <v>7.0000000000000007E-2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0.82708333332993789</v>
      </c>
      <c r="AE25" s="210">
        <f t="shared" si="16"/>
        <v>0.82708333332993789</v>
      </c>
      <c r="AF25" s="210">
        <f t="shared" si="17"/>
        <v>0</v>
      </c>
      <c r="AG25" s="210">
        <f t="shared" si="18"/>
        <v>0</v>
      </c>
    </row>
    <row r="26" spans="1:35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44847.65625</v>
      </c>
      <c r="F26" s="200" t="s">
        <v>114</v>
      </c>
      <c r="G26" s="201">
        <v>0.96489000000000003</v>
      </c>
      <c r="H26" s="201">
        <v>0.96811999999999998</v>
      </c>
      <c r="I26" s="202">
        <f t="shared" si="1"/>
        <v>3.2299999999999551E-3</v>
      </c>
      <c r="J26" s="201">
        <v>0.93581000000000003</v>
      </c>
      <c r="K26" s="199">
        <v>44847.7</v>
      </c>
      <c r="L26" s="201">
        <v>0.96811999999999998</v>
      </c>
      <c r="M26" s="203">
        <f t="shared" si="2"/>
        <v>-3.2000000000000002E-3</v>
      </c>
      <c r="N26" s="204">
        <f t="shared" si="3"/>
        <v>-0.99</v>
      </c>
      <c r="O26" s="205">
        <f t="shared" si="4"/>
        <v>0</v>
      </c>
      <c r="P26" s="206">
        <f t="shared" si="5"/>
        <v>0</v>
      </c>
      <c r="Q26" s="206">
        <f t="shared" si="6"/>
        <v>-0.99</v>
      </c>
      <c r="R2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15899</v>
      </c>
      <c r="T2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16104</v>
      </c>
      <c r="U26" s="208">
        <f ca="1">IF(Tabla33610673484[[#This Row],[Equity]]&lt;Tabla33610673484[[#This Row],[Equity Peak]],(Tabla33610673484[[#This Row],[Equity Peak]]-Tabla33610673484[[#This Row],[Equity]])/Tabla33610673484[[#This Row],[Equity Peak]],"")</f>
        <v>1.2729756582215599E-2</v>
      </c>
      <c r="V26" s="209">
        <f t="shared" si="7"/>
        <v>-0.99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4.3749999997089617E-2</v>
      </c>
      <c r="AE26" s="210">
        <f t="shared" si="16"/>
        <v>0</v>
      </c>
      <c r="AF26" s="210">
        <f t="shared" si="17"/>
        <v>4.3749999997089617E-2</v>
      </c>
      <c r="AG26" s="210">
        <f t="shared" si="18"/>
        <v>0</v>
      </c>
    </row>
    <row r="27" spans="1:35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44845.302083333336</v>
      </c>
      <c r="F27" s="200" t="s">
        <v>114</v>
      </c>
      <c r="G27" s="201">
        <v>0.96794000000000002</v>
      </c>
      <c r="H27" s="201">
        <v>0.96957000000000004</v>
      </c>
      <c r="I27" s="202">
        <f t="shared" si="1"/>
        <v>1.6300000000000203E-3</v>
      </c>
      <c r="J27" s="201">
        <v>0.95323000000000002</v>
      </c>
      <c r="K27" s="199">
        <v>44845.396527777775</v>
      </c>
      <c r="L27" s="201">
        <v>0.96957000000000004</v>
      </c>
      <c r="M27" s="203">
        <f t="shared" si="2"/>
        <v>-1.6000000000000001E-3</v>
      </c>
      <c r="N27" s="204">
        <f t="shared" si="3"/>
        <v>-0.98</v>
      </c>
      <c r="O27" s="205">
        <f t="shared" si="4"/>
        <v>0</v>
      </c>
      <c r="P27" s="206">
        <f t="shared" si="5"/>
        <v>0</v>
      </c>
      <c r="Q27" s="206">
        <f t="shared" si="6"/>
        <v>-0.98</v>
      </c>
      <c r="R2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15998</v>
      </c>
      <c r="T2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16104</v>
      </c>
      <c r="U27" s="208">
        <f ca="1">IF(Tabla33610673484[[#This Row],[Equity]]&lt;Tabla33610673484[[#This Row],[Equity Peak]],(Tabla33610673484[[#This Row],[Equity Peak]]-Tabla33610673484[[#This Row],[Equity]])/Tabla33610673484[[#This Row],[Equity Peak]],"")</f>
        <v>6.5822155986090414E-3</v>
      </c>
      <c r="V27" s="209">
        <f t="shared" si="7"/>
        <v>-0.98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9.4444444439432118E-2</v>
      </c>
      <c r="AE27" s="210">
        <f t="shared" si="16"/>
        <v>0</v>
      </c>
      <c r="AF27" s="210">
        <f t="shared" si="17"/>
        <v>9.4444444439432118E-2</v>
      </c>
      <c r="AG27" s="210">
        <f t="shared" si="18"/>
        <v>0</v>
      </c>
    </row>
    <row r="28" spans="1:35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44844.364583333336</v>
      </c>
      <c r="F28" s="200" t="s">
        <v>114</v>
      </c>
      <c r="G28" s="201">
        <v>0.97219999999999995</v>
      </c>
      <c r="H28" s="201">
        <v>0.97350000000000003</v>
      </c>
      <c r="I28" s="202">
        <f t="shared" si="1"/>
        <v>1.3000000000000789E-3</v>
      </c>
      <c r="J28" s="201">
        <v>0.96048999999999995</v>
      </c>
      <c r="K28" s="199">
        <v>44844.729166666664</v>
      </c>
      <c r="L28" s="201">
        <v>0.97226000000000001</v>
      </c>
      <c r="M28" s="203">
        <f t="shared" si="2"/>
        <v>-1E-4</v>
      </c>
      <c r="N28" s="204">
        <f t="shared" si="3"/>
        <v>-0.08</v>
      </c>
      <c r="O28" s="205">
        <f t="shared" si="4"/>
        <v>0</v>
      </c>
      <c r="P28" s="206">
        <f t="shared" si="5"/>
        <v>0</v>
      </c>
      <c r="Q28" s="206">
        <f t="shared" si="6"/>
        <v>-0.08</v>
      </c>
      <c r="R2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16096</v>
      </c>
      <c r="T2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16104</v>
      </c>
      <c r="U28" s="208">
        <f ca="1">IF(Tabla33610673484[[#This Row],[Equity]]&lt;Tabla33610673484[[#This Row],[Equity Peak]],(Tabla33610673484[[#This Row],[Equity Peak]]-Tabla33610673484[[#This Row],[Equity]])/Tabla33610673484[[#This Row],[Equity Peak]],"")</f>
        <v>4.9677098857426726E-4</v>
      </c>
      <c r="V28" s="209">
        <f t="shared" si="7"/>
        <v>-0.08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0.36458333332848269</v>
      </c>
      <c r="AE28" s="210">
        <f t="shared" si="16"/>
        <v>0</v>
      </c>
      <c r="AF28" s="210">
        <f t="shared" si="17"/>
        <v>0.36458333332848269</v>
      </c>
      <c r="AG28" s="210">
        <f t="shared" si="18"/>
        <v>0</v>
      </c>
    </row>
    <row r="29" spans="1:35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44838.385416666664</v>
      </c>
      <c r="F29" s="200" t="s">
        <v>114</v>
      </c>
      <c r="G29" s="201">
        <v>0.98546999999999996</v>
      </c>
      <c r="H29" s="201">
        <v>0.98341000000000001</v>
      </c>
      <c r="I29" s="202">
        <f t="shared" si="1"/>
        <v>2.0599999999999508E-3</v>
      </c>
      <c r="J29" s="201">
        <v>1.0040199999999999</v>
      </c>
      <c r="K29" s="199">
        <v>44839.427777777775</v>
      </c>
      <c r="L29" s="201">
        <v>0.99592000000000003</v>
      </c>
      <c r="M29" s="203">
        <f t="shared" si="2"/>
        <v>1.0500000000000001E-2</v>
      </c>
      <c r="N29" s="204">
        <f t="shared" si="3"/>
        <v>5.0999999999999996</v>
      </c>
      <c r="O29" s="205">
        <f t="shared" si="4"/>
        <v>0</v>
      </c>
      <c r="P29" s="206">
        <f t="shared" si="5"/>
        <v>5.0999999999999996</v>
      </c>
      <c r="Q29" s="206">
        <f t="shared" si="6"/>
        <v>0</v>
      </c>
      <c r="R2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16104</v>
      </c>
      <c r="T2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16104</v>
      </c>
      <c r="U29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9" s="209">
        <f t="shared" si="7"/>
        <v>5.0999999999999996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1.0423611111109494</v>
      </c>
      <c r="AE29" s="210">
        <f t="shared" si="16"/>
        <v>1.0423611111109494</v>
      </c>
      <c r="AF29" s="210">
        <f t="shared" si="17"/>
        <v>0</v>
      </c>
      <c r="AG29" s="210">
        <f t="shared" si="18"/>
        <v>0</v>
      </c>
    </row>
    <row r="30" spans="1:35" ht="15" customHeight="1" x14ac:dyDescent="0.3">
      <c r="B30" s="196" t="s">
        <v>7</v>
      </c>
      <c r="C30" s="197" t="s">
        <v>13</v>
      </c>
      <c r="D30" s="198" t="str">
        <f t="shared" si="0"/>
        <v>C</v>
      </c>
      <c r="E30" s="199">
        <v>44832.416666666664</v>
      </c>
      <c r="F30" s="200" t="s">
        <v>114</v>
      </c>
      <c r="G30" s="201">
        <v>0.95392999999999994</v>
      </c>
      <c r="H30" s="201">
        <v>0.95586000000000004</v>
      </c>
      <c r="I30" s="202">
        <f t="shared" si="1"/>
        <v>1.9300000000000983E-3</v>
      </c>
      <c r="J30" s="201">
        <v>0.93652000000000002</v>
      </c>
      <c r="K30" s="199">
        <v>44832.435416666667</v>
      </c>
      <c r="L30" s="201">
        <v>0.95586000000000004</v>
      </c>
      <c r="M30" s="203">
        <f t="shared" si="2"/>
        <v>-1.9E-3</v>
      </c>
      <c r="N30" s="204">
        <f t="shared" si="3"/>
        <v>-0.98</v>
      </c>
      <c r="O30" s="205">
        <f t="shared" si="4"/>
        <v>0</v>
      </c>
      <c r="P30" s="206">
        <f t="shared" si="5"/>
        <v>0</v>
      </c>
      <c r="Q30" s="206">
        <f t="shared" si="6"/>
        <v>-0.98</v>
      </c>
      <c r="R3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15594</v>
      </c>
      <c r="T3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15692</v>
      </c>
      <c r="U30" s="208">
        <f ca="1">IF(Tabla33610673484[[#This Row],[Equity]]&lt;Tabla33610673484[[#This Row],[Equity Peak]],(Tabla33610673484[[#This Row],[Equity Peak]]-Tabla33610673484[[#This Row],[Equity]])/Tabla33610673484[[#This Row],[Equity Peak]],"")</f>
        <v>6.2452204945195001E-3</v>
      </c>
      <c r="V30" s="209">
        <f t="shared" si="7"/>
        <v>-0.98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1.8750000002910383E-2</v>
      </c>
      <c r="AE30" s="210">
        <f t="shared" si="16"/>
        <v>0</v>
      </c>
      <c r="AF30" s="210">
        <f t="shared" si="17"/>
        <v>1.8750000002910383E-2</v>
      </c>
      <c r="AG30" s="210">
        <f t="shared" si="18"/>
        <v>0</v>
      </c>
    </row>
    <row r="31" spans="1:35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44827.427083333336</v>
      </c>
      <c r="F31" s="200" t="s">
        <v>114</v>
      </c>
      <c r="G31" s="201">
        <v>0.97955999999999999</v>
      </c>
      <c r="H31" s="201">
        <v>0.98128000000000004</v>
      </c>
      <c r="I31" s="202">
        <f t="shared" si="1"/>
        <v>1.7200000000000548E-3</v>
      </c>
      <c r="J31" s="201">
        <v>0.96404000000000001</v>
      </c>
      <c r="K31" s="199">
        <v>44830.164583333331</v>
      </c>
      <c r="L31" s="201">
        <v>0.96404000000000001</v>
      </c>
      <c r="M31" s="203">
        <f t="shared" si="2"/>
        <v>1.55E-2</v>
      </c>
      <c r="N31" s="204">
        <f t="shared" si="3"/>
        <v>9.01</v>
      </c>
      <c r="O31" s="205">
        <f t="shared" si="4"/>
        <v>0</v>
      </c>
      <c r="P31" s="206">
        <f t="shared" si="5"/>
        <v>9.01</v>
      </c>
      <c r="Q31" s="206">
        <f t="shared" si="6"/>
        <v>0</v>
      </c>
      <c r="R3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15692</v>
      </c>
      <c r="T3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15692</v>
      </c>
      <c r="U31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31" s="209">
        <f t="shared" si="7"/>
        <v>9.01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2.7374999999956344</v>
      </c>
      <c r="AE31" s="210">
        <f t="shared" si="16"/>
        <v>2.7374999999956344</v>
      </c>
      <c r="AF31" s="210">
        <f t="shared" si="17"/>
        <v>0</v>
      </c>
      <c r="AG31" s="210">
        <f t="shared" si="18"/>
        <v>0</v>
      </c>
    </row>
    <row r="32" spans="1:35" ht="15" customHeight="1" x14ac:dyDescent="0.3">
      <c r="B32" s="196" t="s">
        <v>7</v>
      </c>
      <c r="C32" s="197" t="s">
        <v>13</v>
      </c>
      <c r="D32" s="198" t="str">
        <f t="shared" si="0"/>
        <v>C</v>
      </c>
      <c r="E32" s="199">
        <v>44826.135416666664</v>
      </c>
      <c r="F32" s="200" t="s">
        <v>114</v>
      </c>
      <c r="G32" s="201">
        <v>0.98196000000000006</v>
      </c>
      <c r="H32" s="201">
        <v>0.98379000000000005</v>
      </c>
      <c r="I32" s="202">
        <f t="shared" si="1"/>
        <v>1.8299999999999983E-3</v>
      </c>
      <c r="J32" s="201">
        <v>0.96553</v>
      </c>
      <c r="K32" s="199">
        <v>44826.247916666667</v>
      </c>
      <c r="L32" s="201">
        <v>0.98346999999999996</v>
      </c>
      <c r="M32" s="203">
        <f t="shared" si="2"/>
        <v>-1.5E-3</v>
      </c>
      <c r="N32" s="204">
        <f t="shared" si="3"/>
        <v>-0.82</v>
      </c>
      <c r="O32" s="205">
        <f t="shared" si="4"/>
        <v>0</v>
      </c>
      <c r="P32" s="206">
        <f t="shared" si="5"/>
        <v>0</v>
      </c>
      <c r="Q32" s="206">
        <f t="shared" si="6"/>
        <v>-0.82</v>
      </c>
      <c r="R3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14791</v>
      </c>
      <c r="T3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2" s="208">
        <f ca="1">IF(Tabla33610673484[[#This Row],[Equity]]&lt;Tabla33610673484[[#This Row],[Equity Peak]],(Tabla33610673484[[#This Row],[Equity Peak]]-Tabla33610673484[[#This Row],[Equity]])/Tabla33610673484[[#This Row],[Equity Peak]],"")</f>
        <v>3.5348594534663796E-2</v>
      </c>
      <c r="V32" s="209">
        <f t="shared" si="7"/>
        <v>-0.82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0.11250000000291038</v>
      </c>
      <c r="AE32" s="210">
        <f t="shared" si="16"/>
        <v>0</v>
      </c>
      <c r="AF32" s="210">
        <f t="shared" si="17"/>
        <v>0.11250000000291038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44825.75</v>
      </c>
      <c r="F33" s="200" t="s">
        <v>114</v>
      </c>
      <c r="G33" s="201">
        <v>0.98789000000000005</v>
      </c>
      <c r="H33" s="201">
        <v>0.99002999999999997</v>
      </c>
      <c r="I33" s="202">
        <f t="shared" si="1"/>
        <v>2.1399999999999197E-3</v>
      </c>
      <c r="J33" s="201">
        <v>0.96863999999999995</v>
      </c>
      <c r="K33" s="199">
        <v>44825.898611111108</v>
      </c>
      <c r="L33" s="201">
        <v>0.98836999999999997</v>
      </c>
      <c r="M33" s="203">
        <f t="shared" si="2"/>
        <v>-5.0000000000000001E-4</v>
      </c>
      <c r="N33" s="204">
        <f t="shared" si="3"/>
        <v>-0.23</v>
      </c>
      <c r="O33" s="205">
        <f t="shared" si="4"/>
        <v>0</v>
      </c>
      <c r="P33" s="206">
        <f t="shared" si="5"/>
        <v>0</v>
      </c>
      <c r="Q33" s="206">
        <f t="shared" si="6"/>
        <v>-0.23</v>
      </c>
      <c r="R3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14873</v>
      </c>
      <c r="T3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3" s="208">
        <f ca="1">IF(Tabla33610673484[[#This Row],[Equity]]&lt;Tabla33610673484[[#This Row],[Equity Peak]],(Tabla33610673484[[#This Row],[Equity Peak]]-Tabla33610673484[[#This Row],[Equity]])/Tabla33610673484[[#This Row],[Equity Peak]],"")</f>
        <v>3.0000652188091045E-2</v>
      </c>
      <c r="V33" s="209">
        <f t="shared" si="7"/>
        <v>-0.23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0.14861111110803904</v>
      </c>
      <c r="AE33" s="210">
        <f t="shared" si="16"/>
        <v>0</v>
      </c>
      <c r="AF33" s="210">
        <f t="shared" si="17"/>
        <v>0.14861111110803904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0"/>
        <v>C</v>
      </c>
      <c r="E34" s="199">
        <v>44825.385416666664</v>
      </c>
      <c r="F34" s="200" t="s">
        <v>114</v>
      </c>
      <c r="G34" s="201">
        <v>0.99326999999999999</v>
      </c>
      <c r="H34" s="201">
        <v>0.99465000000000003</v>
      </c>
      <c r="I34" s="202">
        <f t="shared" si="1"/>
        <v>1.3800000000000479E-3</v>
      </c>
      <c r="J34" s="201">
        <v>0.98082999999999998</v>
      </c>
      <c r="K34" s="199">
        <v>44825.533333333333</v>
      </c>
      <c r="L34" s="201">
        <v>0.99336999999999998</v>
      </c>
      <c r="M34" s="203">
        <f t="shared" si="2"/>
        <v>-1E-4</v>
      </c>
      <c r="N34" s="204">
        <f t="shared" si="3"/>
        <v>-7.0000000000000007E-2</v>
      </c>
      <c r="O34" s="205">
        <f t="shared" si="4"/>
        <v>0</v>
      </c>
      <c r="P34" s="206">
        <f t="shared" si="5"/>
        <v>0</v>
      </c>
      <c r="Q34" s="206">
        <f t="shared" si="6"/>
        <v>-7.0000000000000007E-2</v>
      </c>
      <c r="R3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14896</v>
      </c>
      <c r="T3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4" s="208">
        <f ca="1">IF(Tabla33610673484[[#This Row],[Equity]]&lt;Tabla33610673484[[#This Row],[Equity Peak]],(Tabla33610673484[[#This Row],[Equity Peak]]-Tabla33610673484[[#This Row],[Equity]])/Tabla33610673484[[#This Row],[Equity Peak]],"")</f>
        <v>2.8500619578686492E-2</v>
      </c>
      <c r="V34" s="209">
        <f t="shared" si="7"/>
        <v>-7.0000000000000007E-2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0.14791666666860692</v>
      </c>
      <c r="AE34" s="210">
        <f t="shared" si="16"/>
        <v>0</v>
      </c>
      <c r="AF34" s="210">
        <f t="shared" si="17"/>
        <v>0.14791666666860692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0"/>
        <v>C</v>
      </c>
      <c r="E35" s="199">
        <v>44816.416666666664</v>
      </c>
      <c r="F35" s="200" t="s">
        <v>114</v>
      </c>
      <c r="G35" s="201">
        <v>1.0144500000000001</v>
      </c>
      <c r="H35" s="201">
        <v>1.0127900000000001</v>
      </c>
      <c r="I35" s="202">
        <f t="shared" si="1"/>
        <v>1.6599999999999948E-3</v>
      </c>
      <c r="J35" s="201">
        <v>1.0294000000000001</v>
      </c>
      <c r="K35" s="199">
        <v>44816.541666666664</v>
      </c>
      <c r="L35" s="201">
        <v>1.01416</v>
      </c>
      <c r="M35" s="203">
        <f t="shared" si="2"/>
        <v>-2.9999999999999997E-4</v>
      </c>
      <c r="N35" s="204">
        <f t="shared" si="3"/>
        <v>-0.18</v>
      </c>
      <c r="O35" s="205">
        <f t="shared" si="4"/>
        <v>0</v>
      </c>
      <c r="P35" s="206">
        <f t="shared" si="5"/>
        <v>0</v>
      </c>
      <c r="Q35" s="206">
        <f t="shared" si="6"/>
        <v>-0.18</v>
      </c>
      <c r="R3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14903</v>
      </c>
      <c r="T3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5" s="208">
        <f ca="1">IF(Tabla33610673484[[#This Row],[Equity]]&lt;Tabla33610673484[[#This Row],[Equity Peak]],(Tabla33610673484[[#This Row],[Equity Peak]]-Tabla33610673484[[#This Row],[Equity]])/Tabla33610673484[[#This Row],[Equity Peak]],"")</f>
        <v>2.8044087914954673E-2</v>
      </c>
      <c r="V35" s="209">
        <f t="shared" si="7"/>
        <v>-0.18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0.125</v>
      </c>
      <c r="AE35" s="210">
        <f t="shared" si="16"/>
        <v>0</v>
      </c>
      <c r="AF35" s="210">
        <f t="shared" si="17"/>
        <v>0.125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44813.21875</v>
      </c>
      <c r="F36" s="200" t="s">
        <v>114</v>
      </c>
      <c r="G36" s="201">
        <v>1.0059199999999999</v>
      </c>
      <c r="H36" s="201">
        <v>1.00474</v>
      </c>
      <c r="I36" s="202">
        <f t="shared" si="1"/>
        <v>1.1799999999999589E-3</v>
      </c>
      <c r="J36" s="201">
        <v>1.01657</v>
      </c>
      <c r="K36" s="199">
        <v>44813.59097222222</v>
      </c>
      <c r="L36" s="201">
        <v>1.0056700000000001</v>
      </c>
      <c r="M36" s="203">
        <f t="shared" si="2"/>
        <v>-2.0000000000000001E-4</v>
      </c>
      <c r="N36" s="204">
        <f t="shared" si="3"/>
        <v>-0.17</v>
      </c>
      <c r="O36" s="205">
        <f t="shared" si="4"/>
        <v>0</v>
      </c>
      <c r="P36" s="206">
        <f t="shared" si="5"/>
        <v>0</v>
      </c>
      <c r="Q36" s="206">
        <f t="shared" si="6"/>
        <v>-0.17</v>
      </c>
      <c r="R3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14921</v>
      </c>
      <c r="T3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6" s="208">
        <f ca="1">IF(Tabla33610673484[[#This Row],[Equity]]&lt;Tabla33610673484[[#This Row],[Equity Peak]],(Tabla33610673484[[#This Row],[Equity Peak]]-Tabla33610673484[[#This Row],[Equity]])/Tabla33610673484[[#This Row],[Equity Peak]],"")</f>
        <v>2.6870149351072851E-2</v>
      </c>
      <c r="V36" s="209">
        <f t="shared" si="7"/>
        <v>-0.17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0.37222222222044365</v>
      </c>
      <c r="AE36" s="210">
        <f t="shared" si="16"/>
        <v>0</v>
      </c>
      <c r="AF36" s="210">
        <f t="shared" si="17"/>
        <v>0.37222222222044365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44809.34375</v>
      </c>
      <c r="F37" s="200" t="s">
        <v>114</v>
      </c>
      <c r="G37" s="201">
        <v>0.98863999999999996</v>
      </c>
      <c r="H37" s="201">
        <v>0.99021999999999999</v>
      </c>
      <c r="I37" s="202">
        <f t="shared" si="1"/>
        <v>1.5800000000000258E-3</v>
      </c>
      <c r="J37" s="201">
        <v>0.97445999999999999</v>
      </c>
      <c r="K37" s="199">
        <v>44809.39166666667</v>
      </c>
      <c r="L37" s="201">
        <v>0.99021999999999999</v>
      </c>
      <c r="M37" s="203">
        <f t="shared" si="2"/>
        <v>-1.6000000000000001E-3</v>
      </c>
      <c r="N37" s="204">
        <f t="shared" si="3"/>
        <v>-1.01</v>
      </c>
      <c r="O37" s="205">
        <f t="shared" si="4"/>
        <v>0</v>
      </c>
      <c r="P37" s="206">
        <f t="shared" si="5"/>
        <v>0</v>
      </c>
      <c r="Q37" s="206">
        <f t="shared" si="6"/>
        <v>-1.01</v>
      </c>
      <c r="R3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14938</v>
      </c>
      <c r="T3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7" s="208">
        <f ca="1">IF(Tabla33610673484[[#This Row],[Equity]]&lt;Tabla33610673484[[#This Row],[Equity Peak]],(Tabla33610673484[[#This Row],[Equity Peak]]-Tabla33610673484[[#This Row],[Equity]])/Tabla33610673484[[#This Row],[Equity Peak]],"")</f>
        <v>2.5761429596295571E-2</v>
      </c>
      <c r="V37" s="209">
        <f t="shared" si="7"/>
        <v>-1.01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4.7916666670062114E-2</v>
      </c>
      <c r="AE37" s="210">
        <f t="shared" si="16"/>
        <v>0</v>
      </c>
      <c r="AF37" s="210">
        <f t="shared" si="17"/>
        <v>4.7916666670062114E-2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13</v>
      </c>
      <c r="D38" s="198" t="str">
        <f t="shared" si="0"/>
        <v>C</v>
      </c>
      <c r="E38" s="199">
        <v>44809.0625</v>
      </c>
      <c r="F38" s="200" t="s">
        <v>114</v>
      </c>
      <c r="G38" s="201">
        <v>0.99094000000000004</v>
      </c>
      <c r="H38" s="201">
        <v>0.99287999999999998</v>
      </c>
      <c r="I38" s="202">
        <f t="shared" si="1"/>
        <v>1.9399999999999418E-3</v>
      </c>
      <c r="J38" s="201">
        <v>0.97348999999999997</v>
      </c>
      <c r="K38" s="199">
        <v>44809.129861111112</v>
      </c>
      <c r="L38" s="201">
        <v>0.99287999999999998</v>
      </c>
      <c r="M38" s="203">
        <f t="shared" si="2"/>
        <v>-1.9E-3</v>
      </c>
      <c r="N38" s="204">
        <f t="shared" si="3"/>
        <v>-0.98</v>
      </c>
      <c r="O38" s="205">
        <f t="shared" si="4"/>
        <v>0</v>
      </c>
      <c r="P38" s="206">
        <f t="shared" si="5"/>
        <v>0</v>
      </c>
      <c r="Q38" s="206">
        <f t="shared" si="6"/>
        <v>-0.98</v>
      </c>
      <c r="R3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15039</v>
      </c>
      <c r="T3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8" s="208">
        <f ca="1">IF(Tabla33610673484[[#This Row],[Equity]]&lt;Tabla33610673484[[#This Row],[Equity Peak]],(Tabla33610673484[[#This Row],[Equity Peak]]-Tabla33610673484[[#This Row],[Equity]])/Tabla33610673484[[#This Row],[Equity Peak]],"")</f>
        <v>1.9174329876736451E-2</v>
      </c>
      <c r="V38" s="209">
        <f t="shared" si="7"/>
        <v>-0.98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6.7361111112404615E-2</v>
      </c>
      <c r="AE38" s="210">
        <f t="shared" si="16"/>
        <v>0</v>
      </c>
      <c r="AF38" s="210">
        <f t="shared" si="17"/>
        <v>6.7361111112404615E-2</v>
      </c>
      <c r="AG38" s="210">
        <f t="shared" si="18"/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0"/>
        <v>C</v>
      </c>
      <c r="E39" s="199">
        <v>44791.802083333336</v>
      </c>
      <c r="F39" s="200" t="s">
        <v>114</v>
      </c>
      <c r="G39" s="201">
        <v>1.0111399999999999</v>
      </c>
      <c r="H39" s="201">
        <v>1.0134700000000001</v>
      </c>
      <c r="I39" s="202">
        <f t="shared" si="1"/>
        <v>2.3300000000001653E-3</v>
      </c>
      <c r="J39" s="201">
        <v>0.99014999999999997</v>
      </c>
      <c r="K39" s="199">
        <v>44796.427083333336</v>
      </c>
      <c r="L39" s="201">
        <v>0.99014999999999997</v>
      </c>
      <c r="M39" s="203">
        <f t="shared" si="2"/>
        <v>2.1000000000000001E-2</v>
      </c>
      <c r="N39" s="204">
        <f t="shared" si="3"/>
        <v>9.01</v>
      </c>
      <c r="O39" s="205">
        <f t="shared" si="4"/>
        <v>0</v>
      </c>
      <c r="P39" s="206">
        <f t="shared" si="5"/>
        <v>9.01</v>
      </c>
      <c r="Q39" s="206">
        <f t="shared" si="6"/>
        <v>0</v>
      </c>
      <c r="R3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15137</v>
      </c>
      <c r="T3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39" s="208">
        <f ca="1">IF(Tabla33610673484[[#This Row],[Equity]]&lt;Tabla33610673484[[#This Row],[Equity Peak]],(Tabla33610673484[[#This Row],[Equity Peak]]-Tabla33610673484[[#This Row],[Equity]])/Tabla33610673484[[#This Row],[Equity Peak]],"")</f>
        <v>1.2782886584490968E-2</v>
      </c>
      <c r="V39" s="209">
        <f t="shared" si="7"/>
        <v>9.01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4.625</v>
      </c>
      <c r="AE39" s="210">
        <f t="shared" si="16"/>
        <v>4.625</v>
      </c>
      <c r="AF39" s="210">
        <f t="shared" si="17"/>
        <v>0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0"/>
        <v>C</v>
      </c>
      <c r="E40" s="199">
        <v>44789.510416666664</v>
      </c>
      <c r="F40" s="200" t="s">
        <v>114</v>
      </c>
      <c r="G40" s="201">
        <v>1.0132099999999999</v>
      </c>
      <c r="H40" s="201">
        <v>1.0150600000000001</v>
      </c>
      <c r="I40" s="202">
        <f t="shared" si="1"/>
        <v>1.8500000000001293E-3</v>
      </c>
      <c r="J40" s="201">
        <v>0.99658000000000002</v>
      </c>
      <c r="K40" s="199">
        <v>44789.668055555558</v>
      </c>
      <c r="L40" s="201">
        <v>1.0150600000000001</v>
      </c>
      <c r="M40" s="203">
        <f t="shared" si="2"/>
        <v>-1.9E-3</v>
      </c>
      <c r="N40" s="204">
        <f t="shared" si="3"/>
        <v>-1.03</v>
      </c>
      <c r="O40" s="205">
        <f t="shared" si="4"/>
        <v>0</v>
      </c>
      <c r="P40" s="206">
        <f t="shared" si="5"/>
        <v>0</v>
      </c>
      <c r="Q40" s="206">
        <f t="shared" si="6"/>
        <v>-1.03</v>
      </c>
      <c r="R4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14236</v>
      </c>
      <c r="T4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0" s="208">
        <f ca="1">IF(Tabla33610673484[[#This Row],[Equity]]&lt;Tabla33610673484[[#This Row],[Equity Peak]],(Tabla33610673484[[#This Row],[Equity Peak]]-Tabla33610673484[[#This Row],[Equity]])/Tabla33610673484[[#This Row],[Equity Peak]],"")</f>
        <v>7.1545033587686685E-2</v>
      </c>
      <c r="V40" s="209">
        <f t="shared" si="7"/>
        <v>-1.03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0.15763888889341615</v>
      </c>
      <c r="AE40" s="210">
        <f t="shared" si="16"/>
        <v>0</v>
      </c>
      <c r="AF40" s="210">
        <f t="shared" si="17"/>
        <v>0.15763888889341615</v>
      </c>
      <c r="AG40" s="210">
        <f t="shared" si="18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0"/>
        <v>C</v>
      </c>
      <c r="E41" s="199">
        <v>44789.427083333336</v>
      </c>
      <c r="F41" s="200" t="s">
        <v>114</v>
      </c>
      <c r="G41" s="201">
        <v>1.0142500000000001</v>
      </c>
      <c r="H41" s="201">
        <v>1.01539</v>
      </c>
      <c r="I41" s="202">
        <f t="shared" si="1"/>
        <v>1.1399999999999189E-3</v>
      </c>
      <c r="J41" s="201">
        <v>1.0040199999999999</v>
      </c>
      <c r="K41" s="199">
        <v>44789.450694444444</v>
      </c>
      <c r="L41" s="201">
        <v>1.01539</v>
      </c>
      <c r="M41" s="203">
        <f t="shared" si="2"/>
        <v>-1.1000000000000001E-3</v>
      </c>
      <c r="N41" s="204">
        <f t="shared" si="3"/>
        <v>-0.96</v>
      </c>
      <c r="O41" s="205">
        <f t="shared" si="4"/>
        <v>0</v>
      </c>
      <c r="P41" s="206">
        <f t="shared" si="5"/>
        <v>0</v>
      </c>
      <c r="Q41" s="206">
        <f t="shared" si="6"/>
        <v>-0.96</v>
      </c>
      <c r="R4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14339</v>
      </c>
      <c r="T4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1" s="208">
        <f ca="1">IF(Tabla33610673484[[#This Row],[Equity]]&lt;Tabla33610673484[[#This Row],[Equity Peak]],(Tabla33610673484[[#This Row],[Equity Peak]]-Tabla33610673484[[#This Row],[Equity]])/Tabla33610673484[[#This Row],[Equity Peak]],"")</f>
        <v>6.4827496249918473E-2</v>
      </c>
      <c r="V41" s="209">
        <f t="shared" si="7"/>
        <v>-0.96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2.361111110803904E-2</v>
      </c>
      <c r="AE41" s="210">
        <f t="shared" si="16"/>
        <v>0</v>
      </c>
      <c r="AF41" s="210">
        <f t="shared" si="17"/>
        <v>2.361111110803904E-2</v>
      </c>
      <c r="AG41" s="210">
        <f t="shared" si="18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0"/>
        <v>C</v>
      </c>
      <c r="E42" s="199">
        <v>44788.885416666664</v>
      </c>
      <c r="F42" s="200" t="s">
        <v>114</v>
      </c>
      <c r="G42" s="201">
        <v>1.0158199999999999</v>
      </c>
      <c r="H42" s="201">
        <v>1.01759</v>
      </c>
      <c r="I42" s="202">
        <f t="shared" si="1"/>
        <v>1.7700000000000493E-3</v>
      </c>
      <c r="J42" s="201">
        <v>0.99990999999999997</v>
      </c>
      <c r="K42" s="199">
        <v>44789.214583333334</v>
      </c>
      <c r="L42" s="201">
        <v>1.0163899999999999</v>
      </c>
      <c r="M42" s="203">
        <f t="shared" si="2"/>
        <v>-5.9999999999999995E-4</v>
      </c>
      <c r="N42" s="204">
        <f t="shared" si="3"/>
        <v>-0.34</v>
      </c>
      <c r="O42" s="205">
        <f t="shared" si="4"/>
        <v>0</v>
      </c>
      <c r="P42" s="206">
        <f t="shared" si="5"/>
        <v>0</v>
      </c>
      <c r="Q42" s="206">
        <f t="shared" si="6"/>
        <v>-0.34</v>
      </c>
      <c r="R4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14435</v>
      </c>
      <c r="T4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2" s="208">
        <f ca="1">IF(Tabla33610673484[[#This Row],[Equity]]&lt;Tabla33610673484[[#This Row],[Equity Peak]],(Tabla33610673484[[#This Row],[Equity Peak]]-Tabla33610673484[[#This Row],[Equity]])/Tabla33610673484[[#This Row],[Equity Peak]],"")</f>
        <v>5.8566490575882084E-2</v>
      </c>
      <c r="V42" s="209">
        <f t="shared" si="7"/>
        <v>-0.34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0.32916666667006211</v>
      </c>
      <c r="AE42" s="210">
        <f t="shared" si="16"/>
        <v>0</v>
      </c>
      <c r="AF42" s="210">
        <f t="shared" si="17"/>
        <v>0.32916666667006211</v>
      </c>
      <c r="AG42" s="210">
        <f t="shared" si="18"/>
        <v>0</v>
      </c>
    </row>
    <row r="43" spans="2:33" ht="15" customHeight="1" x14ac:dyDescent="0.3">
      <c r="B43" s="196" t="s">
        <v>7</v>
      </c>
      <c r="C43" s="197" t="s">
        <v>15</v>
      </c>
      <c r="D43" s="198" t="str">
        <f t="shared" si="0"/>
        <v>C</v>
      </c>
      <c r="E43" s="199">
        <v>44783.625</v>
      </c>
      <c r="F43" s="200" t="s">
        <v>114</v>
      </c>
      <c r="G43" s="201">
        <v>1.02589</v>
      </c>
      <c r="H43" s="201">
        <v>1.0241199999999999</v>
      </c>
      <c r="I43" s="202">
        <f t="shared" si="1"/>
        <v>1.7700000000000493E-3</v>
      </c>
      <c r="J43" s="201">
        <v>1.0418499999999999</v>
      </c>
      <c r="K43" s="199">
        <v>44784.340277777781</v>
      </c>
      <c r="L43" s="201">
        <v>1.02806</v>
      </c>
      <c r="M43" s="203">
        <f t="shared" si="2"/>
        <v>2.2000000000000001E-3</v>
      </c>
      <c r="N43" s="204">
        <f t="shared" si="3"/>
        <v>1.24</v>
      </c>
      <c r="O43" s="205">
        <f t="shared" si="4"/>
        <v>0</v>
      </c>
      <c r="P43" s="206">
        <f t="shared" si="5"/>
        <v>1.24</v>
      </c>
      <c r="Q43" s="206">
        <f t="shared" si="6"/>
        <v>0</v>
      </c>
      <c r="R4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14469</v>
      </c>
      <c r="T4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3" s="208">
        <f ca="1">IF(Tabla33610673484[[#This Row],[Equity]]&lt;Tabla33610673484[[#This Row],[Equity Peak]],(Tabla33610673484[[#This Row],[Equity Peak]]-Tabla33610673484[[#This Row],[Equity]])/Tabla33610673484[[#This Row],[Equity Peak]],"")</f>
        <v>5.6349051066327531E-2</v>
      </c>
      <c r="V43" s="209">
        <f t="shared" si="7"/>
        <v>1.24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0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0.71527777778101154</v>
      </c>
      <c r="AE43" s="210">
        <f t="shared" si="16"/>
        <v>0.71527777778101154</v>
      </c>
      <c r="AF43" s="210">
        <f t="shared" si="17"/>
        <v>0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0"/>
        <v>C</v>
      </c>
      <c r="E44" s="199">
        <v>44775.15625</v>
      </c>
      <c r="F44" s="200" t="s">
        <v>114</v>
      </c>
      <c r="G44" s="201">
        <v>1.02854</v>
      </c>
      <c r="H44" s="201">
        <v>1.02729</v>
      </c>
      <c r="I44" s="202">
        <f t="shared" si="1"/>
        <v>1.2499999999999734E-3</v>
      </c>
      <c r="J44" s="201">
        <v>1.03979</v>
      </c>
      <c r="K44" s="199">
        <v>44775.175000000003</v>
      </c>
      <c r="L44" s="201">
        <v>1.02729</v>
      </c>
      <c r="M44" s="203">
        <f t="shared" si="2"/>
        <v>-1.1999999999999999E-3</v>
      </c>
      <c r="N44" s="204">
        <f t="shared" si="3"/>
        <v>-0.96</v>
      </c>
      <c r="O44" s="205">
        <f t="shared" si="4"/>
        <v>0</v>
      </c>
      <c r="P44" s="206">
        <f t="shared" si="5"/>
        <v>0</v>
      </c>
      <c r="Q44" s="206">
        <f t="shared" si="6"/>
        <v>-0.96</v>
      </c>
      <c r="R4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14345</v>
      </c>
      <c r="T4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4" s="208">
        <f ca="1">IF(Tabla33610673484[[#This Row],[Equity]]&lt;Tabla33610673484[[#This Row],[Equity Peak]],(Tabla33610673484[[#This Row],[Equity Peak]]-Tabla33610673484[[#This Row],[Equity]])/Tabla33610673484[[#This Row],[Equity Peak]],"")</f>
        <v>6.4436183395291197E-2</v>
      </c>
      <c r="V44" s="209">
        <f t="shared" si="7"/>
        <v>-0.96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1.8750000002910383E-2</v>
      </c>
      <c r="AE44" s="210">
        <f t="shared" si="16"/>
        <v>0</v>
      </c>
      <c r="AF44" s="210">
        <f t="shared" si="17"/>
        <v>1.8750000002910383E-2</v>
      </c>
      <c r="AG44" s="210">
        <f t="shared" si="18"/>
        <v>0</v>
      </c>
    </row>
    <row r="45" spans="2:33" ht="15" customHeight="1" x14ac:dyDescent="0.3">
      <c r="B45" s="196" t="s">
        <v>7</v>
      </c>
      <c r="C45" s="197" t="s">
        <v>15</v>
      </c>
      <c r="D45" s="198" t="str">
        <f t="shared" si="0"/>
        <v>C</v>
      </c>
      <c r="E45" s="199">
        <v>44774.75</v>
      </c>
      <c r="F45" s="200" t="s">
        <v>114</v>
      </c>
      <c r="G45" s="201">
        <v>1.02729</v>
      </c>
      <c r="H45" s="201">
        <v>1.0245899999999999</v>
      </c>
      <c r="I45" s="202">
        <f t="shared" si="1"/>
        <v>2.7000000000001467E-3</v>
      </c>
      <c r="J45" s="201">
        <v>1.05155</v>
      </c>
      <c r="K45" s="199">
        <v>44774.90625</v>
      </c>
      <c r="L45" s="201">
        <v>1.0245899999999999</v>
      </c>
      <c r="M45" s="203">
        <f t="shared" si="2"/>
        <v>-2.7000000000000001E-3</v>
      </c>
      <c r="N45" s="204">
        <f t="shared" si="3"/>
        <v>-1</v>
      </c>
      <c r="O45" s="205">
        <f t="shared" si="4"/>
        <v>0</v>
      </c>
      <c r="P45" s="206">
        <f t="shared" si="5"/>
        <v>0</v>
      </c>
      <c r="Q45" s="206">
        <f t="shared" si="6"/>
        <v>-1</v>
      </c>
      <c r="R4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14441</v>
      </c>
      <c r="T4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5" s="208">
        <f ca="1">IF(Tabla33610673484[[#This Row],[Equity]]&lt;Tabla33610673484[[#This Row],[Equity Peak]],(Tabla33610673484[[#This Row],[Equity Peak]]-Tabla33610673484[[#This Row],[Equity]])/Tabla33610673484[[#This Row],[Equity Peak]],"")</f>
        <v>5.8175177721254807E-2</v>
      </c>
      <c r="V45" s="209">
        <f t="shared" si="7"/>
        <v>-1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0.15625</v>
      </c>
      <c r="AE45" s="210">
        <f t="shared" si="16"/>
        <v>0</v>
      </c>
      <c r="AF45" s="210">
        <f t="shared" si="17"/>
        <v>0.15625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0"/>
        <v>C</v>
      </c>
      <c r="E46" s="199">
        <v>44774.489583333336</v>
      </c>
      <c r="F46" s="200" t="s">
        <v>114</v>
      </c>
      <c r="G46" s="201">
        <v>1.0259199999999999</v>
      </c>
      <c r="H46" s="201">
        <v>1.0238799999999999</v>
      </c>
      <c r="I46" s="202">
        <f t="shared" si="1"/>
        <v>2.0400000000000418E-3</v>
      </c>
      <c r="J46" s="201">
        <v>1.0442899999999999</v>
      </c>
      <c r="K46" s="199">
        <v>44774.599305555559</v>
      </c>
      <c r="L46" s="201">
        <v>1.0238799999999999</v>
      </c>
      <c r="M46" s="203">
        <f t="shared" si="2"/>
        <v>-2E-3</v>
      </c>
      <c r="N46" s="204">
        <f t="shared" si="3"/>
        <v>-0.98</v>
      </c>
      <c r="O46" s="205">
        <f t="shared" si="4"/>
        <v>0</v>
      </c>
      <c r="P46" s="206">
        <f t="shared" si="5"/>
        <v>0</v>
      </c>
      <c r="Q46" s="206">
        <f t="shared" si="6"/>
        <v>-0.98</v>
      </c>
      <c r="R4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14541</v>
      </c>
      <c r="T4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6" s="208">
        <f ca="1">IF(Tabla33610673484[[#This Row],[Equity]]&lt;Tabla33610673484[[#This Row],[Equity Peak]],(Tabla33610673484[[#This Row],[Equity Peak]]-Tabla33610673484[[#This Row],[Equity]])/Tabla33610673484[[#This Row],[Equity Peak]],"")</f>
        <v>5.1653296810800234E-2</v>
      </c>
      <c r="V46" s="209">
        <f t="shared" si="7"/>
        <v>-0.98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0.10972222222335404</v>
      </c>
      <c r="AE46" s="210">
        <f t="shared" si="16"/>
        <v>0</v>
      </c>
      <c r="AF46" s="210">
        <f t="shared" si="17"/>
        <v>0.10972222222335404</v>
      </c>
      <c r="AG46" s="210">
        <f t="shared" si="18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0"/>
        <v>C</v>
      </c>
      <c r="E47" s="199">
        <v>44769.791666666664</v>
      </c>
      <c r="F47" s="200" t="s">
        <v>114</v>
      </c>
      <c r="G47" s="201">
        <v>1.01054</v>
      </c>
      <c r="H47" s="201">
        <v>1.0132099999999999</v>
      </c>
      <c r="I47" s="202">
        <f t="shared" si="1"/>
        <v>2.6699999999999502E-3</v>
      </c>
      <c r="J47" s="201">
        <v>0.98646999999999996</v>
      </c>
      <c r="K47" s="199">
        <v>44769.861111111109</v>
      </c>
      <c r="L47" s="201">
        <v>1.0132099999999999</v>
      </c>
      <c r="M47" s="203">
        <f t="shared" si="2"/>
        <v>-2.7000000000000001E-3</v>
      </c>
      <c r="N47" s="204">
        <f t="shared" si="3"/>
        <v>-1.01</v>
      </c>
      <c r="O47" s="205">
        <f t="shared" si="4"/>
        <v>0</v>
      </c>
      <c r="P47" s="206">
        <f t="shared" si="5"/>
        <v>0</v>
      </c>
      <c r="Q47" s="206">
        <f t="shared" si="6"/>
        <v>-1.01</v>
      </c>
      <c r="R4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14639</v>
      </c>
      <c r="T4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7" s="208">
        <f ca="1">IF(Tabla33610673484[[#This Row],[Equity]]&lt;Tabla33610673484[[#This Row],[Equity Peak]],(Tabla33610673484[[#This Row],[Equity Peak]]-Tabla33610673484[[#This Row],[Equity]])/Tabla33610673484[[#This Row],[Equity Peak]],"")</f>
        <v>4.5261853518554752E-2</v>
      </c>
      <c r="V47" s="209">
        <f t="shared" si="7"/>
        <v>-1.01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6.9444444445252884E-2</v>
      </c>
      <c r="AE47" s="210">
        <f t="shared" si="16"/>
        <v>0</v>
      </c>
      <c r="AF47" s="210">
        <f t="shared" si="17"/>
        <v>6.9444444445252884E-2</v>
      </c>
      <c r="AG47" s="210">
        <f t="shared" si="18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0"/>
        <v>C</v>
      </c>
      <c r="E48" s="199">
        <v>44768.791666666664</v>
      </c>
      <c r="F48" s="200" t="s">
        <v>114</v>
      </c>
      <c r="G48" s="201">
        <v>1.01159</v>
      </c>
      <c r="H48" s="201">
        <v>1.0144299999999999</v>
      </c>
      <c r="I48" s="202">
        <f t="shared" si="1"/>
        <v>2.8399999999999537E-3</v>
      </c>
      <c r="J48" s="201">
        <v>0.98602000000000001</v>
      </c>
      <c r="K48" s="199">
        <v>44769.128472222219</v>
      </c>
      <c r="L48" s="201">
        <v>1.01359</v>
      </c>
      <c r="M48" s="203">
        <f t="shared" si="2"/>
        <v>-2E-3</v>
      </c>
      <c r="N48" s="204">
        <f t="shared" si="3"/>
        <v>-0.7</v>
      </c>
      <c r="O48" s="205">
        <f t="shared" si="4"/>
        <v>0</v>
      </c>
      <c r="P48" s="206">
        <f t="shared" si="5"/>
        <v>0</v>
      </c>
      <c r="Q48" s="206">
        <f t="shared" si="6"/>
        <v>-0.7</v>
      </c>
      <c r="R4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14740</v>
      </c>
      <c r="T4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8" s="208">
        <f ca="1">IF(Tabla33610673484[[#This Row],[Equity]]&lt;Tabla33610673484[[#This Row],[Equity Peak]],(Tabla33610673484[[#This Row],[Equity Peak]]-Tabla33610673484[[#This Row],[Equity]])/Tabla33610673484[[#This Row],[Equity Peak]],"")</f>
        <v>3.8674753798995633E-2</v>
      </c>
      <c r="V48" s="209">
        <f t="shared" si="7"/>
        <v>-0.7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0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0.33680555555474712</v>
      </c>
      <c r="AE48" s="210">
        <f t="shared" si="16"/>
        <v>0</v>
      </c>
      <c r="AF48" s="210">
        <f t="shared" si="17"/>
        <v>0.33680555555474712</v>
      </c>
      <c r="AG48" s="210">
        <f t="shared" si="18"/>
        <v>0</v>
      </c>
    </row>
    <row r="49" spans="2:33" ht="15" customHeight="1" x14ac:dyDescent="0.3">
      <c r="B49" s="196" t="s">
        <v>7</v>
      </c>
      <c r="C49" s="197" t="s">
        <v>15</v>
      </c>
      <c r="D49" s="198" t="str">
        <f t="shared" si="0"/>
        <v>C</v>
      </c>
      <c r="E49" s="199">
        <v>44763.65625</v>
      </c>
      <c r="F49" s="200" t="s">
        <v>114</v>
      </c>
      <c r="G49" s="201">
        <v>1.0276700000000001</v>
      </c>
      <c r="H49" s="201">
        <v>1.0240899999999999</v>
      </c>
      <c r="I49" s="202">
        <f t="shared" si="1"/>
        <v>3.5800000000001386E-3</v>
      </c>
      <c r="J49" s="201">
        <v>1.05986</v>
      </c>
      <c r="K49" s="199">
        <v>44763.671527777777</v>
      </c>
      <c r="L49" s="201">
        <v>1.0240899999999999</v>
      </c>
      <c r="M49" s="203">
        <f t="shared" si="2"/>
        <v>-3.5999999999999999E-3</v>
      </c>
      <c r="N49" s="204">
        <f t="shared" si="3"/>
        <v>-1.01</v>
      </c>
      <c r="O49" s="205">
        <f t="shared" si="4"/>
        <v>0</v>
      </c>
      <c r="P49" s="206">
        <f t="shared" si="5"/>
        <v>0</v>
      </c>
      <c r="Q49" s="206">
        <f t="shared" si="6"/>
        <v>-1.01</v>
      </c>
      <c r="R4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4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14810</v>
      </c>
      <c r="T4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49" s="208">
        <f ca="1">IF(Tabla33610673484[[#This Row],[Equity]]&lt;Tabla33610673484[[#This Row],[Equity Peak]],(Tabla33610673484[[#This Row],[Equity Peak]]-Tabla33610673484[[#This Row],[Equity]])/Tabla33610673484[[#This Row],[Equity Peak]],"")</f>
        <v>3.4109437161677428E-2</v>
      </c>
      <c r="V49" s="209">
        <f t="shared" si="7"/>
        <v>-1.01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0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1.5277777776645962E-2</v>
      </c>
      <c r="AE49" s="210">
        <f t="shared" si="16"/>
        <v>0</v>
      </c>
      <c r="AF49" s="210">
        <f t="shared" si="17"/>
        <v>1.5277777776645962E-2</v>
      </c>
      <c r="AG49" s="210">
        <f t="shared" si="18"/>
        <v>0</v>
      </c>
    </row>
    <row r="50" spans="2:33" ht="15" customHeight="1" x14ac:dyDescent="0.3">
      <c r="B50" s="196" t="s">
        <v>7</v>
      </c>
      <c r="C50" s="197" t="s">
        <v>15</v>
      </c>
      <c r="D50" s="198" t="str">
        <f t="shared" si="0"/>
        <v>C</v>
      </c>
      <c r="E50" s="199">
        <v>44761.447916666664</v>
      </c>
      <c r="F50" s="200" t="s">
        <v>114</v>
      </c>
      <c r="G50" s="201">
        <v>1.02108</v>
      </c>
      <c r="H50" s="201">
        <v>1.0187900000000001</v>
      </c>
      <c r="I50" s="202">
        <f t="shared" si="1"/>
        <v>2.2899999999999032E-3</v>
      </c>
      <c r="J50" s="201">
        <v>1.04172</v>
      </c>
      <c r="K50" s="199">
        <v>44762.459027777775</v>
      </c>
      <c r="L50" s="201">
        <v>1.0220199999999999</v>
      </c>
      <c r="M50" s="203">
        <f t="shared" si="2"/>
        <v>8.9999999999999998E-4</v>
      </c>
      <c r="N50" s="204">
        <f t="shared" si="3"/>
        <v>0.39</v>
      </c>
      <c r="O50" s="205">
        <f t="shared" si="4"/>
        <v>0</v>
      </c>
      <c r="P50" s="206">
        <f t="shared" si="5"/>
        <v>0.39</v>
      </c>
      <c r="Q50" s="206">
        <f t="shared" si="6"/>
        <v>0</v>
      </c>
      <c r="R5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14911</v>
      </c>
      <c r="T5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0" s="208">
        <f ca="1">IF(Tabla33610673484[[#This Row],[Equity]]&lt;Tabla33610673484[[#This Row],[Equity Peak]],(Tabla33610673484[[#This Row],[Equity Peak]]-Tabla33610673484[[#This Row],[Equity]])/Tabla33610673484[[#This Row],[Equity Peak]],"")</f>
        <v>2.7522337442118308E-2</v>
      </c>
      <c r="V50" s="209">
        <f t="shared" si="7"/>
        <v>0.39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0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1.0111111111109494</v>
      </c>
      <c r="AE50" s="210">
        <f t="shared" si="16"/>
        <v>1.0111111111109494</v>
      </c>
      <c r="AF50" s="210">
        <f t="shared" si="17"/>
        <v>0</v>
      </c>
      <c r="AG50" s="210">
        <f t="shared" si="18"/>
        <v>0</v>
      </c>
    </row>
    <row r="51" spans="2:33" ht="15" customHeight="1" x14ac:dyDescent="0.3">
      <c r="B51" s="196" t="s">
        <v>7</v>
      </c>
      <c r="C51" s="197" t="s">
        <v>15</v>
      </c>
      <c r="D51" s="198" t="str">
        <f t="shared" si="0"/>
        <v>C</v>
      </c>
      <c r="E51" s="199">
        <v>44760.75</v>
      </c>
      <c r="F51" s="200" t="s">
        <v>114</v>
      </c>
      <c r="G51" s="201">
        <v>1.0194399999999999</v>
      </c>
      <c r="H51" s="201">
        <v>1.0168900000000001</v>
      </c>
      <c r="I51" s="202">
        <f t="shared" si="1"/>
        <v>2.5499999999998302E-3</v>
      </c>
      <c r="J51" s="201">
        <v>1.04236</v>
      </c>
      <c r="K51" s="199">
        <v>44760.763888888891</v>
      </c>
      <c r="L51" s="201">
        <v>1.0168900000000001</v>
      </c>
      <c r="M51" s="203">
        <f t="shared" si="2"/>
        <v>-2.5000000000000001E-3</v>
      </c>
      <c r="N51" s="204">
        <f t="shared" si="3"/>
        <v>-0.98</v>
      </c>
      <c r="O51" s="205">
        <f t="shared" si="4"/>
        <v>0</v>
      </c>
      <c r="P51" s="206">
        <f t="shared" si="5"/>
        <v>0</v>
      </c>
      <c r="Q51" s="206">
        <f t="shared" si="6"/>
        <v>-0.98</v>
      </c>
      <c r="R5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14872</v>
      </c>
      <c r="T5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1" s="208">
        <f ca="1">IF(Tabla33610673484[[#This Row],[Equity]]&lt;Tabla33610673484[[#This Row],[Equity Peak]],(Tabla33610673484[[#This Row],[Equity Peak]]-Tabla33610673484[[#This Row],[Equity]])/Tabla33610673484[[#This Row],[Equity Peak]],"")</f>
        <v>3.0065870997195591E-2</v>
      </c>
      <c r="V51" s="209">
        <f t="shared" si="7"/>
        <v>-0.98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0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1.3888888890505768E-2</v>
      </c>
      <c r="AE51" s="210">
        <f t="shared" si="16"/>
        <v>0</v>
      </c>
      <c r="AF51" s="210">
        <f t="shared" si="17"/>
        <v>1.3888888890505768E-2</v>
      </c>
      <c r="AG51" s="210">
        <f t="shared" si="18"/>
        <v>0</v>
      </c>
    </row>
    <row r="52" spans="2:33" ht="15" customHeight="1" x14ac:dyDescent="0.3">
      <c r="B52" s="196" t="s">
        <v>7</v>
      </c>
      <c r="C52" s="197" t="s">
        <v>13</v>
      </c>
      <c r="D52" s="198" t="str">
        <f t="shared" si="0"/>
        <v>C</v>
      </c>
      <c r="E52" s="199">
        <v>44756.6875</v>
      </c>
      <c r="F52" s="200" t="s">
        <v>114</v>
      </c>
      <c r="G52" s="201">
        <v>0.99722999999999995</v>
      </c>
      <c r="H52" s="201">
        <v>0.99961999999999995</v>
      </c>
      <c r="I52" s="202">
        <f t="shared" si="1"/>
        <v>2.3900000000000032E-3</v>
      </c>
      <c r="J52" s="201">
        <v>0.97568999999999995</v>
      </c>
      <c r="K52" s="199">
        <v>44756.736111111109</v>
      </c>
      <c r="L52" s="201">
        <v>0.99919000000000002</v>
      </c>
      <c r="M52" s="203">
        <f t="shared" si="2"/>
        <v>-2E-3</v>
      </c>
      <c r="N52" s="204">
        <f t="shared" si="3"/>
        <v>-0.84</v>
      </c>
      <c r="O52" s="205">
        <f t="shared" si="4"/>
        <v>0</v>
      </c>
      <c r="P52" s="206">
        <f t="shared" si="5"/>
        <v>0</v>
      </c>
      <c r="Q52" s="206">
        <f t="shared" si="6"/>
        <v>-0.84</v>
      </c>
      <c r="R5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14970</v>
      </c>
      <c r="T5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2" s="208">
        <f ca="1">IF(Tabla33610673484[[#This Row],[Equity]]&lt;Tabla33610673484[[#This Row],[Equity Peak]],(Tabla33610673484[[#This Row],[Equity Peak]]-Tabla33610673484[[#This Row],[Equity]])/Tabla33610673484[[#This Row],[Equity Peak]],"")</f>
        <v>2.3674427704950107E-2</v>
      </c>
      <c r="V52" s="209">
        <f t="shared" si="7"/>
        <v>-0.84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0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4.8611111109494232E-2</v>
      </c>
      <c r="AE52" s="210">
        <f t="shared" si="16"/>
        <v>0</v>
      </c>
      <c r="AF52" s="210">
        <f t="shared" si="17"/>
        <v>4.8611111109494232E-2</v>
      </c>
      <c r="AG52" s="210">
        <f t="shared" si="18"/>
        <v>0</v>
      </c>
    </row>
    <row r="53" spans="2:33" ht="15" customHeight="1" x14ac:dyDescent="0.3">
      <c r="B53" s="196" t="s">
        <v>7</v>
      </c>
      <c r="C53" s="197" t="s">
        <v>13</v>
      </c>
      <c r="D53" s="198" t="str">
        <f t="shared" ref="D53:D84" si="19">IF(E53&lt;&gt;"",IF(K53&lt;&gt;"","C","O"),"")</f>
        <v>C</v>
      </c>
      <c r="E53" s="199">
        <v>44753.9375</v>
      </c>
      <c r="F53" s="200" t="s">
        <v>114</v>
      </c>
      <c r="G53" s="201">
        <v>1.0046900000000001</v>
      </c>
      <c r="H53" s="201">
        <v>1.0068699999999999</v>
      </c>
      <c r="I53" s="202">
        <f t="shared" ref="I53:I84" si="20">ABS(G53-H53)</f>
        <v>2.1799999999998487E-3</v>
      </c>
      <c r="J53" s="201">
        <v>0.98509000000000002</v>
      </c>
      <c r="K53" s="199">
        <v>44754.595833333333</v>
      </c>
      <c r="L53" s="201">
        <v>1.00471</v>
      </c>
      <c r="M53" s="203">
        <f t="shared" ref="M53:M84" si="21">ROUND(IF(C53="L",(L53-G53),(G53-L53)),4)</f>
        <v>0</v>
      </c>
      <c r="N53" s="204">
        <f t="shared" ref="N53:N84" si="22">IFERROR(ROUND((M53/I53),2),"")</f>
        <v>0</v>
      </c>
      <c r="O53" s="205">
        <f t="shared" ref="O53:O84" si="23">IF(D53="O",IF(N53&lt;0,N53,0),0)</f>
        <v>0</v>
      </c>
      <c r="P53" s="206">
        <f t="shared" ref="P53:P84" si="24">IF(N53&gt;= 0,N53,0)</f>
        <v>0</v>
      </c>
      <c r="Q53" s="206">
        <f t="shared" ref="Q53:Q84" si="25">IF(N53&lt;0,N53,0)</f>
        <v>0</v>
      </c>
      <c r="R5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15054</v>
      </c>
      <c r="T5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3" s="208">
        <f ca="1">IF(Tabla33610673484[[#This Row],[Equity]]&lt;Tabla33610673484[[#This Row],[Equity Peak]],(Tabla33610673484[[#This Row],[Equity Peak]]-Tabla33610673484[[#This Row],[Equity]])/Tabla33610673484[[#This Row],[Equity Peak]],"")</f>
        <v>1.8196047740168263E-2</v>
      </c>
      <c r="V53" s="209">
        <f t="shared" ref="V53:V84" si="26">IF(B53="FX",N53,0)</f>
        <v>0</v>
      </c>
      <c r="W53" s="209">
        <f t="shared" ref="W53:W84" si="27">IF(D53="O",IF(V53&lt;0,V53,0),0)</f>
        <v>0</v>
      </c>
      <c r="X53" s="209">
        <f t="shared" ref="X53:X84" si="28">IF(B53="COM",N53,0)</f>
        <v>0</v>
      </c>
      <c r="Y53" s="209">
        <f t="shared" ref="Y53:Y84" si="29">IF(D53="O",IF(X53&lt;0,X53,0),0)</f>
        <v>0</v>
      </c>
      <c r="Z53" s="209">
        <f t="shared" ref="Z53:Z84" si="30">IF(B53="IND",N53,0)</f>
        <v>0</v>
      </c>
      <c r="AA53" s="205">
        <f t="shared" ref="AA53:AA84" si="31">IF(D53="O",IF(Z53&lt;0,Z53,0),0)</f>
        <v>0</v>
      </c>
      <c r="AB53" s="209">
        <f t="shared" ref="AB53:AB84" si="32">IF(B53="CRYPTO",N53,0)</f>
        <v>0</v>
      </c>
      <c r="AC53" s="205">
        <f t="shared" ref="AC53:AC84" si="33">IF(D53="O",IF(AB53&lt;0,AB53,0),0)</f>
        <v>0</v>
      </c>
      <c r="AD53" s="210">
        <f t="shared" ref="AD53:AD84" si="34">IF(K53&lt;&gt;"",K53-E53,0)</f>
        <v>0.65833333333284827</v>
      </c>
      <c r="AE53" s="210">
        <f t="shared" ref="AE53:AE84" si="35">IF(N53&gt;0,AD53,0)</f>
        <v>0</v>
      </c>
      <c r="AF53" s="210">
        <f t="shared" ref="AF53:AF84" si="36">IF(N53&lt;0,AD53,0)</f>
        <v>0</v>
      </c>
      <c r="AG53" s="210">
        <f t="shared" ref="AG53:AG84" si="37">IF(N53=0,AD53,0)</f>
        <v>0.65833333333284827</v>
      </c>
    </row>
    <row r="54" spans="2:33" ht="15" customHeight="1" x14ac:dyDescent="0.3">
      <c r="B54" s="196" t="s">
        <v>7</v>
      </c>
      <c r="C54" s="197" t="s">
        <v>13</v>
      </c>
      <c r="D54" s="198" t="str">
        <f t="shared" si="19"/>
        <v>C</v>
      </c>
      <c r="E54" s="199">
        <v>44753.677083333336</v>
      </c>
      <c r="F54" s="200" t="s">
        <v>114</v>
      </c>
      <c r="G54" s="201">
        <v>1.00566</v>
      </c>
      <c r="H54" s="201">
        <v>1.00806</v>
      </c>
      <c r="I54" s="202">
        <f t="shared" si="20"/>
        <v>2.3999999999999577E-3</v>
      </c>
      <c r="J54" s="201">
        <v>0.98404000000000003</v>
      </c>
      <c r="K54" s="199">
        <v>44753.715277777781</v>
      </c>
      <c r="L54" s="201">
        <v>1.00806</v>
      </c>
      <c r="M54" s="203">
        <f t="shared" si="21"/>
        <v>-2.3999999999999998E-3</v>
      </c>
      <c r="N54" s="204">
        <f t="shared" si="22"/>
        <v>-1</v>
      </c>
      <c r="O54" s="205">
        <f t="shared" si="23"/>
        <v>0</v>
      </c>
      <c r="P54" s="206">
        <f t="shared" si="24"/>
        <v>0</v>
      </c>
      <c r="Q54" s="206">
        <f t="shared" si="25"/>
        <v>-1</v>
      </c>
      <c r="R5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15054</v>
      </c>
      <c r="T5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4" s="208">
        <f ca="1">IF(Tabla33610673484[[#This Row],[Equity]]&lt;Tabla33610673484[[#This Row],[Equity Peak]],(Tabla33610673484[[#This Row],[Equity Peak]]-Tabla33610673484[[#This Row],[Equity]])/Tabla33610673484[[#This Row],[Equity Peak]],"")</f>
        <v>1.8196047740168263E-2</v>
      </c>
      <c r="V54" s="209">
        <f t="shared" si="26"/>
        <v>-1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3.8194444445252884E-2</v>
      </c>
      <c r="AE54" s="210">
        <f t="shared" si="35"/>
        <v>0</v>
      </c>
      <c r="AF54" s="210">
        <f t="shared" si="36"/>
        <v>3.8194444445252884E-2</v>
      </c>
      <c r="AG54" s="210">
        <f t="shared" si="37"/>
        <v>0</v>
      </c>
    </row>
    <row r="55" spans="2:33" ht="15" customHeight="1" x14ac:dyDescent="0.3">
      <c r="B55" s="196" t="s">
        <v>7</v>
      </c>
      <c r="C55" s="197" t="s">
        <v>13</v>
      </c>
      <c r="D55" s="198" t="str">
        <f t="shared" si="19"/>
        <v>C</v>
      </c>
      <c r="E55" s="199">
        <v>44750.4375</v>
      </c>
      <c r="F55" s="200" t="s">
        <v>114</v>
      </c>
      <c r="G55" s="201">
        <v>1.0113399999999999</v>
      </c>
      <c r="H55" s="201">
        <v>1.01342</v>
      </c>
      <c r="I55" s="202">
        <f t="shared" si="20"/>
        <v>2.0800000000000818E-3</v>
      </c>
      <c r="J55" s="201">
        <v>0.99263000000000001</v>
      </c>
      <c r="K55" s="199">
        <v>44750.488888888889</v>
      </c>
      <c r="L55" s="201">
        <v>1.0115000000000001</v>
      </c>
      <c r="M55" s="203">
        <f t="shared" si="21"/>
        <v>-2.0000000000000001E-4</v>
      </c>
      <c r="N55" s="204">
        <f t="shared" si="22"/>
        <v>-0.1</v>
      </c>
      <c r="O55" s="205">
        <f t="shared" si="23"/>
        <v>0</v>
      </c>
      <c r="P55" s="206">
        <f t="shared" si="24"/>
        <v>0</v>
      </c>
      <c r="Q55" s="206">
        <f t="shared" si="25"/>
        <v>-0.1</v>
      </c>
      <c r="R5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15154</v>
      </c>
      <c r="T5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5" s="208">
        <f ca="1">IF(Tabla33610673484[[#This Row],[Equity]]&lt;Tabla33610673484[[#This Row],[Equity Peak]],(Tabla33610673484[[#This Row],[Equity Peak]]-Tabla33610673484[[#This Row],[Equity]])/Tabla33610673484[[#This Row],[Equity Peak]],"")</f>
        <v>1.167416682971369E-2</v>
      </c>
      <c r="V55" s="209">
        <f t="shared" si="26"/>
        <v>-0.1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5.1388888889050577E-2</v>
      </c>
      <c r="AE55" s="210">
        <f t="shared" si="35"/>
        <v>0</v>
      </c>
      <c r="AF55" s="210">
        <f t="shared" si="36"/>
        <v>5.1388888889050577E-2</v>
      </c>
      <c r="AG55" s="210">
        <f t="shared" si="37"/>
        <v>0</v>
      </c>
    </row>
    <row r="56" spans="2:33" ht="15" customHeight="1" x14ac:dyDescent="0.3">
      <c r="B56" s="196" t="s">
        <v>7</v>
      </c>
      <c r="C56" s="197" t="s">
        <v>13</v>
      </c>
      <c r="D56" s="198" t="str">
        <f t="shared" si="19"/>
        <v>C</v>
      </c>
      <c r="E56" s="199">
        <v>44750.302083333336</v>
      </c>
      <c r="F56" s="200" t="s">
        <v>114</v>
      </c>
      <c r="G56" s="201">
        <v>1.01403</v>
      </c>
      <c r="H56" s="201">
        <v>1.01539</v>
      </c>
      <c r="I56" s="202">
        <f t="shared" si="20"/>
        <v>1.3600000000000279E-3</v>
      </c>
      <c r="J56" s="201">
        <v>1.00176</v>
      </c>
      <c r="K56" s="199">
        <v>44750.331250000003</v>
      </c>
      <c r="L56" s="201">
        <v>1.01539</v>
      </c>
      <c r="M56" s="203">
        <f t="shared" si="21"/>
        <v>-1.4E-3</v>
      </c>
      <c r="N56" s="204">
        <f t="shared" si="22"/>
        <v>-1.03</v>
      </c>
      <c r="O56" s="205">
        <f t="shared" si="23"/>
        <v>0</v>
      </c>
      <c r="P56" s="206">
        <f t="shared" si="24"/>
        <v>0</v>
      </c>
      <c r="Q56" s="206">
        <f t="shared" si="25"/>
        <v>-1.03</v>
      </c>
      <c r="R5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15164</v>
      </c>
      <c r="T5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6" s="208">
        <f ca="1">IF(Tabla33610673484[[#This Row],[Equity]]&lt;Tabla33610673484[[#This Row],[Equity Peak]],(Tabla33610673484[[#This Row],[Equity Peak]]-Tabla33610673484[[#This Row],[Equity]])/Tabla33610673484[[#This Row],[Equity Peak]],"")</f>
        <v>1.1021978738668232E-2</v>
      </c>
      <c r="V56" s="209">
        <f t="shared" si="26"/>
        <v>-1.03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0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2.9166666667151731E-2</v>
      </c>
      <c r="AE56" s="210">
        <f t="shared" si="35"/>
        <v>0</v>
      </c>
      <c r="AF56" s="210">
        <f t="shared" si="36"/>
        <v>2.9166666667151731E-2</v>
      </c>
      <c r="AG56" s="210">
        <f t="shared" si="37"/>
        <v>0</v>
      </c>
    </row>
    <row r="57" spans="2:33" ht="15" customHeight="1" x14ac:dyDescent="0.3">
      <c r="B57" s="196" t="s">
        <v>7</v>
      </c>
      <c r="C57" s="197" t="s">
        <v>13</v>
      </c>
      <c r="D57" s="198" t="str">
        <f t="shared" si="19"/>
        <v>C</v>
      </c>
      <c r="E57" s="199">
        <v>44749.770833333336</v>
      </c>
      <c r="F57" s="200" t="s">
        <v>114</v>
      </c>
      <c r="G57" s="201">
        <v>1.0160199999999999</v>
      </c>
      <c r="H57" s="201">
        <v>1.01844</v>
      </c>
      <c r="I57" s="202">
        <f t="shared" si="20"/>
        <v>2.4200000000000887E-3</v>
      </c>
      <c r="J57" s="201">
        <v>0.99426999999999999</v>
      </c>
      <c r="K57" s="199">
        <v>44750.151388888888</v>
      </c>
      <c r="L57" s="201">
        <v>1.01763</v>
      </c>
      <c r="M57" s="203">
        <f t="shared" si="21"/>
        <v>-1.6000000000000001E-3</v>
      </c>
      <c r="N57" s="204">
        <f t="shared" si="22"/>
        <v>-0.66</v>
      </c>
      <c r="O57" s="205">
        <f t="shared" si="23"/>
        <v>0</v>
      </c>
      <c r="P57" s="206">
        <f t="shared" si="24"/>
        <v>0</v>
      </c>
      <c r="Q57" s="206">
        <f t="shared" si="25"/>
        <v>-0.66</v>
      </c>
      <c r="R5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15267</v>
      </c>
      <c r="T5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7" s="208">
        <f ca="1">IF(Tabla33610673484[[#This Row],[Equity]]&lt;Tabla33610673484[[#This Row],[Equity Peak]],(Tabla33610673484[[#This Row],[Equity Peak]]-Tabla33610673484[[#This Row],[Equity]])/Tabla33610673484[[#This Row],[Equity Peak]],"")</f>
        <v>4.3044414009000198E-3</v>
      </c>
      <c r="V57" s="209">
        <f t="shared" si="26"/>
        <v>-0.66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0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0.38055555555183673</v>
      </c>
      <c r="AE57" s="210">
        <f t="shared" si="35"/>
        <v>0</v>
      </c>
      <c r="AF57" s="210">
        <f t="shared" si="36"/>
        <v>0.38055555555183673</v>
      </c>
      <c r="AG57" s="210">
        <f t="shared" si="37"/>
        <v>0</v>
      </c>
    </row>
    <row r="58" spans="2:33" ht="15" customHeight="1" x14ac:dyDescent="0.3">
      <c r="B58" s="196" t="s">
        <v>7</v>
      </c>
      <c r="C58" s="197" t="s">
        <v>13</v>
      </c>
      <c r="D58" s="198" t="str">
        <f t="shared" si="19"/>
        <v>C</v>
      </c>
      <c r="E58" s="199">
        <v>44747.46875</v>
      </c>
      <c r="F58" s="200" t="s">
        <v>114</v>
      </c>
      <c r="G58" s="201">
        <v>1.0355000000000001</v>
      </c>
      <c r="H58" s="201">
        <v>1.03749</v>
      </c>
      <c r="I58" s="202">
        <f t="shared" si="20"/>
        <v>1.9899999999999363E-3</v>
      </c>
      <c r="J58" s="201">
        <v>1.0176099999999999</v>
      </c>
      <c r="K58" s="199">
        <v>44748.634722222225</v>
      </c>
      <c r="L58" s="201">
        <v>1.0176099999999999</v>
      </c>
      <c r="M58" s="203">
        <f t="shared" si="21"/>
        <v>1.7899999999999999E-2</v>
      </c>
      <c r="N58" s="204">
        <f t="shared" si="22"/>
        <v>8.99</v>
      </c>
      <c r="O58" s="205">
        <f t="shared" si="23"/>
        <v>0</v>
      </c>
      <c r="P58" s="206">
        <f t="shared" si="24"/>
        <v>8.99</v>
      </c>
      <c r="Q58" s="206">
        <f t="shared" si="25"/>
        <v>0</v>
      </c>
      <c r="R5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15333</v>
      </c>
      <c r="T5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15333</v>
      </c>
      <c r="U58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58" s="209">
        <f t="shared" si="26"/>
        <v>8.99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0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1.1659722222248092</v>
      </c>
      <c r="AE58" s="210">
        <f t="shared" si="35"/>
        <v>1.1659722222248092</v>
      </c>
      <c r="AF58" s="210">
        <f t="shared" si="36"/>
        <v>0</v>
      </c>
      <c r="AG58" s="210">
        <f t="shared" si="37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19"/>
        <v>C</v>
      </c>
      <c r="E59" s="199">
        <v>44743.71875</v>
      </c>
      <c r="F59" s="200" t="s">
        <v>114</v>
      </c>
      <c r="G59" s="201">
        <v>1.03773</v>
      </c>
      <c r="H59" s="201">
        <v>1.0404100000000001</v>
      </c>
      <c r="I59" s="202">
        <f t="shared" si="20"/>
        <v>2.6800000000000157E-3</v>
      </c>
      <c r="J59" s="201">
        <v>1.0136400000000001</v>
      </c>
      <c r="K59" s="199">
        <v>44743.765277777777</v>
      </c>
      <c r="L59" s="201">
        <v>1.0404100000000001</v>
      </c>
      <c r="M59" s="203">
        <f t="shared" si="21"/>
        <v>-2.7000000000000001E-3</v>
      </c>
      <c r="N59" s="204">
        <f t="shared" si="22"/>
        <v>-1.01</v>
      </c>
      <c r="O59" s="205">
        <f t="shared" si="23"/>
        <v>0</v>
      </c>
      <c r="P59" s="206">
        <f t="shared" si="24"/>
        <v>0</v>
      </c>
      <c r="Q59" s="206">
        <f t="shared" si="25"/>
        <v>-1.01</v>
      </c>
      <c r="R5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5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14434</v>
      </c>
      <c r="T5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14815</v>
      </c>
      <c r="U59" s="208">
        <f ca="1">IF(Tabla33610673484[[#This Row],[Equity]]&lt;Tabla33610673484[[#This Row],[Equity Peak]],(Tabla33610673484[[#This Row],[Equity Peak]]-Tabla33610673484[[#This Row],[Equity]])/Tabla33610673484[[#This Row],[Equity Peak]],"")</f>
        <v>2.5717178535268309E-2</v>
      </c>
      <c r="V59" s="209">
        <f t="shared" si="26"/>
        <v>-1.01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0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4.6527777776645962E-2</v>
      </c>
      <c r="AE59" s="210">
        <f t="shared" si="35"/>
        <v>0</v>
      </c>
      <c r="AF59" s="210">
        <f t="shared" si="36"/>
        <v>4.6527777776645962E-2</v>
      </c>
      <c r="AG59" s="210">
        <f t="shared" si="37"/>
        <v>0</v>
      </c>
    </row>
    <row r="60" spans="2:33" ht="15" customHeight="1" x14ac:dyDescent="0.3">
      <c r="B60" s="196" t="s">
        <v>7</v>
      </c>
      <c r="C60" s="197" t="s">
        <v>13</v>
      </c>
      <c r="D60" s="198" t="str">
        <f t="shared" si="19"/>
        <v>C</v>
      </c>
      <c r="E60" s="199">
        <v>44741.8125</v>
      </c>
      <c r="F60" s="200" t="s">
        <v>114</v>
      </c>
      <c r="G60" s="201">
        <v>1.0462100000000001</v>
      </c>
      <c r="H60" s="201">
        <v>1.0487</v>
      </c>
      <c r="I60" s="202">
        <f t="shared" si="20"/>
        <v>2.4899999999998812E-3</v>
      </c>
      <c r="J60" s="201">
        <v>1.0237700000000001</v>
      </c>
      <c r="K60" s="199">
        <v>44742.229861111111</v>
      </c>
      <c r="L60" s="201">
        <v>1.04566</v>
      </c>
      <c r="M60" s="203">
        <f t="shared" si="21"/>
        <v>5.9999999999999995E-4</v>
      </c>
      <c r="N60" s="204">
        <f t="shared" si="22"/>
        <v>0.24</v>
      </c>
      <c r="O60" s="205">
        <f t="shared" si="23"/>
        <v>0</v>
      </c>
      <c r="P60" s="206">
        <f t="shared" si="24"/>
        <v>0.24</v>
      </c>
      <c r="Q60" s="206">
        <f t="shared" si="25"/>
        <v>0</v>
      </c>
      <c r="R6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14535</v>
      </c>
      <c r="T6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14815</v>
      </c>
      <c r="U60" s="208">
        <f ca="1">IF(Tabla33610673484[[#This Row],[Equity]]&lt;Tabla33610673484[[#This Row],[Equity Peak]],(Tabla33610673484[[#This Row],[Equity Peak]]-Tabla33610673484[[#This Row],[Equity]])/Tabla33610673484[[#This Row],[Equity Peak]],"")</f>
        <v>1.8899763752953089E-2</v>
      </c>
      <c r="V60" s="209">
        <f t="shared" si="26"/>
        <v>0.24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0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0.41736111111094942</v>
      </c>
      <c r="AE60" s="210">
        <f t="shared" si="35"/>
        <v>0.41736111111094942</v>
      </c>
      <c r="AF60" s="210">
        <f t="shared" si="36"/>
        <v>0</v>
      </c>
      <c r="AG60" s="210">
        <f t="shared" si="37"/>
        <v>0</v>
      </c>
    </row>
    <row r="61" spans="2:33" ht="15" customHeight="1" x14ac:dyDescent="0.3">
      <c r="B61" s="196" t="s">
        <v>7</v>
      </c>
      <c r="C61" s="197" t="s">
        <v>15</v>
      </c>
      <c r="D61" s="198" t="str">
        <f t="shared" si="19"/>
        <v>C</v>
      </c>
      <c r="E61" s="199">
        <v>44739.770833333336</v>
      </c>
      <c r="F61" s="200" t="s">
        <v>114</v>
      </c>
      <c r="G61" s="201">
        <v>1.0609599999999999</v>
      </c>
      <c r="H61" s="201">
        <v>1.0588</v>
      </c>
      <c r="I61" s="202">
        <f t="shared" si="20"/>
        <v>2.1599999999999397E-3</v>
      </c>
      <c r="J61" s="201">
        <v>1.08036</v>
      </c>
      <c r="K61" s="199">
        <v>44739.834722222222</v>
      </c>
      <c r="L61" s="201">
        <v>1.0588</v>
      </c>
      <c r="M61" s="203">
        <f t="shared" si="21"/>
        <v>-2.2000000000000001E-3</v>
      </c>
      <c r="N61" s="204">
        <f t="shared" si="22"/>
        <v>-1.02</v>
      </c>
      <c r="O61" s="205">
        <f t="shared" si="23"/>
        <v>0</v>
      </c>
      <c r="P61" s="206">
        <f t="shared" si="24"/>
        <v>0</v>
      </c>
      <c r="Q61" s="206">
        <f t="shared" si="25"/>
        <v>-1.02</v>
      </c>
      <c r="R6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14511</v>
      </c>
      <c r="T6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14815</v>
      </c>
      <c r="U61" s="208">
        <f ca="1">IF(Tabla33610673484[[#This Row],[Equity]]&lt;Tabla33610673484[[#This Row],[Equity Peak]],(Tabla33610673484[[#This Row],[Equity Peak]]-Tabla33610673484[[#This Row],[Equity]])/Tabla33610673484[[#This Row],[Equity Peak]],"")</f>
        <v>2.0519743503206209E-2</v>
      </c>
      <c r="V61" s="209">
        <f t="shared" si="26"/>
        <v>-1.02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0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6.3888888886140194E-2</v>
      </c>
      <c r="AE61" s="210">
        <f t="shared" si="35"/>
        <v>0</v>
      </c>
      <c r="AF61" s="210">
        <f t="shared" si="36"/>
        <v>6.3888888886140194E-2</v>
      </c>
      <c r="AG61" s="210">
        <f t="shared" si="37"/>
        <v>0</v>
      </c>
    </row>
    <row r="62" spans="2:33" ht="15" customHeight="1" x14ac:dyDescent="0.3">
      <c r="B62" s="196" t="s">
        <v>7</v>
      </c>
      <c r="C62" s="197" t="s">
        <v>13</v>
      </c>
      <c r="D62" s="198" t="str">
        <f t="shared" si="19"/>
        <v>C</v>
      </c>
      <c r="E62" s="199">
        <v>44727.885416666664</v>
      </c>
      <c r="F62" s="200" t="s">
        <v>114</v>
      </c>
      <c r="G62" s="201">
        <v>1.0377000000000001</v>
      </c>
      <c r="H62" s="201">
        <v>1.0404500000000001</v>
      </c>
      <c r="I62" s="202">
        <f t="shared" si="20"/>
        <v>2.7500000000000302E-3</v>
      </c>
      <c r="J62" s="201">
        <v>1.01294</v>
      </c>
      <c r="K62" s="199">
        <v>44727.887499999997</v>
      </c>
      <c r="L62" s="201">
        <v>1.0404500000000001</v>
      </c>
      <c r="M62" s="203">
        <f t="shared" si="21"/>
        <v>-2.8E-3</v>
      </c>
      <c r="N62" s="204">
        <f t="shared" si="22"/>
        <v>-1.02</v>
      </c>
      <c r="O62" s="205">
        <f t="shared" si="23"/>
        <v>0</v>
      </c>
      <c r="P62" s="206">
        <f t="shared" si="24"/>
        <v>0</v>
      </c>
      <c r="Q62" s="206">
        <f t="shared" si="25"/>
        <v>-1.02</v>
      </c>
      <c r="R6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14613</v>
      </c>
      <c r="T6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14815</v>
      </c>
      <c r="U62" s="208">
        <f ca="1">IF(Tabla33610673484[[#This Row],[Equity]]&lt;Tabla33610673484[[#This Row],[Equity Peak]],(Tabla33610673484[[#This Row],[Equity Peak]]-Tabla33610673484[[#This Row],[Equity]])/Tabla33610673484[[#This Row],[Equity Peak]],"")</f>
        <v>1.3634829564630442E-2</v>
      </c>
      <c r="V62" s="209">
        <f t="shared" si="26"/>
        <v>-1.02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0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2.0833333328482695E-3</v>
      </c>
      <c r="AE62" s="210">
        <f t="shared" si="35"/>
        <v>0</v>
      </c>
      <c r="AF62" s="210">
        <f t="shared" si="36"/>
        <v>2.0833333328482695E-3</v>
      </c>
      <c r="AG62" s="210">
        <f t="shared" si="37"/>
        <v>0</v>
      </c>
    </row>
    <row r="63" spans="2:33" ht="15" customHeight="1" x14ac:dyDescent="0.3">
      <c r="B63" s="196" t="s">
        <v>7</v>
      </c>
      <c r="C63" s="197" t="s">
        <v>13</v>
      </c>
      <c r="D63" s="198" t="str">
        <f t="shared" si="19"/>
        <v>C</v>
      </c>
      <c r="E63" s="199">
        <v>44727.760416666664</v>
      </c>
      <c r="F63" s="200" t="s">
        <v>114</v>
      </c>
      <c r="G63" s="201">
        <v>1.0394099999999999</v>
      </c>
      <c r="H63" s="201">
        <v>1.0424199999999999</v>
      </c>
      <c r="I63" s="202">
        <f t="shared" si="20"/>
        <v>3.0099999999999572E-3</v>
      </c>
      <c r="J63" s="201">
        <v>1.0123599999999999</v>
      </c>
      <c r="K63" s="199">
        <v>44727.875694444447</v>
      </c>
      <c r="L63" s="201">
        <v>1.0424199999999999</v>
      </c>
      <c r="M63" s="203">
        <f t="shared" si="21"/>
        <v>-3.0000000000000001E-3</v>
      </c>
      <c r="N63" s="204">
        <f t="shared" si="22"/>
        <v>-1</v>
      </c>
      <c r="O63" s="205">
        <f t="shared" si="23"/>
        <v>0</v>
      </c>
      <c r="P63" s="206">
        <f t="shared" si="24"/>
        <v>0</v>
      </c>
      <c r="Q63" s="206">
        <f t="shared" si="25"/>
        <v>-1</v>
      </c>
      <c r="R6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14715</v>
      </c>
      <c r="T6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14815</v>
      </c>
      <c r="U63" s="208">
        <f ca="1">IF(Tabla33610673484[[#This Row],[Equity]]&lt;Tabla33610673484[[#This Row],[Equity Peak]],(Tabla33610673484[[#This Row],[Equity Peak]]-Tabla33610673484[[#This Row],[Equity]])/Tabla33610673484[[#This Row],[Equity Peak]],"")</f>
        <v>6.7499156260546747E-3</v>
      </c>
      <c r="V63" s="209">
        <f t="shared" si="26"/>
        <v>-1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0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0.11527777778246673</v>
      </c>
      <c r="AE63" s="210">
        <f t="shared" si="35"/>
        <v>0</v>
      </c>
      <c r="AF63" s="210">
        <f t="shared" si="36"/>
        <v>0.11527777778246673</v>
      </c>
      <c r="AG63" s="210">
        <f t="shared" si="37"/>
        <v>0</v>
      </c>
    </row>
    <row r="64" spans="2:33" ht="15" customHeight="1" x14ac:dyDescent="0.3">
      <c r="B64" s="196" t="s">
        <v>7</v>
      </c>
      <c r="C64" s="197" t="s">
        <v>13</v>
      </c>
      <c r="D64" s="198" t="str">
        <f t="shared" si="19"/>
        <v>C</v>
      </c>
      <c r="E64" s="199">
        <v>44722.520833333336</v>
      </c>
      <c r="F64" s="200" t="s">
        <v>114</v>
      </c>
      <c r="G64" s="201">
        <v>1.0592900000000001</v>
      </c>
      <c r="H64" s="201">
        <v>1.0611299999999999</v>
      </c>
      <c r="I64" s="202">
        <f t="shared" si="20"/>
        <v>1.8399999999998418E-3</v>
      </c>
      <c r="J64" s="201">
        <v>1.0427</v>
      </c>
      <c r="K64" s="199">
        <v>44725.720833333333</v>
      </c>
      <c r="L64" s="201">
        <v>1.0427</v>
      </c>
      <c r="M64" s="203">
        <f t="shared" si="21"/>
        <v>1.66E-2</v>
      </c>
      <c r="N64" s="204">
        <f t="shared" si="22"/>
        <v>9.02</v>
      </c>
      <c r="O64" s="205">
        <f t="shared" si="23"/>
        <v>0</v>
      </c>
      <c r="P64" s="206">
        <f t="shared" si="24"/>
        <v>9.02</v>
      </c>
      <c r="Q64" s="206">
        <f t="shared" si="25"/>
        <v>0</v>
      </c>
      <c r="R6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14815</v>
      </c>
      <c r="T6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14815</v>
      </c>
      <c r="U64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64" s="209">
        <f t="shared" si="26"/>
        <v>9.02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0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3.1999999999970896</v>
      </c>
      <c r="AE64" s="210">
        <f t="shared" si="35"/>
        <v>3.1999999999970896</v>
      </c>
      <c r="AF64" s="210">
        <f t="shared" si="36"/>
        <v>0</v>
      </c>
      <c r="AG64" s="210">
        <f t="shared" si="37"/>
        <v>0</v>
      </c>
    </row>
    <row r="65" spans="2:33" ht="15" customHeight="1" x14ac:dyDescent="0.3">
      <c r="B65" s="196" t="s">
        <v>7</v>
      </c>
      <c r="C65" s="197" t="s">
        <v>13</v>
      </c>
      <c r="D65" s="198" t="str">
        <f t="shared" si="19"/>
        <v>C</v>
      </c>
      <c r="E65" s="199">
        <v>44721.854166666664</v>
      </c>
      <c r="F65" s="200" t="s">
        <v>114</v>
      </c>
      <c r="G65" s="201">
        <v>1.0629</v>
      </c>
      <c r="H65" s="201">
        <v>1.0668500000000001</v>
      </c>
      <c r="I65" s="202">
        <f t="shared" si="20"/>
        <v>3.9500000000001201E-3</v>
      </c>
      <c r="J65" s="201">
        <v>1.0273300000000001</v>
      </c>
      <c r="K65" s="199">
        <v>44722.248611111114</v>
      </c>
      <c r="L65" s="201">
        <v>1.06301</v>
      </c>
      <c r="M65" s="203">
        <f t="shared" si="21"/>
        <v>-1E-4</v>
      </c>
      <c r="N65" s="204">
        <f t="shared" si="22"/>
        <v>-0.03</v>
      </c>
      <c r="O65" s="205">
        <f t="shared" si="23"/>
        <v>0</v>
      </c>
      <c r="P65" s="206">
        <f t="shared" si="24"/>
        <v>0</v>
      </c>
      <c r="Q65" s="206">
        <f t="shared" si="25"/>
        <v>-0.03</v>
      </c>
      <c r="R6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13913</v>
      </c>
      <c r="T6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14276</v>
      </c>
      <c r="U65" s="208">
        <f ca="1">IF(Tabla33610673484[[#This Row],[Equity]]&lt;Tabla33610673484[[#This Row],[Equity Peak]],(Tabla33610673484[[#This Row],[Equity Peak]]-Tabla33610673484[[#This Row],[Equity]])/Tabla33610673484[[#This Row],[Equity Peak]],"")</f>
        <v>2.5427290557579155E-2</v>
      </c>
      <c r="V65" s="209">
        <f t="shared" si="26"/>
        <v>-0.03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0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0.39444444444961846</v>
      </c>
      <c r="AE65" s="210">
        <f t="shared" si="35"/>
        <v>0</v>
      </c>
      <c r="AF65" s="210">
        <f t="shared" si="36"/>
        <v>0.39444444444961846</v>
      </c>
      <c r="AG65" s="210">
        <f t="shared" si="37"/>
        <v>0</v>
      </c>
    </row>
    <row r="66" spans="2:33" ht="15" customHeight="1" x14ac:dyDescent="0.3">
      <c r="B66" s="196" t="s">
        <v>7</v>
      </c>
      <c r="C66" s="197" t="s">
        <v>13</v>
      </c>
      <c r="D66" s="198" t="str">
        <f t="shared" si="19"/>
        <v>C</v>
      </c>
      <c r="E66" s="199">
        <v>44713.78125</v>
      </c>
      <c r="F66" s="200" t="s">
        <v>114</v>
      </c>
      <c r="G66" s="201">
        <v>1.0628299999999999</v>
      </c>
      <c r="H66" s="201">
        <v>1.0653999999999999</v>
      </c>
      <c r="I66" s="202">
        <f t="shared" si="20"/>
        <v>2.5699999999999612E-3</v>
      </c>
      <c r="J66" s="201">
        <v>1.03966</v>
      </c>
      <c r="K66" s="199">
        <v>44713.870138888888</v>
      </c>
      <c r="L66" s="201">
        <v>1.0653999999999999</v>
      </c>
      <c r="M66" s="203">
        <f t="shared" si="21"/>
        <v>-2.5999999999999999E-3</v>
      </c>
      <c r="N66" s="204">
        <f t="shared" si="22"/>
        <v>-1.01</v>
      </c>
      <c r="O66" s="205">
        <f t="shared" si="23"/>
        <v>0</v>
      </c>
      <c r="P66" s="206">
        <f t="shared" si="24"/>
        <v>0</v>
      </c>
      <c r="Q66" s="206">
        <f t="shared" si="25"/>
        <v>-1.01</v>
      </c>
      <c r="R6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13916</v>
      </c>
      <c r="T6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14276</v>
      </c>
      <c r="U66" s="208">
        <f ca="1">IF(Tabla33610673484[[#This Row],[Equity]]&lt;Tabla33610673484[[#This Row],[Equity Peak]],(Tabla33610673484[[#This Row],[Equity Peak]]-Tabla33610673484[[#This Row],[Equity]])/Tabla33610673484[[#This Row],[Equity Peak]],"")</f>
        <v>2.5217147660409077E-2</v>
      </c>
      <c r="V66" s="209">
        <f t="shared" si="26"/>
        <v>-1.01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0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8.8888888887595385E-2</v>
      </c>
      <c r="AE66" s="210">
        <f t="shared" si="35"/>
        <v>0</v>
      </c>
      <c r="AF66" s="210">
        <f t="shared" si="36"/>
        <v>8.8888888887595385E-2</v>
      </c>
      <c r="AG66" s="210">
        <f t="shared" si="37"/>
        <v>0</v>
      </c>
    </row>
    <row r="67" spans="2:33" ht="15" customHeight="1" x14ac:dyDescent="0.3">
      <c r="B67" s="196" t="s">
        <v>7</v>
      </c>
      <c r="C67" s="197" t="s">
        <v>15</v>
      </c>
      <c r="D67" s="198" t="str">
        <f t="shared" si="19"/>
        <v>C</v>
      </c>
      <c r="E67" s="199">
        <v>44711.75</v>
      </c>
      <c r="F67" s="200" t="s">
        <v>114</v>
      </c>
      <c r="G67" s="201">
        <v>1.0781499999999999</v>
      </c>
      <c r="H67" s="201">
        <v>1.07657</v>
      </c>
      <c r="I67" s="202">
        <f t="shared" si="20"/>
        <v>1.5799999999999148E-3</v>
      </c>
      <c r="J67" s="201">
        <v>1.09236</v>
      </c>
      <c r="K67" s="199">
        <v>44712.111111111109</v>
      </c>
      <c r="L67" s="201">
        <v>1.0771599999999999</v>
      </c>
      <c r="M67" s="203">
        <f t="shared" si="21"/>
        <v>-1E-3</v>
      </c>
      <c r="N67" s="204">
        <f t="shared" si="22"/>
        <v>-0.63</v>
      </c>
      <c r="O67" s="205">
        <f t="shared" si="23"/>
        <v>0</v>
      </c>
      <c r="P67" s="206">
        <f t="shared" si="24"/>
        <v>0</v>
      </c>
      <c r="Q67" s="206">
        <f t="shared" si="25"/>
        <v>-0.63</v>
      </c>
      <c r="R6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14017</v>
      </c>
      <c r="T6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14276</v>
      </c>
      <c r="U67" s="208">
        <f ca="1">IF(Tabla33610673484[[#This Row],[Equity]]&lt;Tabla33610673484[[#This Row],[Equity Peak]],(Tabla33610673484[[#This Row],[Equity Peak]]-Tabla33610673484[[#This Row],[Equity]])/Tabla33610673484[[#This Row],[Equity Peak]],"")</f>
        <v>1.8142336789016531E-2</v>
      </c>
      <c r="V67" s="209">
        <f t="shared" si="26"/>
        <v>-0.63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0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0.36111111110949423</v>
      </c>
      <c r="AE67" s="210">
        <f t="shared" si="35"/>
        <v>0</v>
      </c>
      <c r="AF67" s="210">
        <f t="shared" si="36"/>
        <v>0.36111111110949423</v>
      </c>
      <c r="AG67" s="210">
        <f t="shared" si="37"/>
        <v>0</v>
      </c>
    </row>
    <row r="68" spans="2:33" ht="15" customHeight="1" x14ac:dyDescent="0.3">
      <c r="B68" s="196" t="s">
        <v>7</v>
      </c>
      <c r="C68" s="197" t="s">
        <v>15</v>
      </c>
      <c r="D68" s="198" t="str">
        <f t="shared" si="19"/>
        <v>C</v>
      </c>
      <c r="E68" s="199">
        <v>44711.572916666664</v>
      </c>
      <c r="F68" s="200" t="s">
        <v>114</v>
      </c>
      <c r="G68" s="201">
        <v>1.07738</v>
      </c>
      <c r="H68" s="201">
        <v>1.0753699999999999</v>
      </c>
      <c r="I68" s="202">
        <f t="shared" si="20"/>
        <v>2.0100000000000673E-3</v>
      </c>
      <c r="J68" s="201">
        <v>1.0954299999999999</v>
      </c>
      <c r="K68" s="199">
        <v>44711.650694444441</v>
      </c>
      <c r="L68" s="201">
        <v>1.0753699999999999</v>
      </c>
      <c r="M68" s="203">
        <f t="shared" si="21"/>
        <v>-2E-3</v>
      </c>
      <c r="N68" s="204">
        <f t="shared" si="22"/>
        <v>-1</v>
      </c>
      <c r="O68" s="205">
        <f t="shared" si="23"/>
        <v>0</v>
      </c>
      <c r="P68" s="206">
        <f t="shared" si="24"/>
        <v>0</v>
      </c>
      <c r="Q68" s="206">
        <f t="shared" si="25"/>
        <v>-1</v>
      </c>
      <c r="R6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14080</v>
      </c>
      <c r="T6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14276</v>
      </c>
      <c r="U68" s="208">
        <f ca="1">IF(Tabla33610673484[[#This Row],[Equity]]&lt;Tabla33610673484[[#This Row],[Equity Peak]],(Tabla33610673484[[#This Row],[Equity Peak]]-Tabla33610673484[[#This Row],[Equity]])/Tabla33610673484[[#This Row],[Equity Peak]],"")</f>
        <v>1.3729335948444943E-2</v>
      </c>
      <c r="V68" s="209">
        <f t="shared" si="26"/>
        <v>-1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0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7.7777777776645962E-2</v>
      </c>
      <c r="AE68" s="210">
        <f t="shared" si="35"/>
        <v>0</v>
      </c>
      <c r="AF68" s="210">
        <f t="shared" si="36"/>
        <v>7.7777777776645962E-2</v>
      </c>
      <c r="AG68" s="210">
        <f t="shared" si="37"/>
        <v>0</v>
      </c>
    </row>
    <row r="69" spans="2:33" ht="15" customHeight="1" x14ac:dyDescent="0.3">
      <c r="B69" s="196" t="s">
        <v>7</v>
      </c>
      <c r="C69" s="197" t="s">
        <v>15</v>
      </c>
      <c r="D69" s="198" t="str">
        <f t="shared" si="19"/>
        <v>C</v>
      </c>
      <c r="E69" s="199">
        <v>44708.208333333336</v>
      </c>
      <c r="F69" s="200" t="s">
        <v>114</v>
      </c>
      <c r="G69" s="201">
        <v>1.0762799999999999</v>
      </c>
      <c r="H69" s="201">
        <v>1.0750299999999999</v>
      </c>
      <c r="I69" s="202">
        <f t="shared" si="20"/>
        <v>1.2499999999999734E-3</v>
      </c>
      <c r="J69" s="201">
        <v>1.0875699999999999</v>
      </c>
      <c r="K69" s="199">
        <v>44708.366666666669</v>
      </c>
      <c r="L69" s="201">
        <v>1.0750299999999999</v>
      </c>
      <c r="M69" s="203">
        <f t="shared" si="21"/>
        <v>-1.1999999999999999E-3</v>
      </c>
      <c r="N69" s="204">
        <f t="shared" si="22"/>
        <v>-0.96</v>
      </c>
      <c r="O69" s="205">
        <f t="shared" si="23"/>
        <v>0</v>
      </c>
      <c r="P69" s="206">
        <f t="shared" si="24"/>
        <v>0</v>
      </c>
      <c r="Q69" s="206">
        <f t="shared" si="25"/>
        <v>-0.96</v>
      </c>
      <c r="R6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6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14180</v>
      </c>
      <c r="T6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14276</v>
      </c>
      <c r="U69" s="208">
        <f ca="1">IF(Tabla33610673484[[#This Row],[Equity]]&lt;Tabla33610673484[[#This Row],[Equity Peak]],(Tabla33610673484[[#This Row],[Equity Peak]]-Tabla33610673484[[#This Row],[Equity]])/Tabla33610673484[[#This Row],[Equity Peak]],"")</f>
        <v>6.7245727094424204E-3</v>
      </c>
      <c r="V69" s="209">
        <f t="shared" si="26"/>
        <v>-0.96</v>
      </c>
      <c r="W69" s="209">
        <f t="shared" si="27"/>
        <v>0</v>
      </c>
      <c r="X69" s="209">
        <f t="shared" si="28"/>
        <v>0</v>
      </c>
      <c r="Y69" s="209">
        <f t="shared" si="29"/>
        <v>0</v>
      </c>
      <c r="Z69" s="209">
        <f t="shared" si="30"/>
        <v>0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0.15833333333284827</v>
      </c>
      <c r="AE69" s="210">
        <f t="shared" si="35"/>
        <v>0</v>
      </c>
      <c r="AF69" s="210">
        <f t="shared" si="36"/>
        <v>0.15833333333284827</v>
      </c>
      <c r="AG69" s="210">
        <f t="shared" si="37"/>
        <v>0</v>
      </c>
    </row>
    <row r="70" spans="2:33" ht="15" customHeight="1" x14ac:dyDescent="0.3">
      <c r="B70" s="196" t="s">
        <v>7</v>
      </c>
      <c r="C70" s="197" t="s">
        <v>15</v>
      </c>
      <c r="D70" s="198" t="str">
        <f t="shared" si="19"/>
        <v>C</v>
      </c>
      <c r="E70" s="199">
        <v>44704.479166666664</v>
      </c>
      <c r="F70" s="200" t="s">
        <v>114</v>
      </c>
      <c r="G70" s="201">
        <v>1.06277</v>
      </c>
      <c r="H70" s="201">
        <v>1.0609</v>
      </c>
      <c r="I70" s="202">
        <f t="shared" si="20"/>
        <v>1.8700000000000383E-3</v>
      </c>
      <c r="J70" s="201">
        <v>1.0796399999999999</v>
      </c>
      <c r="K70" s="199">
        <v>44706.238194444442</v>
      </c>
      <c r="L70" s="201">
        <v>1.0704400000000001</v>
      </c>
      <c r="M70" s="203">
        <f t="shared" si="21"/>
        <v>7.7000000000000002E-3</v>
      </c>
      <c r="N70" s="204">
        <f t="shared" si="22"/>
        <v>4.12</v>
      </c>
      <c r="O70" s="205">
        <f t="shared" si="23"/>
        <v>0</v>
      </c>
      <c r="P70" s="206">
        <f t="shared" si="24"/>
        <v>4.12</v>
      </c>
      <c r="Q70" s="206">
        <f t="shared" si="25"/>
        <v>0</v>
      </c>
      <c r="R7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14276</v>
      </c>
      <c r="T7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14276</v>
      </c>
      <c r="U70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70" s="209">
        <f t="shared" si="26"/>
        <v>4.12</v>
      </c>
      <c r="W70" s="209">
        <f t="shared" si="27"/>
        <v>0</v>
      </c>
      <c r="X70" s="209">
        <f t="shared" si="28"/>
        <v>0</v>
      </c>
      <c r="Y70" s="209">
        <f t="shared" si="29"/>
        <v>0</v>
      </c>
      <c r="Z70" s="209">
        <f t="shared" si="30"/>
        <v>0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1.7590277777781012</v>
      </c>
      <c r="AE70" s="210">
        <f t="shared" si="35"/>
        <v>1.7590277777781012</v>
      </c>
      <c r="AF70" s="210">
        <f t="shared" si="36"/>
        <v>0</v>
      </c>
      <c r="AG70" s="210">
        <f t="shared" si="37"/>
        <v>0</v>
      </c>
    </row>
    <row r="71" spans="2:33" ht="15" customHeight="1" x14ac:dyDescent="0.3">
      <c r="B71" s="196" t="s">
        <v>7</v>
      </c>
      <c r="C71" s="197" t="s">
        <v>15</v>
      </c>
      <c r="D71" s="198" t="str">
        <f t="shared" si="19"/>
        <v>C</v>
      </c>
      <c r="E71" s="199">
        <v>44700.729166666664</v>
      </c>
      <c r="F71" s="200" t="s">
        <v>114</v>
      </c>
      <c r="G71" s="201">
        <v>1.0570900000000001</v>
      </c>
      <c r="H71" s="201">
        <v>1.0542400000000001</v>
      </c>
      <c r="I71" s="202">
        <f t="shared" si="20"/>
        <v>2.8500000000000192E-3</v>
      </c>
      <c r="J71" s="201">
        <v>1.0827599999999999</v>
      </c>
      <c r="K71" s="199">
        <v>44701.209722222222</v>
      </c>
      <c r="L71" s="201">
        <v>1.0567299999999999</v>
      </c>
      <c r="M71" s="203">
        <f t="shared" si="21"/>
        <v>-4.0000000000000002E-4</v>
      </c>
      <c r="N71" s="204">
        <f t="shared" si="22"/>
        <v>-0.14000000000000001</v>
      </c>
      <c r="O71" s="205">
        <f t="shared" si="23"/>
        <v>0</v>
      </c>
      <c r="P71" s="206">
        <f t="shared" si="24"/>
        <v>0</v>
      </c>
      <c r="Q71" s="206">
        <f t="shared" si="25"/>
        <v>-0.14000000000000001</v>
      </c>
      <c r="R7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13864</v>
      </c>
      <c r="T7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13878</v>
      </c>
      <c r="U71" s="208">
        <f ca="1">IF(Tabla33610673484[[#This Row],[Equity]]&lt;Tabla33610673484[[#This Row],[Equity Peak]],(Tabla33610673484[[#This Row],[Equity Peak]]-Tabla33610673484[[#This Row],[Equity]])/Tabla33610673484[[#This Row],[Equity Peak]],"")</f>
        <v>1.0087908920593746E-3</v>
      </c>
      <c r="V71" s="209">
        <f t="shared" si="26"/>
        <v>-0.14000000000000001</v>
      </c>
      <c r="W71" s="209">
        <f t="shared" si="27"/>
        <v>0</v>
      </c>
      <c r="X71" s="209">
        <f t="shared" si="28"/>
        <v>0</v>
      </c>
      <c r="Y71" s="209">
        <f t="shared" si="29"/>
        <v>0</v>
      </c>
      <c r="Z71" s="209">
        <f t="shared" si="30"/>
        <v>0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0.4805555555576575</v>
      </c>
      <c r="AE71" s="210">
        <f t="shared" si="35"/>
        <v>0</v>
      </c>
      <c r="AF71" s="210">
        <f t="shared" si="36"/>
        <v>0.4805555555576575</v>
      </c>
      <c r="AG71" s="210">
        <f t="shared" si="37"/>
        <v>0</v>
      </c>
    </row>
    <row r="72" spans="2:33" ht="15" customHeight="1" x14ac:dyDescent="0.3">
      <c r="B72" s="196" t="s">
        <v>7</v>
      </c>
      <c r="C72" s="197" t="s">
        <v>13</v>
      </c>
      <c r="D72" s="198" t="str">
        <f t="shared" si="19"/>
        <v>C</v>
      </c>
      <c r="E72" s="199">
        <v>44693.427083333336</v>
      </c>
      <c r="F72" s="200" t="s">
        <v>114</v>
      </c>
      <c r="G72" s="201">
        <v>1.0462800000000001</v>
      </c>
      <c r="H72" s="201">
        <v>1.0483499999999999</v>
      </c>
      <c r="I72" s="202">
        <f t="shared" si="20"/>
        <v>2.0699999999997942E-3</v>
      </c>
      <c r="J72" s="201">
        <v>1.0276099999999999</v>
      </c>
      <c r="K72" s="199">
        <v>44694.369444444441</v>
      </c>
      <c r="L72" s="201">
        <v>1.0400199999999999</v>
      </c>
      <c r="M72" s="203">
        <f t="shared" si="21"/>
        <v>6.3E-3</v>
      </c>
      <c r="N72" s="204">
        <f t="shared" si="22"/>
        <v>3.04</v>
      </c>
      <c r="O72" s="205">
        <f t="shared" si="23"/>
        <v>0</v>
      </c>
      <c r="P72" s="206">
        <f t="shared" si="24"/>
        <v>3.04</v>
      </c>
      <c r="Q72" s="206">
        <f t="shared" si="25"/>
        <v>0</v>
      </c>
      <c r="R7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13878</v>
      </c>
      <c r="T7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13878</v>
      </c>
      <c r="U72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72" s="209">
        <f t="shared" si="26"/>
        <v>3.04</v>
      </c>
      <c r="W72" s="209">
        <f t="shared" si="27"/>
        <v>0</v>
      </c>
      <c r="X72" s="209">
        <f t="shared" si="28"/>
        <v>0</v>
      </c>
      <c r="Y72" s="209">
        <f t="shared" si="29"/>
        <v>0</v>
      </c>
      <c r="Z72" s="209">
        <f t="shared" si="30"/>
        <v>0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0.94236111110512866</v>
      </c>
      <c r="AE72" s="210">
        <f t="shared" si="35"/>
        <v>0.94236111110512866</v>
      </c>
      <c r="AF72" s="210">
        <f t="shared" si="36"/>
        <v>0</v>
      </c>
      <c r="AG72" s="210">
        <f t="shared" si="37"/>
        <v>0</v>
      </c>
    </row>
    <row r="73" spans="2:33" ht="15" customHeight="1" x14ac:dyDescent="0.3">
      <c r="B73" s="196" t="s">
        <v>7</v>
      </c>
      <c r="C73" s="197" t="s">
        <v>13</v>
      </c>
      <c r="D73" s="198" t="str">
        <f t="shared" si="19"/>
        <v>C</v>
      </c>
      <c r="E73" s="199">
        <v>44677.4375</v>
      </c>
      <c r="F73" s="200" t="s">
        <v>114</v>
      </c>
      <c r="G73" s="201">
        <v>1.0690999999999999</v>
      </c>
      <c r="H73" s="201">
        <v>1.07067</v>
      </c>
      <c r="I73" s="202">
        <f t="shared" si="20"/>
        <v>1.5700000000000713E-3</v>
      </c>
      <c r="J73" s="201">
        <v>1.0549999999999999</v>
      </c>
      <c r="K73" s="199">
        <v>44678.660416666666</v>
      </c>
      <c r="L73" s="201">
        <v>1.0549999999999999</v>
      </c>
      <c r="M73" s="203">
        <f t="shared" si="21"/>
        <v>1.41E-2</v>
      </c>
      <c r="N73" s="204">
        <f t="shared" si="22"/>
        <v>8.98</v>
      </c>
      <c r="O73" s="205">
        <f t="shared" si="23"/>
        <v>0</v>
      </c>
      <c r="P73" s="206">
        <f t="shared" si="24"/>
        <v>8.98</v>
      </c>
      <c r="Q73" s="206">
        <f t="shared" si="25"/>
        <v>0</v>
      </c>
      <c r="R7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13574</v>
      </c>
      <c r="T7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13574</v>
      </c>
      <c r="U73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73" s="209">
        <f t="shared" si="26"/>
        <v>8.98</v>
      </c>
      <c r="W73" s="209">
        <f t="shared" si="27"/>
        <v>0</v>
      </c>
      <c r="X73" s="209">
        <f t="shared" si="28"/>
        <v>0</v>
      </c>
      <c r="Y73" s="209">
        <f t="shared" si="29"/>
        <v>0</v>
      </c>
      <c r="Z73" s="209">
        <f t="shared" si="30"/>
        <v>0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1.2229166666656965</v>
      </c>
      <c r="AE73" s="210">
        <f t="shared" si="35"/>
        <v>1.2229166666656965</v>
      </c>
      <c r="AF73" s="210">
        <f t="shared" si="36"/>
        <v>0</v>
      </c>
      <c r="AG73" s="210">
        <f t="shared" si="37"/>
        <v>0</v>
      </c>
    </row>
    <row r="74" spans="2:33" ht="15" customHeight="1" x14ac:dyDescent="0.3">
      <c r="B74" s="196" t="s">
        <v>7</v>
      </c>
      <c r="C74" s="197" t="s">
        <v>13</v>
      </c>
      <c r="D74" s="198" t="str">
        <f t="shared" si="19"/>
        <v>C</v>
      </c>
      <c r="E74" s="199">
        <v>44676.385416666664</v>
      </c>
      <c r="F74" s="200" t="s">
        <v>114</v>
      </c>
      <c r="G74" s="201">
        <v>1.0737399999999999</v>
      </c>
      <c r="H74" s="201">
        <v>1.0753200000000001</v>
      </c>
      <c r="I74" s="202">
        <f t="shared" si="20"/>
        <v>1.5800000000001369E-3</v>
      </c>
      <c r="J74" s="201">
        <v>1.0595600000000001</v>
      </c>
      <c r="K74" s="199">
        <v>44676.459722222222</v>
      </c>
      <c r="L74" s="201">
        <v>1.0743199999999999</v>
      </c>
      <c r="M74" s="203">
        <f t="shared" si="21"/>
        <v>-5.9999999999999995E-4</v>
      </c>
      <c r="N74" s="204">
        <f t="shared" si="22"/>
        <v>-0.38</v>
      </c>
      <c r="O74" s="205">
        <f t="shared" si="23"/>
        <v>0</v>
      </c>
      <c r="P74" s="206">
        <f t="shared" si="24"/>
        <v>0</v>
      </c>
      <c r="Q74" s="206">
        <f t="shared" si="25"/>
        <v>-0.38</v>
      </c>
      <c r="R7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12676</v>
      </c>
      <c r="T7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74" s="208">
        <f ca="1">IF(Tabla33610673484[[#This Row],[Equity]]&lt;Tabla33610673484[[#This Row],[Equity Peak]],(Tabla33610673484[[#This Row],[Equity Peak]]-Tabla33610673484[[#This Row],[Equity]])/Tabla33610673484[[#This Row],[Equity Peak]],"")</f>
        <v>2.7615833077631175E-2</v>
      </c>
      <c r="V74" s="209">
        <f t="shared" si="26"/>
        <v>-0.38</v>
      </c>
      <c r="W74" s="209">
        <f t="shared" si="27"/>
        <v>0</v>
      </c>
      <c r="X74" s="209">
        <f t="shared" si="28"/>
        <v>0</v>
      </c>
      <c r="Y74" s="209">
        <f t="shared" si="29"/>
        <v>0</v>
      </c>
      <c r="Z74" s="209">
        <f t="shared" si="30"/>
        <v>0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7.4305555557657499E-2</v>
      </c>
      <c r="AE74" s="210">
        <f t="shared" si="35"/>
        <v>0</v>
      </c>
      <c r="AF74" s="210">
        <f t="shared" si="36"/>
        <v>7.4305555557657499E-2</v>
      </c>
      <c r="AG74" s="210">
        <f t="shared" si="37"/>
        <v>0</v>
      </c>
    </row>
    <row r="75" spans="2:33" ht="15" customHeight="1" x14ac:dyDescent="0.3">
      <c r="B75" s="196" t="s">
        <v>7</v>
      </c>
      <c r="C75" s="197" t="s">
        <v>13</v>
      </c>
      <c r="D75" s="198" t="str">
        <f t="shared" si="19"/>
        <v>C</v>
      </c>
      <c r="E75" s="199">
        <v>44665.697916666664</v>
      </c>
      <c r="F75" s="200" t="s">
        <v>114</v>
      </c>
      <c r="G75" s="201">
        <v>1.07853</v>
      </c>
      <c r="H75" s="201">
        <v>1.0815900000000001</v>
      </c>
      <c r="I75" s="202">
        <f t="shared" si="20"/>
        <v>3.0600000000000627E-3</v>
      </c>
      <c r="J75" s="201">
        <v>1.0509999999999999</v>
      </c>
      <c r="K75" s="199">
        <v>44665.759027777778</v>
      </c>
      <c r="L75" s="201">
        <v>1.0815900000000001</v>
      </c>
      <c r="M75" s="203">
        <f t="shared" si="21"/>
        <v>-3.0999999999999999E-3</v>
      </c>
      <c r="N75" s="204">
        <f t="shared" si="22"/>
        <v>-1.01</v>
      </c>
      <c r="O75" s="205">
        <f t="shared" si="23"/>
        <v>0</v>
      </c>
      <c r="P75" s="206">
        <f t="shared" si="24"/>
        <v>0</v>
      </c>
      <c r="Q75" s="206">
        <f t="shared" si="25"/>
        <v>-1.01</v>
      </c>
      <c r="R7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12714</v>
      </c>
      <c r="T7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75" s="208">
        <f ca="1">IF(Tabla33610673484[[#This Row],[Equity]]&lt;Tabla33610673484[[#This Row],[Equity Peak]],(Tabla33610673484[[#This Row],[Equity Peak]]-Tabla33610673484[[#This Row],[Equity]])/Tabla33610673484[[#This Row],[Equity Peak]],"")</f>
        <v>2.4700828474992328E-2</v>
      </c>
      <c r="V75" s="209">
        <f t="shared" si="26"/>
        <v>-1.01</v>
      </c>
      <c r="W75" s="209">
        <f t="shared" si="27"/>
        <v>0</v>
      </c>
      <c r="X75" s="209">
        <f t="shared" si="28"/>
        <v>0</v>
      </c>
      <c r="Y75" s="209">
        <f t="shared" si="29"/>
        <v>0</v>
      </c>
      <c r="Z75" s="209">
        <f t="shared" si="30"/>
        <v>0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6.1111111113859806E-2</v>
      </c>
      <c r="AE75" s="210">
        <f t="shared" si="35"/>
        <v>0</v>
      </c>
      <c r="AF75" s="210">
        <f t="shared" si="36"/>
        <v>6.1111111113859806E-2</v>
      </c>
      <c r="AG75" s="210">
        <f t="shared" si="37"/>
        <v>0</v>
      </c>
    </row>
    <row r="76" spans="2:33" ht="15" customHeight="1" x14ac:dyDescent="0.3">
      <c r="B76" s="196" t="s">
        <v>7</v>
      </c>
      <c r="C76" s="197" t="s">
        <v>13</v>
      </c>
      <c r="D76" s="198" t="str">
        <f t="shared" si="19"/>
        <v>C</v>
      </c>
      <c r="E76" s="199">
        <v>44663.822916666664</v>
      </c>
      <c r="F76" s="200" t="s">
        <v>114</v>
      </c>
      <c r="G76" s="201">
        <v>1.08348</v>
      </c>
      <c r="H76" s="201">
        <v>1.0861099999999999</v>
      </c>
      <c r="I76" s="202">
        <f t="shared" si="20"/>
        <v>2.6299999999999102E-3</v>
      </c>
      <c r="J76" s="201">
        <v>1.05985</v>
      </c>
      <c r="K76" s="199">
        <v>44664.208333333336</v>
      </c>
      <c r="L76" s="201">
        <v>1.08317</v>
      </c>
      <c r="M76" s="203">
        <f t="shared" si="21"/>
        <v>2.9999999999999997E-4</v>
      </c>
      <c r="N76" s="204">
        <f t="shared" si="22"/>
        <v>0.11</v>
      </c>
      <c r="O76" s="205">
        <f t="shared" si="23"/>
        <v>0</v>
      </c>
      <c r="P76" s="206">
        <f t="shared" si="24"/>
        <v>0.11</v>
      </c>
      <c r="Q76" s="206">
        <f t="shared" si="25"/>
        <v>0</v>
      </c>
      <c r="R7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12815</v>
      </c>
      <c r="T7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76" s="208">
        <f ca="1">IF(Tabla33610673484[[#This Row],[Equity]]&lt;Tabla33610673484[[#This Row],[Equity Peak]],(Tabla33610673484[[#This Row],[Equity Peak]]-Tabla33610673484[[#This Row],[Equity]])/Tabla33610673484[[#This Row],[Equity Peak]],"")</f>
        <v>1.6953053083768026E-2</v>
      </c>
      <c r="V76" s="209">
        <f t="shared" si="26"/>
        <v>0.11</v>
      </c>
      <c r="W76" s="209">
        <f t="shared" si="27"/>
        <v>0</v>
      </c>
      <c r="X76" s="209">
        <f t="shared" si="28"/>
        <v>0</v>
      </c>
      <c r="Y76" s="209">
        <f t="shared" si="29"/>
        <v>0</v>
      </c>
      <c r="Z76" s="209">
        <f t="shared" si="30"/>
        <v>0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0.38541666667151731</v>
      </c>
      <c r="AE76" s="210">
        <f t="shared" si="35"/>
        <v>0.38541666667151731</v>
      </c>
      <c r="AF76" s="210">
        <f t="shared" si="36"/>
        <v>0</v>
      </c>
      <c r="AG76" s="210">
        <f t="shared" si="37"/>
        <v>0</v>
      </c>
    </row>
    <row r="77" spans="2:33" ht="15" customHeight="1" x14ac:dyDescent="0.3">
      <c r="B77" s="196" t="s">
        <v>7</v>
      </c>
      <c r="C77" s="197" t="s">
        <v>13</v>
      </c>
      <c r="D77" s="198" t="str">
        <f t="shared" si="19"/>
        <v>C</v>
      </c>
      <c r="E77" s="199">
        <v>44659.6875</v>
      </c>
      <c r="F77" s="200" t="s">
        <v>114</v>
      </c>
      <c r="G77" s="201">
        <v>1.08416</v>
      </c>
      <c r="H77" s="201">
        <v>1.08605</v>
      </c>
      <c r="I77" s="202">
        <f t="shared" si="20"/>
        <v>1.8899999999999473E-3</v>
      </c>
      <c r="J77" s="201">
        <v>1.0671299999999999</v>
      </c>
      <c r="K77" s="199">
        <v>44659.740972222222</v>
      </c>
      <c r="L77" s="201">
        <v>1.08605</v>
      </c>
      <c r="M77" s="203">
        <f t="shared" si="21"/>
        <v>-1.9E-3</v>
      </c>
      <c r="N77" s="204">
        <f t="shared" si="22"/>
        <v>-1.01</v>
      </c>
      <c r="O77" s="205">
        <f t="shared" si="23"/>
        <v>0</v>
      </c>
      <c r="P77" s="206">
        <f t="shared" si="24"/>
        <v>0</v>
      </c>
      <c r="Q77" s="206">
        <f t="shared" si="25"/>
        <v>-1.01</v>
      </c>
      <c r="R7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12804</v>
      </c>
      <c r="T7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77" s="208">
        <f ca="1">IF(Tabla33610673484[[#This Row],[Equity]]&lt;Tabla33610673484[[#This Row],[Equity Peak]],(Tabla33610673484[[#This Row],[Equity Peak]]-Tabla33610673484[[#This Row],[Equity]])/Tabla33610673484[[#This Row],[Equity Peak]],"")</f>
        <v>1.7796870205584535E-2</v>
      </c>
      <c r="V77" s="209">
        <f t="shared" si="26"/>
        <v>-1.01</v>
      </c>
      <c r="W77" s="209">
        <f t="shared" si="27"/>
        <v>0</v>
      </c>
      <c r="X77" s="209">
        <f t="shared" si="28"/>
        <v>0</v>
      </c>
      <c r="Y77" s="209">
        <f t="shared" si="29"/>
        <v>0</v>
      </c>
      <c r="Z77" s="209">
        <f t="shared" si="30"/>
        <v>0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5.3472222221898846E-2</v>
      </c>
      <c r="AE77" s="210">
        <f t="shared" si="35"/>
        <v>0</v>
      </c>
      <c r="AF77" s="210">
        <f t="shared" si="36"/>
        <v>5.3472222221898846E-2</v>
      </c>
      <c r="AG77" s="210">
        <f t="shared" si="37"/>
        <v>0</v>
      </c>
    </row>
    <row r="78" spans="2:33" ht="15" customHeight="1" x14ac:dyDescent="0.3">
      <c r="B78" s="196" t="s">
        <v>7</v>
      </c>
      <c r="C78" s="197" t="s">
        <v>13</v>
      </c>
      <c r="D78" s="198" t="str">
        <f t="shared" si="19"/>
        <v>C</v>
      </c>
      <c r="E78" s="199">
        <v>44659.125</v>
      </c>
      <c r="F78" s="200" t="s">
        <v>114</v>
      </c>
      <c r="G78" s="201">
        <v>1.08649</v>
      </c>
      <c r="H78" s="201">
        <v>1.0873900000000001</v>
      </c>
      <c r="I78" s="202">
        <f t="shared" si="20"/>
        <v>9.0000000000012292E-4</v>
      </c>
      <c r="J78" s="201">
        <v>1.0783700000000001</v>
      </c>
      <c r="K78" s="199">
        <v>44659.459027777775</v>
      </c>
      <c r="L78" s="201">
        <v>1.0867899999999999</v>
      </c>
      <c r="M78" s="203">
        <f t="shared" si="21"/>
        <v>-2.9999999999999997E-4</v>
      </c>
      <c r="N78" s="204">
        <f t="shared" si="22"/>
        <v>-0.33</v>
      </c>
      <c r="O78" s="205">
        <f t="shared" si="23"/>
        <v>0</v>
      </c>
      <c r="P78" s="206">
        <f t="shared" si="24"/>
        <v>0</v>
      </c>
      <c r="Q78" s="206">
        <f t="shared" si="25"/>
        <v>-0.33</v>
      </c>
      <c r="R7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12905</v>
      </c>
      <c r="T7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78" s="208">
        <f ca="1">IF(Tabla33610673484[[#This Row],[Equity]]&lt;Tabla33610673484[[#This Row],[Equity Peak]],(Tabla33610673484[[#This Row],[Equity Peak]]-Tabla33610673484[[#This Row],[Equity]])/Tabla33610673484[[#This Row],[Equity Peak]],"")</f>
        <v>1.0049094814360233E-2</v>
      </c>
      <c r="V78" s="209">
        <f t="shared" si="26"/>
        <v>-0.33</v>
      </c>
      <c r="W78" s="209">
        <f t="shared" si="27"/>
        <v>0</v>
      </c>
      <c r="X78" s="209">
        <f t="shared" si="28"/>
        <v>0</v>
      </c>
      <c r="Y78" s="209">
        <f t="shared" si="29"/>
        <v>0</v>
      </c>
      <c r="Z78" s="209">
        <f t="shared" si="30"/>
        <v>0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0.33402777777519077</v>
      </c>
      <c r="AE78" s="210">
        <f t="shared" si="35"/>
        <v>0</v>
      </c>
      <c r="AF78" s="210">
        <f t="shared" si="36"/>
        <v>0.33402777777519077</v>
      </c>
      <c r="AG78" s="210">
        <f t="shared" si="37"/>
        <v>0</v>
      </c>
    </row>
    <row r="79" spans="2:33" ht="15" customHeight="1" x14ac:dyDescent="0.3">
      <c r="B79" s="196" t="s">
        <v>7</v>
      </c>
      <c r="C79" s="197" t="s">
        <v>13</v>
      </c>
      <c r="D79" s="198" t="str">
        <f t="shared" si="19"/>
        <v>C</v>
      </c>
      <c r="E79" s="199">
        <v>44658.520833333336</v>
      </c>
      <c r="F79" s="200" t="s">
        <v>114</v>
      </c>
      <c r="G79" s="201">
        <v>1.08725</v>
      </c>
      <c r="H79" s="201">
        <v>1.0888800000000001</v>
      </c>
      <c r="I79" s="202">
        <f t="shared" si="20"/>
        <v>1.6300000000000203E-3</v>
      </c>
      <c r="J79" s="201">
        <v>1.0725899999999999</v>
      </c>
      <c r="K79" s="199">
        <v>44658.529166666667</v>
      </c>
      <c r="L79" s="201">
        <v>1.0888800000000001</v>
      </c>
      <c r="M79" s="203">
        <f t="shared" si="21"/>
        <v>-1.6000000000000001E-3</v>
      </c>
      <c r="N79" s="204">
        <f t="shared" si="22"/>
        <v>-0.98</v>
      </c>
      <c r="O79" s="205">
        <f t="shared" si="23"/>
        <v>0</v>
      </c>
      <c r="P79" s="206">
        <f t="shared" si="24"/>
        <v>0</v>
      </c>
      <c r="Q79" s="206">
        <f t="shared" si="25"/>
        <v>-0.98</v>
      </c>
      <c r="R7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7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12938</v>
      </c>
      <c r="T7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79" s="208">
        <f ca="1">IF(Tabla33610673484[[#This Row],[Equity]]&lt;Tabla33610673484[[#This Row],[Equity Peak]],(Tabla33610673484[[#This Row],[Equity Peak]]-Tabla33610673484[[#This Row],[Equity]])/Tabla33610673484[[#This Row],[Equity Peak]],"")</f>
        <v>7.517643448910709E-3</v>
      </c>
      <c r="V79" s="209">
        <f t="shared" si="26"/>
        <v>-0.98</v>
      </c>
      <c r="W79" s="209">
        <f t="shared" si="27"/>
        <v>0</v>
      </c>
      <c r="X79" s="209">
        <f t="shared" si="28"/>
        <v>0</v>
      </c>
      <c r="Y79" s="209">
        <f t="shared" si="29"/>
        <v>0</v>
      </c>
      <c r="Z79" s="209">
        <f t="shared" si="30"/>
        <v>0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8.333333331393078E-3</v>
      </c>
      <c r="AE79" s="210">
        <f t="shared" si="35"/>
        <v>0</v>
      </c>
      <c r="AF79" s="210">
        <f t="shared" si="36"/>
        <v>8.333333331393078E-3</v>
      </c>
      <c r="AG79" s="210">
        <f t="shared" si="37"/>
        <v>0</v>
      </c>
    </row>
    <row r="80" spans="2:33" ht="15" customHeight="1" x14ac:dyDescent="0.3">
      <c r="B80" s="196" t="s">
        <v>7</v>
      </c>
      <c r="C80" s="197" t="s">
        <v>13</v>
      </c>
      <c r="D80" s="198" t="str">
        <f t="shared" si="19"/>
        <v>C</v>
      </c>
      <c r="E80" s="199">
        <v>44656.71875</v>
      </c>
      <c r="F80" s="200" t="s">
        <v>114</v>
      </c>
      <c r="G80" s="201">
        <v>1.0951900000000001</v>
      </c>
      <c r="H80" s="201">
        <v>1.09693</v>
      </c>
      <c r="I80" s="202">
        <f t="shared" si="20"/>
        <v>1.7399999999998528E-3</v>
      </c>
      <c r="J80" s="201">
        <v>1.0794999999999999</v>
      </c>
      <c r="K80" s="199">
        <v>44657.475694444445</v>
      </c>
      <c r="L80" s="201">
        <v>1.0903400000000001</v>
      </c>
      <c r="M80" s="203">
        <f t="shared" si="21"/>
        <v>4.8999999999999998E-3</v>
      </c>
      <c r="N80" s="204">
        <f t="shared" si="22"/>
        <v>2.82</v>
      </c>
      <c r="O80" s="205">
        <f t="shared" si="23"/>
        <v>0</v>
      </c>
      <c r="P80" s="206">
        <f t="shared" si="24"/>
        <v>2.82</v>
      </c>
      <c r="Q80" s="206">
        <f t="shared" si="25"/>
        <v>0</v>
      </c>
      <c r="R8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13036</v>
      </c>
      <c r="T8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13036</v>
      </c>
      <c r="U80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80" s="209">
        <f t="shared" si="26"/>
        <v>2.82</v>
      </c>
      <c r="W80" s="209">
        <f t="shared" si="27"/>
        <v>0</v>
      </c>
      <c r="X80" s="209">
        <f t="shared" si="28"/>
        <v>0</v>
      </c>
      <c r="Y80" s="209">
        <f t="shared" si="29"/>
        <v>0</v>
      </c>
      <c r="Z80" s="209">
        <f t="shared" si="30"/>
        <v>0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0.75694444444525288</v>
      </c>
      <c r="AE80" s="210">
        <f t="shared" si="35"/>
        <v>0.75694444444525288</v>
      </c>
      <c r="AF80" s="210">
        <f t="shared" si="36"/>
        <v>0</v>
      </c>
      <c r="AG80" s="210">
        <f t="shared" si="37"/>
        <v>0</v>
      </c>
    </row>
    <row r="81" spans="2:33" ht="15" customHeight="1" x14ac:dyDescent="0.3">
      <c r="B81" s="196" t="s">
        <v>7</v>
      </c>
      <c r="C81" s="197" t="s">
        <v>13</v>
      </c>
      <c r="D81" s="198" t="str">
        <f t="shared" si="19"/>
        <v>C</v>
      </c>
      <c r="E81" s="199">
        <v>44656.572916666664</v>
      </c>
      <c r="F81" s="200" t="s">
        <v>114</v>
      </c>
      <c r="G81" s="201">
        <v>1.0958399999999999</v>
      </c>
      <c r="H81" s="201">
        <v>1.09758</v>
      </c>
      <c r="I81" s="202">
        <f t="shared" si="20"/>
        <v>1.7400000000000748E-3</v>
      </c>
      <c r="J81" s="201">
        <v>1.0801799999999999</v>
      </c>
      <c r="K81" s="199">
        <v>44656.592361111114</v>
      </c>
      <c r="L81" s="201">
        <v>1.09758</v>
      </c>
      <c r="M81" s="203">
        <f t="shared" si="21"/>
        <v>-1.6999999999999999E-3</v>
      </c>
      <c r="N81" s="204">
        <f t="shared" si="22"/>
        <v>-0.98</v>
      </c>
      <c r="O81" s="205">
        <f t="shared" si="23"/>
        <v>0</v>
      </c>
      <c r="P81" s="206">
        <f t="shared" si="24"/>
        <v>0</v>
      </c>
      <c r="Q81" s="206">
        <f t="shared" si="25"/>
        <v>-0.98</v>
      </c>
      <c r="R8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12754</v>
      </c>
      <c r="T8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12852</v>
      </c>
      <c r="U81" s="208">
        <f ca="1">IF(Tabla33610673484[[#This Row],[Equity]]&lt;Tabla33610673484[[#This Row],[Equity Peak]],(Tabla33610673484[[#This Row],[Equity Peak]]-Tabla33610673484[[#This Row],[Equity]])/Tabla33610673484[[#This Row],[Equity Peak]],"")</f>
        <v>7.6252723311546842E-3</v>
      </c>
      <c r="V81" s="209">
        <f t="shared" si="26"/>
        <v>-0.98</v>
      </c>
      <c r="W81" s="209">
        <f t="shared" si="27"/>
        <v>0</v>
      </c>
      <c r="X81" s="209">
        <f t="shared" si="28"/>
        <v>0</v>
      </c>
      <c r="Y81" s="209">
        <f t="shared" si="29"/>
        <v>0</v>
      </c>
      <c r="Z81" s="209">
        <f t="shared" si="30"/>
        <v>0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1.9444444449618459E-2</v>
      </c>
      <c r="AE81" s="210">
        <f t="shared" si="35"/>
        <v>0</v>
      </c>
      <c r="AF81" s="210">
        <f t="shared" si="36"/>
        <v>1.9444444449618459E-2</v>
      </c>
      <c r="AG81" s="210">
        <f t="shared" si="37"/>
        <v>0</v>
      </c>
    </row>
    <row r="82" spans="2:33" ht="15" customHeight="1" x14ac:dyDescent="0.3">
      <c r="B82" s="196" t="s">
        <v>7</v>
      </c>
      <c r="C82" s="197" t="s">
        <v>15</v>
      </c>
      <c r="D82" s="198" t="str">
        <f t="shared" si="19"/>
        <v>C</v>
      </c>
      <c r="E82" s="199">
        <v>44649.5625</v>
      </c>
      <c r="F82" s="200" t="s">
        <v>114</v>
      </c>
      <c r="G82" s="201">
        <v>1.10511</v>
      </c>
      <c r="H82" s="201">
        <v>1.1025100000000001</v>
      </c>
      <c r="I82" s="202">
        <f t="shared" si="20"/>
        <v>2.5999999999999357E-3</v>
      </c>
      <c r="J82" s="201">
        <v>1.1284799999999999</v>
      </c>
      <c r="K82" s="199">
        <v>44651.313888888886</v>
      </c>
      <c r="L82" s="201">
        <v>1.1158399999999999</v>
      </c>
      <c r="M82" s="203">
        <f t="shared" si="21"/>
        <v>1.0699999999999999E-2</v>
      </c>
      <c r="N82" s="204">
        <f t="shared" si="22"/>
        <v>4.12</v>
      </c>
      <c r="O82" s="205">
        <f t="shared" si="23"/>
        <v>0</v>
      </c>
      <c r="P82" s="206">
        <f t="shared" si="24"/>
        <v>4.12</v>
      </c>
      <c r="Q82" s="206">
        <f t="shared" si="25"/>
        <v>0</v>
      </c>
      <c r="R8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12852</v>
      </c>
      <c r="T8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12852</v>
      </c>
      <c r="U82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82" s="209">
        <f t="shared" si="26"/>
        <v>4.12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0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1.7513888888861402</v>
      </c>
      <c r="AE82" s="210">
        <f t="shared" si="35"/>
        <v>1.7513888888861402</v>
      </c>
      <c r="AF82" s="210">
        <f t="shared" si="36"/>
        <v>0</v>
      </c>
      <c r="AG82" s="210">
        <f t="shared" si="37"/>
        <v>0</v>
      </c>
    </row>
    <row r="83" spans="2:33" ht="15" customHeight="1" x14ac:dyDescent="0.3">
      <c r="B83" s="196" t="s">
        <v>7</v>
      </c>
      <c r="C83" s="197" t="s">
        <v>13</v>
      </c>
      <c r="D83" s="198" t="str">
        <f t="shared" si="19"/>
        <v>C</v>
      </c>
      <c r="E83" s="199">
        <v>44648.1875</v>
      </c>
      <c r="F83" s="200" t="s">
        <v>114</v>
      </c>
      <c r="G83" s="201">
        <v>1.09595</v>
      </c>
      <c r="H83" s="201">
        <v>1.09683</v>
      </c>
      <c r="I83" s="202">
        <f t="shared" si="20"/>
        <v>8.799999999999919E-4</v>
      </c>
      <c r="J83" s="201">
        <v>1.0880700000000001</v>
      </c>
      <c r="K83" s="199">
        <v>44648.397916666669</v>
      </c>
      <c r="L83" s="201">
        <v>1.09615</v>
      </c>
      <c r="M83" s="203">
        <f t="shared" si="21"/>
        <v>-2.0000000000000001E-4</v>
      </c>
      <c r="N83" s="204">
        <f t="shared" si="22"/>
        <v>-0.23</v>
      </c>
      <c r="O83" s="205">
        <f t="shared" si="23"/>
        <v>0</v>
      </c>
      <c r="P83" s="206">
        <f t="shared" si="24"/>
        <v>0</v>
      </c>
      <c r="Q83" s="206">
        <f t="shared" si="25"/>
        <v>-0.23</v>
      </c>
      <c r="R8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12440</v>
      </c>
      <c r="T8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12562</v>
      </c>
      <c r="U83" s="208">
        <f ca="1">IF(Tabla33610673484[[#This Row],[Equity]]&lt;Tabla33610673484[[#This Row],[Equity Peak]],(Tabla33610673484[[#This Row],[Equity Peak]]-Tabla33610673484[[#This Row],[Equity]])/Tabla33610673484[[#This Row],[Equity Peak]],"")</f>
        <v>9.7118293265403607E-3</v>
      </c>
      <c r="V83" s="209">
        <f t="shared" si="26"/>
        <v>-0.23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0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0.21041666666860692</v>
      </c>
      <c r="AE83" s="210">
        <f t="shared" si="35"/>
        <v>0</v>
      </c>
      <c r="AF83" s="210">
        <f t="shared" si="36"/>
        <v>0.21041666666860692</v>
      </c>
      <c r="AG83" s="210">
        <f t="shared" si="37"/>
        <v>0</v>
      </c>
    </row>
    <row r="84" spans="2:33" ht="15" customHeight="1" x14ac:dyDescent="0.3">
      <c r="B84" s="196" t="s">
        <v>7</v>
      </c>
      <c r="C84" s="197" t="s">
        <v>15</v>
      </c>
      <c r="D84" s="198" t="str">
        <f t="shared" si="19"/>
        <v>C</v>
      </c>
      <c r="E84" s="199">
        <v>44637.833333333336</v>
      </c>
      <c r="F84" s="200" t="s">
        <v>114</v>
      </c>
      <c r="G84" s="201">
        <v>1.1131200000000001</v>
      </c>
      <c r="H84" s="201">
        <v>1.1108</v>
      </c>
      <c r="I84" s="202">
        <f t="shared" si="20"/>
        <v>2.3200000000000998E-3</v>
      </c>
      <c r="J84" s="201">
        <v>1.1339900000000001</v>
      </c>
      <c r="K84" s="199">
        <v>44637.894444444442</v>
      </c>
      <c r="L84" s="201">
        <v>1.1108</v>
      </c>
      <c r="M84" s="203">
        <f t="shared" si="21"/>
        <v>-2.3E-3</v>
      </c>
      <c r="N84" s="204">
        <f t="shared" si="22"/>
        <v>-0.99</v>
      </c>
      <c r="O84" s="205">
        <f t="shared" si="23"/>
        <v>0</v>
      </c>
      <c r="P84" s="206">
        <f t="shared" si="24"/>
        <v>0</v>
      </c>
      <c r="Q84" s="206">
        <f t="shared" si="25"/>
        <v>-0.99</v>
      </c>
      <c r="R8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12463</v>
      </c>
      <c r="T8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12562</v>
      </c>
      <c r="U84" s="208">
        <f ca="1">IF(Tabla33610673484[[#This Row],[Equity]]&lt;Tabla33610673484[[#This Row],[Equity Peak]],(Tabla33610673484[[#This Row],[Equity Peak]]-Tabla33610673484[[#This Row],[Equity]])/Tabla33610673484[[#This Row],[Equity Peak]],"")</f>
        <v>7.8809106830122592E-3</v>
      </c>
      <c r="V84" s="209">
        <f t="shared" si="26"/>
        <v>-0.99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0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6.1111111106583849E-2</v>
      </c>
      <c r="AE84" s="210">
        <f t="shared" si="35"/>
        <v>0</v>
      </c>
      <c r="AF84" s="210">
        <f t="shared" si="36"/>
        <v>6.1111111106583849E-2</v>
      </c>
      <c r="AG84" s="210">
        <f t="shared" si="37"/>
        <v>0</v>
      </c>
    </row>
    <row r="85" spans="2:33" ht="15" customHeight="1" x14ac:dyDescent="0.3">
      <c r="B85" s="196" t="s">
        <v>7</v>
      </c>
      <c r="C85" s="197" t="s">
        <v>13</v>
      </c>
      <c r="D85" s="198" t="str">
        <f t="shared" ref="D85:D101" si="38">IF(E85&lt;&gt;"",IF(K85&lt;&gt;"","C","O"),"")</f>
        <v>C</v>
      </c>
      <c r="E85" s="199">
        <v>44624.552083333336</v>
      </c>
      <c r="F85" s="200" t="s">
        <v>114</v>
      </c>
      <c r="G85" s="201">
        <v>1.09928</v>
      </c>
      <c r="H85" s="201">
        <v>1.1011299999999999</v>
      </c>
      <c r="I85" s="202">
        <f t="shared" ref="I85:I101" si="39">ABS(G85-H85)</f>
        <v>1.8499999999999073E-3</v>
      </c>
      <c r="J85" s="201">
        <v>1.08263</v>
      </c>
      <c r="K85" s="199">
        <v>44627.140972222223</v>
      </c>
      <c r="L85" s="201">
        <v>1.08263</v>
      </c>
      <c r="M85" s="203">
        <f t="shared" ref="M85:M101" si="40">ROUND(IF(C85="L",(L85-G85),(G85-L85)),4)</f>
        <v>1.67E-2</v>
      </c>
      <c r="N85" s="204">
        <f t="shared" ref="N85:N101" si="41">IFERROR(ROUND((M85/I85),2),"")</f>
        <v>9.0299999999999994</v>
      </c>
      <c r="O85" s="205">
        <f t="shared" ref="O85:O101" si="42">IF(D85="O",IF(N85&lt;0,N85,0),0)</f>
        <v>0</v>
      </c>
      <c r="P85" s="206">
        <f t="shared" ref="P85:P101" si="43">IF(N85&gt;= 0,N85,0)</f>
        <v>9.0299999999999994</v>
      </c>
      <c r="Q85" s="206">
        <f t="shared" ref="Q85:Q101" si="44">IF(N85&lt;0,N85,0)</f>
        <v>0</v>
      </c>
      <c r="R8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12562</v>
      </c>
      <c r="T8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12562</v>
      </c>
      <c r="U85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85" s="209">
        <f t="shared" ref="V85:V101" si="45">IF(B85="FX",N85,0)</f>
        <v>9.0299999999999994</v>
      </c>
      <c r="W85" s="209">
        <f t="shared" ref="W85:W101" si="46">IF(D85="O",IF(V85&lt;0,V85,0),0)</f>
        <v>0</v>
      </c>
      <c r="X85" s="209">
        <f t="shared" ref="X85:X101" si="47">IF(B85="COM",N85,0)</f>
        <v>0</v>
      </c>
      <c r="Y85" s="209">
        <f t="shared" ref="Y85:Y101" si="48">IF(D85="O",IF(X85&lt;0,X85,0),0)</f>
        <v>0</v>
      </c>
      <c r="Z85" s="209">
        <f t="shared" ref="Z85:Z101" si="49">IF(B85="IND",N85,0)</f>
        <v>0</v>
      </c>
      <c r="AA85" s="205">
        <f t="shared" ref="AA85:AA101" si="50">IF(D85="O",IF(Z85&lt;0,Z85,0),0)</f>
        <v>0</v>
      </c>
      <c r="AB85" s="209">
        <f t="shared" ref="AB85:AB101" si="51">IF(B85="CRYPTO",N85,0)</f>
        <v>0</v>
      </c>
      <c r="AC85" s="205">
        <f t="shared" ref="AC85:AC101" si="52">IF(D85="O",IF(AB85&lt;0,AB85,0),0)</f>
        <v>0</v>
      </c>
      <c r="AD85" s="210">
        <f t="shared" ref="AD85:AD101" si="53">IF(K85&lt;&gt;"",K85-E85,0)</f>
        <v>2.5888888888875954</v>
      </c>
      <c r="AE85" s="210">
        <f t="shared" ref="AE85:AE101" si="54">IF(N85&gt;0,AD85,0)</f>
        <v>2.5888888888875954</v>
      </c>
      <c r="AF85" s="210">
        <f t="shared" ref="AF85:AF101" si="55">IF(N85&lt;0,AD85,0)</f>
        <v>0</v>
      </c>
      <c r="AG85" s="210">
        <f t="shared" ref="AG85:AG101" si="56">IF(N85=0,AD85,0)</f>
        <v>0</v>
      </c>
    </row>
    <row r="86" spans="2:33" ht="15" customHeight="1" x14ac:dyDescent="0.3">
      <c r="B86" s="196" t="s">
        <v>7</v>
      </c>
      <c r="C86" s="197" t="s">
        <v>13</v>
      </c>
      <c r="D86" s="198" t="str">
        <f t="shared" si="38"/>
        <v>C</v>
      </c>
      <c r="E86" s="199">
        <v>44624.104166666664</v>
      </c>
      <c r="F86" s="200" t="s">
        <v>114</v>
      </c>
      <c r="G86" s="201">
        <v>1.1030599999999999</v>
      </c>
      <c r="H86" s="201">
        <v>1.1041799999999999</v>
      </c>
      <c r="I86" s="202">
        <f t="shared" si="39"/>
        <v>1.1200000000000099E-3</v>
      </c>
      <c r="J86" s="201">
        <v>1.0929599999999999</v>
      </c>
      <c r="K86" s="199">
        <v>44624.159722222219</v>
      </c>
      <c r="L86" s="201">
        <v>1.1032599999999999</v>
      </c>
      <c r="M86" s="203">
        <f t="shared" si="40"/>
        <v>-2.0000000000000001E-4</v>
      </c>
      <c r="N86" s="204">
        <f t="shared" si="41"/>
        <v>-0.18</v>
      </c>
      <c r="O86" s="205">
        <f t="shared" si="42"/>
        <v>0</v>
      </c>
      <c r="P86" s="206">
        <f t="shared" si="43"/>
        <v>0</v>
      </c>
      <c r="Q86" s="206">
        <f t="shared" si="44"/>
        <v>-0.18</v>
      </c>
      <c r="R8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11659</v>
      </c>
      <c r="T8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12078</v>
      </c>
      <c r="U86" s="208">
        <f ca="1">IF(Tabla33610673484[[#This Row],[Equity]]&lt;Tabla33610673484[[#This Row],[Equity Peak]],(Tabla33610673484[[#This Row],[Equity Peak]]-Tabla33610673484[[#This Row],[Equity]])/Tabla33610673484[[#This Row],[Equity Peak]],"")</f>
        <v>3.4691174035436333E-2</v>
      </c>
      <c r="V86" s="209">
        <f t="shared" si="45"/>
        <v>-0.18</v>
      </c>
      <c r="W86" s="209">
        <f t="shared" si="46"/>
        <v>0</v>
      </c>
      <c r="X86" s="209">
        <f t="shared" si="47"/>
        <v>0</v>
      </c>
      <c r="Y86" s="209">
        <f t="shared" si="48"/>
        <v>0</v>
      </c>
      <c r="Z86" s="209">
        <f t="shared" si="49"/>
        <v>0</v>
      </c>
      <c r="AA86" s="205">
        <f t="shared" si="50"/>
        <v>0</v>
      </c>
      <c r="AB86" s="209">
        <f t="shared" si="51"/>
        <v>0</v>
      </c>
      <c r="AC86" s="205">
        <f t="shared" si="52"/>
        <v>0</v>
      </c>
      <c r="AD86" s="210">
        <f t="shared" si="53"/>
        <v>5.5555555554747116E-2</v>
      </c>
      <c r="AE86" s="210">
        <f t="shared" si="54"/>
        <v>0</v>
      </c>
      <c r="AF86" s="210">
        <f t="shared" si="55"/>
        <v>5.5555555554747116E-2</v>
      </c>
      <c r="AG86" s="210">
        <f t="shared" si="56"/>
        <v>0</v>
      </c>
    </row>
    <row r="87" spans="2:33" ht="15" customHeight="1" x14ac:dyDescent="0.3">
      <c r="B87" s="196" t="s">
        <v>7</v>
      </c>
      <c r="C87" s="197" t="s">
        <v>13</v>
      </c>
      <c r="D87" s="198" t="str">
        <f t="shared" si="38"/>
        <v>C</v>
      </c>
      <c r="E87" s="199">
        <v>44623.760416666664</v>
      </c>
      <c r="F87" s="200" t="s">
        <v>114</v>
      </c>
      <c r="G87" s="201">
        <v>1.1039300000000001</v>
      </c>
      <c r="H87" s="201">
        <v>1.10629</v>
      </c>
      <c r="I87" s="202">
        <f t="shared" si="39"/>
        <v>2.3599999999999177E-3</v>
      </c>
      <c r="J87" s="201">
        <v>1.0827100000000001</v>
      </c>
      <c r="K87" s="199">
        <v>44623.814583333333</v>
      </c>
      <c r="L87" s="201">
        <v>1.10629</v>
      </c>
      <c r="M87" s="203">
        <f t="shared" si="40"/>
        <v>-2.3999999999999998E-3</v>
      </c>
      <c r="N87" s="204">
        <f t="shared" si="41"/>
        <v>-1.02</v>
      </c>
      <c r="O87" s="205">
        <f t="shared" si="42"/>
        <v>0</v>
      </c>
      <c r="P87" s="206">
        <f t="shared" si="43"/>
        <v>0</v>
      </c>
      <c r="Q87" s="206">
        <f t="shared" si="44"/>
        <v>-1.02</v>
      </c>
      <c r="R8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11677</v>
      </c>
      <c r="T8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12078</v>
      </c>
      <c r="U87" s="208">
        <f ca="1">IF(Tabla33610673484[[#This Row],[Equity]]&lt;Tabla33610673484[[#This Row],[Equity Peak]],(Tabla33610673484[[#This Row],[Equity Peak]]-Tabla33610673484[[#This Row],[Equity]])/Tabla33610673484[[#This Row],[Equity Peak]],"")</f>
        <v>3.3200861069713532E-2</v>
      </c>
      <c r="V87" s="209">
        <f t="shared" si="45"/>
        <v>-1.02</v>
      </c>
      <c r="W87" s="209">
        <f t="shared" si="46"/>
        <v>0</v>
      </c>
      <c r="X87" s="209">
        <f t="shared" si="47"/>
        <v>0</v>
      </c>
      <c r="Y87" s="209">
        <f t="shared" si="48"/>
        <v>0</v>
      </c>
      <c r="Z87" s="209">
        <f t="shared" si="49"/>
        <v>0</v>
      </c>
      <c r="AA87" s="205">
        <f t="shared" si="50"/>
        <v>0</v>
      </c>
      <c r="AB87" s="209">
        <f t="shared" si="51"/>
        <v>0</v>
      </c>
      <c r="AC87" s="205">
        <f t="shared" si="52"/>
        <v>0</v>
      </c>
      <c r="AD87" s="210">
        <f t="shared" si="53"/>
        <v>5.4166666668606922E-2</v>
      </c>
      <c r="AE87" s="210">
        <f t="shared" si="54"/>
        <v>0</v>
      </c>
      <c r="AF87" s="210">
        <f t="shared" si="55"/>
        <v>5.4166666668606922E-2</v>
      </c>
      <c r="AG87" s="210">
        <f t="shared" si="56"/>
        <v>0</v>
      </c>
    </row>
    <row r="88" spans="2:33" ht="15" customHeight="1" x14ac:dyDescent="0.3">
      <c r="B88" s="196" t="s">
        <v>7</v>
      </c>
      <c r="C88" s="197" t="s">
        <v>13</v>
      </c>
      <c r="D88" s="198" t="str">
        <f t="shared" si="38"/>
        <v>C</v>
      </c>
      <c r="E88" s="199">
        <v>44622.46875</v>
      </c>
      <c r="F88" s="200" t="s">
        <v>114</v>
      </c>
      <c r="G88" s="201">
        <v>1.10656</v>
      </c>
      <c r="H88" s="201">
        <v>1.10877</v>
      </c>
      <c r="I88" s="202">
        <f t="shared" si="39"/>
        <v>2.2100000000000453E-3</v>
      </c>
      <c r="J88" s="201">
        <v>1.08663</v>
      </c>
      <c r="K88" s="199">
        <v>44622.481249999997</v>
      </c>
      <c r="L88" s="201">
        <v>1.10877</v>
      </c>
      <c r="M88" s="203">
        <f t="shared" si="40"/>
        <v>-2.2000000000000001E-3</v>
      </c>
      <c r="N88" s="204">
        <f t="shared" si="41"/>
        <v>-1</v>
      </c>
      <c r="O88" s="205">
        <f t="shared" si="42"/>
        <v>0</v>
      </c>
      <c r="P88" s="206">
        <f t="shared" si="43"/>
        <v>0</v>
      </c>
      <c r="Q88" s="206">
        <f t="shared" si="44"/>
        <v>-1</v>
      </c>
      <c r="R8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11779</v>
      </c>
      <c r="T8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12078</v>
      </c>
      <c r="U88" s="208">
        <f ca="1">IF(Tabla33610673484[[#This Row],[Equity]]&lt;Tabla33610673484[[#This Row],[Equity Peak]],(Tabla33610673484[[#This Row],[Equity Peak]]-Tabla33610673484[[#This Row],[Equity]])/Tabla33610673484[[#This Row],[Equity Peak]],"")</f>
        <v>2.4755754263950984E-2</v>
      </c>
      <c r="V88" s="209">
        <f t="shared" si="45"/>
        <v>-1</v>
      </c>
      <c r="W88" s="209">
        <f t="shared" si="46"/>
        <v>0</v>
      </c>
      <c r="X88" s="209">
        <f t="shared" si="47"/>
        <v>0</v>
      </c>
      <c r="Y88" s="209">
        <f t="shared" si="48"/>
        <v>0</v>
      </c>
      <c r="Z88" s="209">
        <f t="shared" si="49"/>
        <v>0</v>
      </c>
      <c r="AA88" s="205">
        <f t="shared" si="50"/>
        <v>0</v>
      </c>
      <c r="AB88" s="209">
        <f t="shared" si="51"/>
        <v>0</v>
      </c>
      <c r="AC88" s="205">
        <f t="shared" si="52"/>
        <v>0</v>
      </c>
      <c r="AD88" s="210">
        <f t="shared" si="53"/>
        <v>1.2499999997089617E-2</v>
      </c>
      <c r="AE88" s="210">
        <f t="shared" si="54"/>
        <v>0</v>
      </c>
      <c r="AF88" s="210">
        <f t="shared" si="55"/>
        <v>1.2499999997089617E-2</v>
      </c>
      <c r="AG88" s="210">
        <f t="shared" si="56"/>
        <v>0</v>
      </c>
    </row>
    <row r="89" spans="2:33" ht="15" customHeight="1" x14ac:dyDescent="0.3">
      <c r="B89" s="196" t="s">
        <v>7</v>
      </c>
      <c r="C89" s="197" t="s">
        <v>13</v>
      </c>
      <c r="D89" s="198" t="str">
        <f t="shared" si="38"/>
        <v>C</v>
      </c>
      <c r="E89" s="199">
        <v>44622.427083333336</v>
      </c>
      <c r="F89" s="200" t="s">
        <v>114</v>
      </c>
      <c r="G89" s="201">
        <v>1.1082799999999999</v>
      </c>
      <c r="H89" s="201">
        <v>1.1100099999999999</v>
      </c>
      <c r="I89" s="202">
        <f t="shared" si="39"/>
        <v>1.7300000000000093E-3</v>
      </c>
      <c r="J89" s="201">
        <v>1.0927100000000001</v>
      </c>
      <c r="K89" s="199">
        <v>44622.4375</v>
      </c>
      <c r="L89" s="201">
        <v>1.1100099999999999</v>
      </c>
      <c r="M89" s="203">
        <f t="shared" si="40"/>
        <v>-1.6999999999999999E-3</v>
      </c>
      <c r="N89" s="204">
        <f t="shared" si="41"/>
        <v>-0.98</v>
      </c>
      <c r="O89" s="205">
        <f t="shared" si="42"/>
        <v>0</v>
      </c>
      <c r="P89" s="206">
        <f t="shared" si="43"/>
        <v>0</v>
      </c>
      <c r="Q89" s="206">
        <f t="shared" si="44"/>
        <v>-0.98</v>
      </c>
      <c r="R8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8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11879</v>
      </c>
      <c r="T8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12078</v>
      </c>
      <c r="U89" s="208">
        <f ca="1">IF(Tabla33610673484[[#This Row],[Equity]]&lt;Tabla33610673484[[#This Row],[Equity Peak]],(Tabla33610673484[[#This Row],[Equity Peak]]-Tabla33610673484[[#This Row],[Equity]])/Tabla33610673484[[#This Row],[Equity Peak]],"")</f>
        <v>1.6476237787713198E-2</v>
      </c>
      <c r="V89" s="209">
        <f t="shared" si="45"/>
        <v>-0.98</v>
      </c>
      <c r="W89" s="209">
        <f t="shared" si="46"/>
        <v>0</v>
      </c>
      <c r="X89" s="209">
        <f t="shared" si="47"/>
        <v>0</v>
      </c>
      <c r="Y89" s="209">
        <f t="shared" si="48"/>
        <v>0</v>
      </c>
      <c r="Z89" s="209">
        <f t="shared" si="49"/>
        <v>0</v>
      </c>
      <c r="AA89" s="205">
        <f t="shared" si="50"/>
        <v>0</v>
      </c>
      <c r="AB89" s="209">
        <f t="shared" si="51"/>
        <v>0</v>
      </c>
      <c r="AC89" s="205">
        <f t="shared" si="52"/>
        <v>0</v>
      </c>
      <c r="AD89" s="210">
        <f t="shared" si="53"/>
        <v>1.0416666664241347E-2</v>
      </c>
      <c r="AE89" s="210">
        <f t="shared" si="54"/>
        <v>0</v>
      </c>
      <c r="AF89" s="210">
        <f t="shared" si="55"/>
        <v>1.0416666664241347E-2</v>
      </c>
      <c r="AG89" s="210">
        <f t="shared" si="56"/>
        <v>0</v>
      </c>
    </row>
    <row r="90" spans="2:33" ht="15" customHeight="1" x14ac:dyDescent="0.3">
      <c r="B90" s="196" t="s">
        <v>7</v>
      </c>
      <c r="C90" s="197" t="s">
        <v>13</v>
      </c>
      <c r="D90" s="198" t="str">
        <f t="shared" si="38"/>
        <v>C</v>
      </c>
      <c r="E90" s="199">
        <v>44621.78125</v>
      </c>
      <c r="F90" s="200" t="s">
        <v>114</v>
      </c>
      <c r="G90" s="201">
        <v>1.1106799999999999</v>
      </c>
      <c r="H90" s="201">
        <v>1.11355</v>
      </c>
      <c r="I90" s="202">
        <f t="shared" si="39"/>
        <v>2.8700000000001502E-3</v>
      </c>
      <c r="J90" s="201">
        <v>1.0848899999999999</v>
      </c>
      <c r="K90" s="199">
        <v>44621.959722222222</v>
      </c>
      <c r="L90" s="201">
        <v>1.11355</v>
      </c>
      <c r="M90" s="203">
        <f t="shared" si="40"/>
        <v>-2.8999999999999998E-3</v>
      </c>
      <c r="N90" s="204">
        <f t="shared" si="41"/>
        <v>-1.01</v>
      </c>
      <c r="O90" s="205">
        <f t="shared" si="42"/>
        <v>0</v>
      </c>
      <c r="P90" s="206">
        <f t="shared" si="43"/>
        <v>0</v>
      </c>
      <c r="Q90" s="206">
        <f t="shared" si="44"/>
        <v>-1.01</v>
      </c>
      <c r="R9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11977</v>
      </c>
      <c r="T9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12078</v>
      </c>
      <c r="U90" s="208">
        <f ca="1">IF(Tabla33610673484[[#This Row],[Equity]]&lt;Tabla33610673484[[#This Row],[Equity Peak]],(Tabla33610673484[[#This Row],[Equity Peak]]-Tabla33610673484[[#This Row],[Equity]])/Tabla33610673484[[#This Row],[Equity Peak]],"")</f>
        <v>8.3623116410001651E-3</v>
      </c>
      <c r="V90" s="209">
        <f t="shared" si="45"/>
        <v>-1.01</v>
      </c>
      <c r="W90" s="209">
        <f t="shared" si="46"/>
        <v>0</v>
      </c>
      <c r="X90" s="209">
        <f t="shared" si="47"/>
        <v>0</v>
      </c>
      <c r="Y90" s="209">
        <f t="shared" si="48"/>
        <v>0</v>
      </c>
      <c r="Z90" s="209">
        <f t="shared" si="49"/>
        <v>0</v>
      </c>
      <c r="AA90" s="205">
        <f t="shared" si="50"/>
        <v>0</v>
      </c>
      <c r="AB90" s="209">
        <f t="shared" si="51"/>
        <v>0</v>
      </c>
      <c r="AC90" s="205">
        <f t="shared" si="52"/>
        <v>0</v>
      </c>
      <c r="AD90" s="210">
        <f t="shared" si="53"/>
        <v>0.17847222222189885</v>
      </c>
      <c r="AE90" s="210">
        <f t="shared" si="54"/>
        <v>0</v>
      </c>
      <c r="AF90" s="210">
        <f t="shared" si="55"/>
        <v>0.17847222222189885</v>
      </c>
      <c r="AG90" s="210">
        <f t="shared" si="56"/>
        <v>0</v>
      </c>
    </row>
    <row r="91" spans="2:33" ht="15" customHeight="1" x14ac:dyDescent="0.3">
      <c r="B91" s="196" t="s">
        <v>7</v>
      </c>
      <c r="C91" s="197" t="s">
        <v>13</v>
      </c>
      <c r="D91" s="198" t="str">
        <f t="shared" si="38"/>
        <v>C</v>
      </c>
      <c r="E91" s="199">
        <v>44616.208333333336</v>
      </c>
      <c r="F91" s="200" t="s">
        <v>114</v>
      </c>
      <c r="G91" s="201">
        <v>1.1272899999999999</v>
      </c>
      <c r="H91" s="201">
        <v>1.1287400000000001</v>
      </c>
      <c r="I91" s="202">
        <f t="shared" si="39"/>
        <v>1.4500000000001734E-3</v>
      </c>
      <c r="J91" s="201">
        <v>1.1142000000000001</v>
      </c>
      <c r="K91" s="199">
        <v>44616.713888888888</v>
      </c>
      <c r="L91" s="201">
        <v>1.1142000000000001</v>
      </c>
      <c r="M91" s="203">
        <f t="shared" si="40"/>
        <v>1.3100000000000001E-2</v>
      </c>
      <c r="N91" s="204">
        <f t="shared" si="41"/>
        <v>9.0299999999999994</v>
      </c>
      <c r="O91" s="205">
        <f t="shared" si="42"/>
        <v>0</v>
      </c>
      <c r="P91" s="206">
        <f t="shared" si="43"/>
        <v>9.0299999999999994</v>
      </c>
      <c r="Q91" s="206">
        <f t="shared" si="44"/>
        <v>0</v>
      </c>
      <c r="R9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12078</v>
      </c>
      <c r="T9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12078</v>
      </c>
      <c r="U91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91" s="209">
        <f t="shared" si="45"/>
        <v>9.0299999999999994</v>
      </c>
      <c r="W91" s="209">
        <f t="shared" si="46"/>
        <v>0</v>
      </c>
      <c r="X91" s="209">
        <f t="shared" si="47"/>
        <v>0</v>
      </c>
      <c r="Y91" s="209">
        <f t="shared" si="48"/>
        <v>0</v>
      </c>
      <c r="Z91" s="209">
        <f t="shared" si="49"/>
        <v>0</v>
      </c>
      <c r="AA91" s="205">
        <f t="shared" si="50"/>
        <v>0</v>
      </c>
      <c r="AB91" s="209">
        <f t="shared" si="51"/>
        <v>0</v>
      </c>
      <c r="AC91" s="205">
        <f t="shared" si="52"/>
        <v>0</v>
      </c>
      <c r="AD91" s="210">
        <f t="shared" si="53"/>
        <v>0.50555555555183673</v>
      </c>
      <c r="AE91" s="210">
        <f t="shared" si="54"/>
        <v>0.50555555555183673</v>
      </c>
      <c r="AF91" s="210">
        <f t="shared" si="55"/>
        <v>0</v>
      </c>
      <c r="AG91" s="210">
        <f t="shared" si="56"/>
        <v>0</v>
      </c>
    </row>
    <row r="92" spans="2:33" ht="15" customHeight="1" x14ac:dyDescent="0.3">
      <c r="B92" s="196" t="s">
        <v>7</v>
      </c>
      <c r="C92" s="197" t="s">
        <v>13</v>
      </c>
      <c r="D92" s="198" t="str">
        <f t="shared" si="38"/>
        <v>C</v>
      </c>
      <c r="E92" s="199">
        <v>44616.125</v>
      </c>
      <c r="F92" s="200" t="s">
        <v>114</v>
      </c>
      <c r="G92" s="201">
        <v>1.12761</v>
      </c>
      <c r="H92" s="201">
        <v>1.1286799999999999</v>
      </c>
      <c r="I92" s="202">
        <f t="shared" si="39"/>
        <v>1.0699999999999044E-3</v>
      </c>
      <c r="J92" s="201">
        <v>1.1180099999999999</v>
      </c>
      <c r="K92" s="199">
        <v>44616.140972222223</v>
      </c>
      <c r="L92" s="201">
        <v>1.1286799999999999</v>
      </c>
      <c r="M92" s="203">
        <f t="shared" si="40"/>
        <v>-1.1000000000000001E-3</v>
      </c>
      <c r="N92" s="204">
        <f t="shared" si="41"/>
        <v>-1.03</v>
      </c>
      <c r="O92" s="205">
        <f t="shared" si="42"/>
        <v>0</v>
      </c>
      <c r="P92" s="206">
        <f t="shared" si="43"/>
        <v>0</v>
      </c>
      <c r="Q92" s="206">
        <f t="shared" si="44"/>
        <v>-1.03</v>
      </c>
      <c r="R9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11175</v>
      </c>
      <c r="T9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11278</v>
      </c>
      <c r="U92" s="208">
        <f ca="1">IF(Tabla33610673484[[#This Row],[Equity]]&lt;Tabla33610673484[[#This Row],[Equity Peak]],(Tabla33610673484[[#This Row],[Equity Peak]]-Tabla33610673484[[#This Row],[Equity]])/Tabla33610673484[[#This Row],[Equity Peak]],"")</f>
        <v>9.132824968966129E-3</v>
      </c>
      <c r="V92" s="209">
        <f t="shared" si="45"/>
        <v>-1.03</v>
      </c>
      <c r="W92" s="209">
        <f t="shared" si="46"/>
        <v>0</v>
      </c>
      <c r="X92" s="209">
        <f t="shared" si="47"/>
        <v>0</v>
      </c>
      <c r="Y92" s="209">
        <f t="shared" si="48"/>
        <v>0</v>
      </c>
      <c r="Z92" s="209">
        <f t="shared" si="49"/>
        <v>0</v>
      </c>
      <c r="AA92" s="205">
        <f t="shared" si="50"/>
        <v>0</v>
      </c>
      <c r="AB92" s="209">
        <f t="shared" si="51"/>
        <v>0</v>
      </c>
      <c r="AC92" s="205">
        <f t="shared" si="52"/>
        <v>0</v>
      </c>
      <c r="AD92" s="210">
        <f t="shared" si="53"/>
        <v>1.5972222223354038E-2</v>
      </c>
      <c r="AE92" s="210">
        <f t="shared" si="54"/>
        <v>0</v>
      </c>
      <c r="AF92" s="210">
        <f t="shared" si="55"/>
        <v>1.5972222223354038E-2</v>
      </c>
      <c r="AG92" s="210">
        <f t="shared" si="56"/>
        <v>0</v>
      </c>
    </row>
    <row r="93" spans="2:33" ht="15" customHeight="1" x14ac:dyDescent="0.3">
      <c r="B93" s="196" t="s">
        <v>7</v>
      </c>
      <c r="C93" s="197" t="s">
        <v>13</v>
      </c>
      <c r="D93" s="198" t="str">
        <f t="shared" si="38"/>
        <v>C</v>
      </c>
      <c r="E93" s="199">
        <v>44603.864583333336</v>
      </c>
      <c r="F93" s="200" t="s">
        <v>114</v>
      </c>
      <c r="G93" s="201">
        <v>1.1354900000000001</v>
      </c>
      <c r="H93" s="201">
        <v>1.1377699999999999</v>
      </c>
      <c r="I93" s="202">
        <f t="shared" si="39"/>
        <v>2.2799999999998377E-3</v>
      </c>
      <c r="J93" s="201">
        <v>1.11494</v>
      </c>
      <c r="K93" s="199">
        <v>44607.422222222223</v>
      </c>
      <c r="L93" s="201">
        <v>1.1329899999999999</v>
      </c>
      <c r="M93" s="203">
        <f t="shared" si="40"/>
        <v>2.5000000000000001E-3</v>
      </c>
      <c r="N93" s="204">
        <f t="shared" si="41"/>
        <v>1.1000000000000001</v>
      </c>
      <c r="O93" s="205">
        <f t="shared" si="42"/>
        <v>0</v>
      </c>
      <c r="P93" s="206">
        <f t="shared" si="43"/>
        <v>1.1000000000000001</v>
      </c>
      <c r="Q93" s="206">
        <f t="shared" si="44"/>
        <v>0</v>
      </c>
      <c r="R9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11278</v>
      </c>
      <c r="T9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11278</v>
      </c>
      <c r="U93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93" s="209">
        <f t="shared" si="45"/>
        <v>1.1000000000000001</v>
      </c>
      <c r="W93" s="209">
        <f t="shared" si="46"/>
        <v>0</v>
      </c>
      <c r="X93" s="209">
        <f t="shared" si="47"/>
        <v>0</v>
      </c>
      <c r="Y93" s="209">
        <f t="shared" si="48"/>
        <v>0</v>
      </c>
      <c r="Z93" s="209">
        <f t="shared" si="49"/>
        <v>0</v>
      </c>
      <c r="AA93" s="205">
        <f t="shared" si="50"/>
        <v>0</v>
      </c>
      <c r="AB93" s="209">
        <f t="shared" si="51"/>
        <v>0</v>
      </c>
      <c r="AC93" s="205">
        <f t="shared" si="52"/>
        <v>0</v>
      </c>
      <c r="AD93" s="210">
        <f t="shared" si="53"/>
        <v>3.5576388888875954</v>
      </c>
      <c r="AE93" s="210">
        <f t="shared" si="54"/>
        <v>3.5576388888875954</v>
      </c>
      <c r="AF93" s="210">
        <f t="shared" si="55"/>
        <v>0</v>
      </c>
      <c r="AG93" s="210">
        <f t="shared" si="56"/>
        <v>0</v>
      </c>
    </row>
    <row r="94" spans="2:33" ht="15" customHeight="1" x14ac:dyDescent="0.3">
      <c r="B94" s="196" t="s">
        <v>7</v>
      </c>
      <c r="C94" s="197" t="s">
        <v>15</v>
      </c>
      <c r="D94" s="198" t="str">
        <f t="shared" si="38"/>
        <v>C</v>
      </c>
      <c r="E94" s="199">
        <v>44595.65625</v>
      </c>
      <c r="F94" s="200" t="s">
        <v>114</v>
      </c>
      <c r="G94" s="201">
        <v>1.13375</v>
      </c>
      <c r="H94" s="201">
        <v>1.1315900000000001</v>
      </c>
      <c r="I94" s="202">
        <f t="shared" si="39"/>
        <v>2.1599999999999397E-3</v>
      </c>
      <c r="J94" s="201">
        <v>1.1531899999999999</v>
      </c>
      <c r="K94" s="199">
        <v>44596.427083333336</v>
      </c>
      <c r="L94" s="201">
        <v>1.1441300000000001</v>
      </c>
      <c r="M94" s="203">
        <f t="shared" si="40"/>
        <v>1.04E-2</v>
      </c>
      <c r="N94" s="204">
        <f t="shared" si="41"/>
        <v>4.8099999999999996</v>
      </c>
      <c r="O94" s="205">
        <f t="shared" si="42"/>
        <v>0</v>
      </c>
      <c r="P94" s="206">
        <f t="shared" si="43"/>
        <v>4.8099999999999996</v>
      </c>
      <c r="Q94" s="206">
        <f t="shared" si="44"/>
        <v>0</v>
      </c>
      <c r="R9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11168</v>
      </c>
      <c r="T9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11168</v>
      </c>
      <c r="U94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94" s="209">
        <f t="shared" si="45"/>
        <v>4.8099999999999996</v>
      </c>
      <c r="W94" s="209">
        <f t="shared" si="46"/>
        <v>0</v>
      </c>
      <c r="X94" s="209">
        <f t="shared" si="47"/>
        <v>0</v>
      </c>
      <c r="Y94" s="209">
        <f t="shared" si="48"/>
        <v>0</v>
      </c>
      <c r="Z94" s="209">
        <f t="shared" si="49"/>
        <v>0</v>
      </c>
      <c r="AA94" s="205">
        <f t="shared" si="50"/>
        <v>0</v>
      </c>
      <c r="AB94" s="209">
        <f t="shared" si="51"/>
        <v>0</v>
      </c>
      <c r="AC94" s="205">
        <f t="shared" si="52"/>
        <v>0</v>
      </c>
      <c r="AD94" s="210">
        <f t="shared" si="53"/>
        <v>0.77083333333575865</v>
      </c>
      <c r="AE94" s="210">
        <f t="shared" si="54"/>
        <v>0.77083333333575865</v>
      </c>
      <c r="AF94" s="210">
        <f t="shared" si="55"/>
        <v>0</v>
      </c>
      <c r="AG94" s="210">
        <f t="shared" si="56"/>
        <v>0</v>
      </c>
    </row>
    <row r="95" spans="2:33" ht="15" customHeight="1" x14ac:dyDescent="0.3">
      <c r="B95" s="196" t="s">
        <v>7</v>
      </c>
      <c r="C95" s="197" t="s">
        <v>15</v>
      </c>
      <c r="D95" s="198" t="str">
        <f t="shared" si="38"/>
        <v>C</v>
      </c>
      <c r="E95" s="199">
        <v>44594.53125</v>
      </c>
      <c r="F95" s="200" t="s">
        <v>114</v>
      </c>
      <c r="G95" s="201">
        <v>1.13117</v>
      </c>
      <c r="H95" s="201">
        <v>1.12965</v>
      </c>
      <c r="I95" s="202">
        <f t="shared" si="39"/>
        <v>1.5199999999999658E-3</v>
      </c>
      <c r="J95" s="201">
        <v>1.1448400000000001</v>
      </c>
      <c r="K95" s="199">
        <v>44594.716666666667</v>
      </c>
      <c r="L95" s="201">
        <v>1.1299699999999999</v>
      </c>
      <c r="M95" s="203">
        <f t="shared" si="40"/>
        <v>-1.1999999999999999E-3</v>
      </c>
      <c r="N95" s="204">
        <f t="shared" si="41"/>
        <v>-0.79</v>
      </c>
      <c r="O95" s="205">
        <f t="shared" si="42"/>
        <v>0</v>
      </c>
      <c r="P95" s="206">
        <f t="shared" si="43"/>
        <v>0</v>
      </c>
      <c r="Q95" s="206">
        <f t="shared" si="44"/>
        <v>-0.79</v>
      </c>
      <c r="R9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10687</v>
      </c>
      <c r="T9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10766</v>
      </c>
      <c r="U95" s="208">
        <f ca="1">IF(Tabla33610673484[[#This Row],[Equity]]&lt;Tabla33610673484[[#This Row],[Equity Peak]],(Tabla33610673484[[#This Row],[Equity Peak]]-Tabla33610673484[[#This Row],[Equity]])/Tabla33610673484[[#This Row],[Equity Peak]],"")</f>
        <v>7.3379156604124092E-3</v>
      </c>
      <c r="V95" s="209">
        <f t="shared" si="45"/>
        <v>-0.79</v>
      </c>
      <c r="W95" s="209">
        <f t="shared" si="46"/>
        <v>0</v>
      </c>
      <c r="X95" s="209">
        <f t="shared" si="47"/>
        <v>0</v>
      </c>
      <c r="Y95" s="209">
        <f t="shared" si="48"/>
        <v>0</v>
      </c>
      <c r="Z95" s="209">
        <f t="shared" si="49"/>
        <v>0</v>
      </c>
      <c r="AA95" s="205">
        <f t="shared" si="50"/>
        <v>0</v>
      </c>
      <c r="AB95" s="209">
        <f t="shared" si="51"/>
        <v>0</v>
      </c>
      <c r="AC95" s="205">
        <f t="shared" si="52"/>
        <v>0</v>
      </c>
      <c r="AD95" s="210">
        <f t="shared" si="53"/>
        <v>0.18541666666715173</v>
      </c>
      <c r="AE95" s="210">
        <f t="shared" si="54"/>
        <v>0</v>
      </c>
      <c r="AF95" s="210">
        <f t="shared" si="55"/>
        <v>0.18541666666715173</v>
      </c>
      <c r="AG95" s="210">
        <f t="shared" si="56"/>
        <v>0</v>
      </c>
    </row>
    <row r="96" spans="2:33" ht="15" customHeight="1" x14ac:dyDescent="0.3">
      <c r="B96" s="196" t="s">
        <v>7</v>
      </c>
      <c r="C96" s="197" t="s">
        <v>13</v>
      </c>
      <c r="D96" s="198" t="str">
        <f t="shared" si="38"/>
        <v>C</v>
      </c>
      <c r="E96" s="199">
        <v>44587.90625</v>
      </c>
      <c r="F96" s="200" t="s">
        <v>114</v>
      </c>
      <c r="G96" s="201">
        <v>1.1256699999999999</v>
      </c>
      <c r="H96" s="201">
        <v>1.12738</v>
      </c>
      <c r="I96" s="202">
        <f t="shared" si="39"/>
        <v>1.7100000000001003E-3</v>
      </c>
      <c r="J96" s="201">
        <v>1.1102700000000001</v>
      </c>
      <c r="K96" s="199">
        <v>44589.647916666669</v>
      </c>
      <c r="L96" s="201">
        <v>1.11527</v>
      </c>
      <c r="M96" s="203">
        <f t="shared" si="40"/>
        <v>1.04E-2</v>
      </c>
      <c r="N96" s="204">
        <f t="shared" si="41"/>
        <v>6.08</v>
      </c>
      <c r="O96" s="205">
        <f t="shared" si="42"/>
        <v>0</v>
      </c>
      <c r="P96" s="206">
        <f t="shared" si="43"/>
        <v>6.08</v>
      </c>
      <c r="Q96" s="206">
        <f t="shared" si="44"/>
        <v>0</v>
      </c>
      <c r="R9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10766</v>
      </c>
      <c r="T9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10766</v>
      </c>
      <c r="U96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96" s="209">
        <f t="shared" si="45"/>
        <v>6.08</v>
      </c>
      <c r="W96" s="209">
        <f t="shared" si="46"/>
        <v>0</v>
      </c>
      <c r="X96" s="209">
        <f t="shared" si="47"/>
        <v>0</v>
      </c>
      <c r="Y96" s="209">
        <f t="shared" si="48"/>
        <v>0</v>
      </c>
      <c r="Z96" s="209">
        <f t="shared" si="49"/>
        <v>0</v>
      </c>
      <c r="AA96" s="205">
        <f t="shared" si="50"/>
        <v>0</v>
      </c>
      <c r="AB96" s="209">
        <f t="shared" si="51"/>
        <v>0</v>
      </c>
      <c r="AC96" s="205">
        <f t="shared" si="52"/>
        <v>0</v>
      </c>
      <c r="AD96" s="210">
        <f t="shared" si="53"/>
        <v>1.7416666666686069</v>
      </c>
      <c r="AE96" s="210">
        <f t="shared" si="54"/>
        <v>1.7416666666686069</v>
      </c>
      <c r="AF96" s="210">
        <f t="shared" si="55"/>
        <v>0</v>
      </c>
      <c r="AG96" s="210">
        <f t="shared" si="56"/>
        <v>0</v>
      </c>
    </row>
    <row r="97" spans="2:33" ht="15" customHeight="1" x14ac:dyDescent="0.3">
      <c r="B97" s="196" t="s">
        <v>7</v>
      </c>
      <c r="C97" s="197" t="s">
        <v>13</v>
      </c>
      <c r="D97" s="198" t="str">
        <f t="shared" si="38"/>
        <v>C</v>
      </c>
      <c r="E97" s="199">
        <v>44586.489583333336</v>
      </c>
      <c r="F97" s="200" t="s">
        <v>114</v>
      </c>
      <c r="G97" s="201">
        <v>1.1286099999999999</v>
      </c>
      <c r="H97" s="201">
        <v>1.1298699999999999</v>
      </c>
      <c r="I97" s="202">
        <f t="shared" si="39"/>
        <v>1.2600000000000389E-3</v>
      </c>
      <c r="J97" s="201">
        <v>1.11731</v>
      </c>
      <c r="K97" s="199">
        <v>44586.802083333336</v>
      </c>
      <c r="L97" s="201">
        <v>1.1287799999999999</v>
      </c>
      <c r="M97" s="203">
        <f t="shared" si="40"/>
        <v>-2.0000000000000001E-4</v>
      </c>
      <c r="N97" s="204">
        <f t="shared" si="41"/>
        <v>-0.16</v>
      </c>
      <c r="O97" s="205">
        <f t="shared" si="42"/>
        <v>0</v>
      </c>
      <c r="P97" s="206">
        <f t="shared" si="43"/>
        <v>0</v>
      </c>
      <c r="Q97" s="206">
        <f t="shared" si="44"/>
        <v>-0.16</v>
      </c>
      <c r="R9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10158</v>
      </c>
      <c r="T9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10291</v>
      </c>
      <c r="U97" s="208">
        <f ca="1">IF(Tabla33610673484[[#This Row],[Equity]]&lt;Tabla33610673484[[#This Row],[Equity Peak]],(Tabla33610673484[[#This Row],[Equity Peak]]-Tabla33610673484[[#This Row],[Equity]])/Tabla33610673484[[#This Row],[Equity Peak]],"")</f>
        <v>1.2923914099698766E-2</v>
      </c>
      <c r="V97" s="209">
        <f t="shared" si="45"/>
        <v>-0.16</v>
      </c>
      <c r="W97" s="209">
        <f t="shared" si="46"/>
        <v>0</v>
      </c>
      <c r="X97" s="209">
        <f t="shared" si="47"/>
        <v>0</v>
      </c>
      <c r="Y97" s="209">
        <f t="shared" si="48"/>
        <v>0</v>
      </c>
      <c r="Z97" s="209">
        <f t="shared" si="49"/>
        <v>0</v>
      </c>
      <c r="AA97" s="205">
        <f t="shared" si="50"/>
        <v>0</v>
      </c>
      <c r="AB97" s="209">
        <f t="shared" si="51"/>
        <v>0</v>
      </c>
      <c r="AC97" s="205">
        <f t="shared" si="52"/>
        <v>0</v>
      </c>
      <c r="AD97" s="210">
        <f t="shared" si="53"/>
        <v>0.3125</v>
      </c>
      <c r="AE97" s="210">
        <f t="shared" si="54"/>
        <v>0</v>
      </c>
      <c r="AF97" s="210">
        <f t="shared" si="55"/>
        <v>0.3125</v>
      </c>
      <c r="AG97" s="210">
        <f t="shared" si="56"/>
        <v>0</v>
      </c>
    </row>
    <row r="98" spans="2:33" ht="15" customHeight="1" x14ac:dyDescent="0.3">
      <c r="B98" s="196" t="s">
        <v>7</v>
      </c>
      <c r="C98" s="197" t="s">
        <v>13</v>
      </c>
      <c r="D98" s="198" t="str">
        <f t="shared" si="38"/>
        <v>C</v>
      </c>
      <c r="E98" s="199">
        <v>44585.625</v>
      </c>
      <c r="F98" s="200" t="s">
        <v>114</v>
      </c>
      <c r="G98" s="201">
        <v>1.12978</v>
      </c>
      <c r="H98" s="201">
        <v>1.1314299999999999</v>
      </c>
      <c r="I98" s="202">
        <f t="shared" si="39"/>
        <v>1.6499999999999293E-3</v>
      </c>
      <c r="J98" s="201">
        <v>1.11497</v>
      </c>
      <c r="K98" s="199">
        <v>44585.730555555558</v>
      </c>
      <c r="L98" s="201">
        <v>1.1314299999999999</v>
      </c>
      <c r="M98" s="203">
        <f t="shared" si="40"/>
        <v>-1.6000000000000001E-3</v>
      </c>
      <c r="N98" s="204">
        <f t="shared" si="41"/>
        <v>-0.97</v>
      </c>
      <c r="O98" s="205">
        <f t="shared" si="42"/>
        <v>0</v>
      </c>
      <c r="P98" s="206">
        <f t="shared" si="43"/>
        <v>0</v>
      </c>
      <c r="Q98" s="206">
        <f t="shared" si="44"/>
        <v>-0.97</v>
      </c>
      <c r="R9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10174</v>
      </c>
      <c r="T9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10291</v>
      </c>
      <c r="U98" s="208">
        <f ca="1">IF(Tabla33610673484[[#This Row],[Equity]]&lt;Tabla33610673484[[#This Row],[Equity Peak]],(Tabla33610673484[[#This Row],[Equity Peak]]-Tabla33610673484[[#This Row],[Equity]])/Tabla33610673484[[#This Row],[Equity Peak]],"")</f>
        <v>1.1369157516276358E-2</v>
      </c>
      <c r="V98" s="209">
        <f t="shared" si="45"/>
        <v>-0.97</v>
      </c>
      <c r="W98" s="209">
        <f t="shared" si="46"/>
        <v>0</v>
      </c>
      <c r="X98" s="209">
        <f t="shared" si="47"/>
        <v>0</v>
      </c>
      <c r="Y98" s="209">
        <f t="shared" si="48"/>
        <v>0</v>
      </c>
      <c r="Z98" s="209">
        <f t="shared" si="49"/>
        <v>0</v>
      </c>
      <c r="AA98" s="205">
        <f t="shared" si="50"/>
        <v>0</v>
      </c>
      <c r="AB98" s="209">
        <f t="shared" si="51"/>
        <v>0</v>
      </c>
      <c r="AC98" s="205">
        <f t="shared" si="52"/>
        <v>0</v>
      </c>
      <c r="AD98" s="210">
        <f t="shared" si="53"/>
        <v>0.1055555555576575</v>
      </c>
      <c r="AE98" s="210">
        <f t="shared" si="54"/>
        <v>0</v>
      </c>
      <c r="AF98" s="210">
        <f t="shared" si="55"/>
        <v>0.1055555555576575</v>
      </c>
      <c r="AG98" s="210">
        <f t="shared" si="56"/>
        <v>0</v>
      </c>
    </row>
    <row r="99" spans="2:33" ht="15" customHeight="1" x14ac:dyDescent="0.3">
      <c r="B99" s="196" t="s">
        <v>7</v>
      </c>
      <c r="C99" s="197" t="s">
        <v>13</v>
      </c>
      <c r="D99" s="198" t="str">
        <f t="shared" si="38"/>
        <v>C</v>
      </c>
      <c r="E99" s="199">
        <v>44581.90625</v>
      </c>
      <c r="F99" s="200" t="s">
        <v>114</v>
      </c>
      <c r="G99" s="201">
        <v>1.13131</v>
      </c>
      <c r="H99" s="201">
        <v>1.13279</v>
      </c>
      <c r="I99" s="202">
        <f t="shared" si="39"/>
        <v>1.4799999999999258E-3</v>
      </c>
      <c r="J99" s="201">
        <v>1.11802</v>
      </c>
      <c r="K99" s="199">
        <v>44582.158333333333</v>
      </c>
      <c r="L99" s="201">
        <v>1.1315900000000001</v>
      </c>
      <c r="M99" s="203">
        <f t="shared" si="40"/>
        <v>-2.9999999999999997E-4</v>
      </c>
      <c r="N99" s="204">
        <f t="shared" si="41"/>
        <v>-0.2</v>
      </c>
      <c r="O99" s="205">
        <f t="shared" si="42"/>
        <v>0</v>
      </c>
      <c r="P99" s="206">
        <f t="shared" si="43"/>
        <v>0</v>
      </c>
      <c r="Q99" s="206">
        <f t="shared" si="44"/>
        <v>-0.2</v>
      </c>
      <c r="R9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9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10271</v>
      </c>
      <c r="T9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10291</v>
      </c>
      <c r="U99" s="208">
        <f ca="1">IF(Tabla33610673484[[#This Row],[Equity]]&lt;Tabla33610673484[[#This Row],[Equity Peak]],(Tabla33610673484[[#This Row],[Equity Peak]]-Tabla33610673484[[#This Row],[Equity]])/Tabla33610673484[[#This Row],[Equity Peak]],"")</f>
        <v>1.94344572927801E-3</v>
      </c>
      <c r="V99" s="209">
        <f t="shared" si="45"/>
        <v>-0.2</v>
      </c>
      <c r="W99" s="209">
        <f t="shared" si="46"/>
        <v>0</v>
      </c>
      <c r="X99" s="209">
        <f t="shared" si="47"/>
        <v>0</v>
      </c>
      <c r="Y99" s="209">
        <f t="shared" si="48"/>
        <v>0</v>
      </c>
      <c r="Z99" s="209">
        <f t="shared" si="49"/>
        <v>0</v>
      </c>
      <c r="AA99" s="205">
        <f t="shared" si="50"/>
        <v>0</v>
      </c>
      <c r="AB99" s="209">
        <f t="shared" si="51"/>
        <v>0</v>
      </c>
      <c r="AC99" s="205">
        <f t="shared" si="52"/>
        <v>0</v>
      </c>
      <c r="AD99" s="210">
        <f t="shared" si="53"/>
        <v>0.25208333333284827</v>
      </c>
      <c r="AE99" s="210">
        <f t="shared" si="54"/>
        <v>0</v>
      </c>
      <c r="AF99" s="210">
        <f t="shared" si="55"/>
        <v>0.25208333333284827</v>
      </c>
      <c r="AG99" s="210">
        <f t="shared" si="56"/>
        <v>0</v>
      </c>
    </row>
    <row r="100" spans="2:33" ht="15" customHeight="1" x14ac:dyDescent="0.3">
      <c r="B100" s="196" t="s">
        <v>7</v>
      </c>
      <c r="C100" s="197" t="s">
        <v>15</v>
      </c>
      <c r="D100" s="198" t="str">
        <f t="shared" si="38"/>
        <v>C</v>
      </c>
      <c r="E100" s="199">
        <v>44573.65625</v>
      </c>
      <c r="F100" s="200" t="s">
        <v>114</v>
      </c>
      <c r="G100" s="201">
        <v>1.1403700000000001</v>
      </c>
      <c r="H100" s="201">
        <v>1.13879</v>
      </c>
      <c r="I100" s="202">
        <f t="shared" si="39"/>
        <v>1.5800000000001369E-3</v>
      </c>
      <c r="J100" s="201">
        <v>1.1545799999999999</v>
      </c>
      <c r="K100" s="199">
        <v>44574.731249999997</v>
      </c>
      <c r="L100" s="201">
        <v>1.14497</v>
      </c>
      <c r="M100" s="203">
        <f t="shared" si="40"/>
        <v>4.5999999999999999E-3</v>
      </c>
      <c r="N100" s="204">
        <f t="shared" si="41"/>
        <v>2.91</v>
      </c>
      <c r="O100" s="205">
        <f t="shared" si="42"/>
        <v>0</v>
      </c>
      <c r="P100" s="206">
        <f t="shared" si="43"/>
        <v>2.91</v>
      </c>
      <c r="Q100" s="206">
        <f t="shared" si="44"/>
        <v>0</v>
      </c>
      <c r="R10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0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10291</v>
      </c>
      <c r="T10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10291</v>
      </c>
      <c r="U100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100" s="209">
        <f t="shared" si="45"/>
        <v>2.91</v>
      </c>
      <c r="W100" s="209">
        <f t="shared" si="46"/>
        <v>0</v>
      </c>
      <c r="X100" s="209">
        <f t="shared" si="47"/>
        <v>0</v>
      </c>
      <c r="Y100" s="209">
        <f t="shared" si="48"/>
        <v>0</v>
      </c>
      <c r="Z100" s="209">
        <f t="shared" si="49"/>
        <v>0</v>
      </c>
      <c r="AA100" s="205">
        <f t="shared" si="50"/>
        <v>0</v>
      </c>
      <c r="AB100" s="209">
        <f t="shared" si="51"/>
        <v>0</v>
      </c>
      <c r="AC100" s="205">
        <f t="shared" si="52"/>
        <v>0</v>
      </c>
      <c r="AD100" s="210">
        <f t="shared" si="53"/>
        <v>1.0749999999970896</v>
      </c>
      <c r="AE100" s="210">
        <f t="shared" si="54"/>
        <v>1.0749999999970896</v>
      </c>
      <c r="AF100" s="210">
        <f t="shared" si="55"/>
        <v>0</v>
      </c>
      <c r="AG100" s="210">
        <f t="shared" si="56"/>
        <v>0</v>
      </c>
    </row>
    <row r="101" spans="2:33" ht="15" customHeight="1" x14ac:dyDescent="0.3">
      <c r="B101" s="181" t="s">
        <v>7</v>
      </c>
      <c r="C101" s="182" t="s">
        <v>15</v>
      </c>
      <c r="D101" s="183" t="str">
        <f t="shared" si="38"/>
        <v>C</v>
      </c>
      <c r="E101" s="184">
        <v>44572.78125</v>
      </c>
      <c r="F101" s="185" t="s">
        <v>114</v>
      </c>
      <c r="G101" s="186">
        <v>1.1366499999999999</v>
      </c>
      <c r="H101" s="186">
        <v>1.1349400000000001</v>
      </c>
      <c r="I101" s="65">
        <f t="shared" si="39"/>
        <v>1.7099999999998783E-3</v>
      </c>
      <c r="J101" s="186">
        <v>1.1520600000000001</v>
      </c>
      <c r="K101" s="184">
        <v>44573.372916666667</v>
      </c>
      <c r="L101" s="186">
        <v>1.1366499999999999</v>
      </c>
      <c r="M101" s="187">
        <f t="shared" si="40"/>
        <v>0</v>
      </c>
      <c r="N101" s="188">
        <f t="shared" si="41"/>
        <v>0</v>
      </c>
      <c r="O101" s="189">
        <f t="shared" si="42"/>
        <v>0</v>
      </c>
      <c r="P101" s="190">
        <f t="shared" si="43"/>
        <v>0</v>
      </c>
      <c r="Q101" s="190">
        <f t="shared" si="44"/>
        <v>0</v>
      </c>
      <c r="R101" s="190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01" s="191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10000</v>
      </c>
      <c r="T101" s="191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</v>
      </c>
      <c r="U101" s="192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101" s="193">
        <f t="shared" si="45"/>
        <v>0</v>
      </c>
      <c r="W101" s="193">
        <f t="shared" si="46"/>
        <v>0</v>
      </c>
      <c r="X101" s="193">
        <f t="shared" si="47"/>
        <v>0</v>
      </c>
      <c r="Y101" s="193">
        <f t="shared" si="48"/>
        <v>0</v>
      </c>
      <c r="Z101" s="193">
        <f t="shared" si="49"/>
        <v>0</v>
      </c>
      <c r="AA101" s="189">
        <f t="shared" si="50"/>
        <v>0</v>
      </c>
      <c r="AB101" s="193">
        <f t="shared" si="51"/>
        <v>0</v>
      </c>
      <c r="AC101" s="189">
        <f t="shared" si="52"/>
        <v>0</v>
      </c>
      <c r="AD101" s="194">
        <f t="shared" si="53"/>
        <v>0.59166666666715173</v>
      </c>
      <c r="AE101" s="194">
        <f t="shared" si="54"/>
        <v>0</v>
      </c>
      <c r="AF101" s="194">
        <f t="shared" si="55"/>
        <v>0</v>
      </c>
      <c r="AG101" s="194">
        <f t="shared" si="56"/>
        <v>0.59166666666715173</v>
      </c>
    </row>
  </sheetData>
  <sheetProtection algorithmName="SHA-512" hashValue="kP5HcRBBKSV0ztGUu00ODA6s+uqeHWtri2pWUkQUw0GDe3l3Yg3BeteTjsdmPGIxZ02GF/JrLTnenUTGAhLNZA==" saltValue="xJUztOAJkXL27UUhECV1M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5" priority="3" operator="equal">
      <formula>"OK"</formula>
    </cfRule>
    <cfRule type="cellIs" dxfId="54" priority="4" operator="equal">
      <formula>"warning"</formula>
    </cfRule>
  </conditionalFormatting>
  <conditionalFormatting sqref="F13">
    <cfRule type="cellIs" dxfId="53" priority="1" operator="equal">
      <formula>"OK"</formula>
    </cfRule>
    <cfRule type="cellIs" dxfId="52" priority="2" operator="equal">
      <formula>"Error!!"</formula>
    </cfRule>
  </conditionalFormatting>
  <conditionalFormatting sqref="E15:H15 K15:L15">
    <cfRule type="expression" dxfId="51" priority="5">
      <formula>+$D15=#REF!</formula>
    </cfRule>
    <cfRule type="expression" dxfId="50" priority="6">
      <formula>+$D15=#REF!</formula>
    </cfRule>
  </conditionalFormatting>
  <conditionalFormatting sqref="D15 K16:L20 D16:H101 J17:L101">
    <cfRule type="expression" dxfId="49" priority="7">
      <formula>+$D15=$AG$8</formula>
    </cfRule>
    <cfRule type="expression" dxfId="4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21:B101" xr:uid="{2D9A71D5-B039-4177-827F-64C144FC015E}">
      <formula1>$AE$4:$AE$7</formula1>
    </dataValidation>
    <dataValidation type="list" allowBlank="1" showInputMessage="1" showErrorMessage="1" promptTitle="Instrument Type" prompt="Select Type from List_x000a_" sqref="B15:B20" xr:uid="{08CA5309-B9DC-4EB3-96A6-435AE7DCDD62}">
      <formula1>$AE$4:$AE$6</formula1>
    </dataValidation>
    <dataValidation type="list" allowBlank="1" showInputMessage="1" showErrorMessage="1" promptTitle="Trade Direction" prompt="Select from List" sqref="C15:C21" xr:uid="{BD08AE71-C7EC-4592-8F8D-22C6D56288D3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B3-5CCC-43EF-A509-19C994233E82}">
  <sheetPr codeName="Hoja13">
    <pageSetUpPr fitToPage="1"/>
  </sheetPr>
  <dimension ref="A1:AX180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L18" sqref="L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COUNTA(Tabla33610673486[Inst])</f>
        <v>164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38.279999999999987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38.279999999999987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COUNTIF(Tabla33610673486[No. of Rs],"&gt;0")</f>
        <v>57</v>
      </c>
      <c r="G7" s="24">
        <f>IFERROR((F7/$F$6),"")</f>
        <v>0.34756097560975607</v>
      </c>
      <c r="H7" s="78">
        <f>IFERROR((+P13/F7),"")</f>
        <v>1.8975438596491223</v>
      </c>
      <c r="I7" s="227">
        <f>H7/H9</f>
        <v>2.8240492473312648</v>
      </c>
      <c r="J7" s="227">
        <f>AVERAGE(Tabla33610673486[No. of Rs])</f>
        <v>0.23341463414634139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COUNTIF(Tabla33610673486[No. of Rs],"=0")</f>
        <v>3</v>
      </c>
      <c r="G8" s="24">
        <f>IFERROR((F8/$F$6),"")</f>
        <v>1.8292682926829267E-2</v>
      </c>
      <c r="H8" s="78"/>
      <c r="I8" s="228"/>
      <c r="J8" s="228"/>
      <c r="K8" s="163"/>
      <c r="L8" s="212" t="s">
        <v>112</v>
      </c>
      <c r="M8" s="213"/>
      <c r="N8" s="195">
        <f ca="1">OFFSET(Tabla33610673486[[#Headers],[Equity]],1,0)</f>
        <v>13828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COUNTIF(Tabla33610673486[No. of Rs],"&lt;0")</f>
        <v>104</v>
      </c>
      <c r="G9" s="32">
        <f>IFERROR((F9/$F$6),"")</f>
        <v>0.63414634146341464</v>
      </c>
      <c r="H9" s="79">
        <f>IFERROR((-Q13/F9),"")</f>
        <v>0.67192307692307673</v>
      </c>
      <c r="I9" s="229"/>
      <c r="J9" s="229"/>
      <c r="K9" s="149"/>
      <c r="L9" s="230" t="s">
        <v>106</v>
      </c>
      <c r="M9" s="231"/>
      <c r="N9" s="125">
        <f ca="1">MAX(Tabla33610673486[Drawdown])</f>
        <v>5.0780621277965558E-2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OFFSET(Tabla33610673486[[#Headers],[Drawdown]],1,0)</f>
        <v>1.3554001997431873E-2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IF(COUNTIFS(Tabla33610673486[O/C],"O")&lt;1,"None",COUNTIFS(Tabla33610673486[O/C],"O"))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SUM(Tabla33610673486[No. of Rs])</f>
        <v>38.279999999999987</v>
      </c>
      <c r="O13" s="42">
        <f>SUM(Tabla33610673486[Heat])</f>
        <v>0</v>
      </c>
      <c r="P13" s="43">
        <f>SUM(Tabla33610673486[[ TR WIN]])</f>
        <v>108.15999999999997</v>
      </c>
      <c r="Q13" s="43">
        <f>SUM(Tabla33610673486[[ TR LOSS]])</f>
        <v>-69.879999999999981</v>
      </c>
      <c r="R13" s="114"/>
      <c r="S13" s="115"/>
      <c r="T13" s="115"/>
      <c r="U13" s="121"/>
      <c r="V13" s="44">
        <f>SUM(Tabla33610673486[Currency])</f>
        <v>38.279999999999987</v>
      </c>
      <c r="W13" s="44">
        <f>SUM(Tabla33610673486[Heat3])</f>
        <v>0</v>
      </c>
      <c r="X13" s="44">
        <f>SUM(Tabla33610673486[Commodities])</f>
        <v>0</v>
      </c>
      <c r="Y13" s="44">
        <f>SUM(Tabla33610673486[Heat4])</f>
        <v>0</v>
      </c>
      <c r="Z13" s="44">
        <f>SUM(Tabla33610673486[Index])</f>
        <v>0</v>
      </c>
      <c r="AA13" s="44">
        <f>SUM(Tabla33610673486[Heat5])</f>
        <v>0</v>
      </c>
      <c r="AB13" s="44">
        <f>SUM(Tabla33610673486[Cryptocurrency])</f>
        <v>0</v>
      </c>
      <c r="AC13" s="44">
        <f>SUM(Tabla33610673486[Heat6])</f>
        <v>0</v>
      </c>
      <c r="AD13" s="75">
        <f>AVERAGEIF(Tabla33610673486[Length of 
Trade],"&lt;&gt;0")</f>
        <v>0.54947069783183244</v>
      </c>
      <c r="AE13" s="75">
        <f>AVERAGEIF(Tabla33610673486[Win],"&lt;&gt;0")</f>
        <v>0.78334551656926599</v>
      </c>
      <c r="AF13" s="75">
        <f>AVERAGEIF(Tabla33610673486[Loss],"&lt;&gt;0")</f>
        <v>0.39099893162368132</v>
      </c>
      <c r="AG13" s="76">
        <f>AVERAGEIF(Tabla33610673486[Breakeven],"&lt;&gt;0")</f>
        <v>1.5995370370364981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7</v>
      </c>
      <c r="C17" s="197" t="s">
        <v>13</v>
      </c>
      <c r="D17" s="233" t="str">
        <f>IF(E17&lt;&gt;"",IF(K17&lt;&gt;"","C","O"),"")</f>
        <v>C</v>
      </c>
      <c r="E17" s="234">
        <v>44876.510416666664</v>
      </c>
      <c r="F17" s="200" t="s">
        <v>115</v>
      </c>
      <c r="G17" s="235">
        <v>163.78200000000001</v>
      </c>
      <c r="H17" s="236">
        <v>164.58500000000001</v>
      </c>
      <c r="I17" s="237">
        <f>ABS(G17-H17)</f>
        <v>0.80299999999999727</v>
      </c>
      <c r="J17" s="235">
        <v>161.48699999999999</v>
      </c>
      <c r="K17" s="199">
        <v>44876.60833333333</v>
      </c>
      <c r="L17" s="235">
        <v>164.34800000000001</v>
      </c>
      <c r="M17" s="238">
        <f>ROUND(IF(C17="L",(L17-G17),(G17-L17)),4)</f>
        <v>-0.56599999999999995</v>
      </c>
      <c r="N17" s="239">
        <f>IFERROR(ROUND((M17/I17),2),"")</f>
        <v>-0.7</v>
      </c>
      <c r="O17" s="240">
        <f>IF(D17="O",IF(N17&lt;0,N17,0),0)</f>
        <v>0</v>
      </c>
      <c r="P17" s="241">
        <f>IF(N17&gt;= 0,N17,0)</f>
        <v>0</v>
      </c>
      <c r="Q17" s="241">
        <f>IF(N17&lt;0,N17,0)</f>
        <v>-0.7</v>
      </c>
      <c r="R17" s="241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" s="242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13828</v>
      </c>
      <c r="T17" s="242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14018</v>
      </c>
      <c r="U17" s="243">
        <f ca="1">IF(Tabla33610673486[[#This Row],[Equity]]&lt;Tabla33610673486[[#This Row],[Equity Peak]],(Tabla33610673486[[#This Row],[Equity Peak]]-Tabla33610673486[[#This Row],[Equity]])/Tabla33610673486[[#This Row],[Equity Peak]],"")</f>
        <v>1.3554001997431873E-2</v>
      </c>
      <c r="V17" s="244">
        <f>IF(B17="FX",N17,0)</f>
        <v>-0.7</v>
      </c>
      <c r="W17" s="244">
        <f>IF(D17="O",IF(V17&lt;0,V17,0),0)</f>
        <v>0</v>
      </c>
      <c r="X17" s="244">
        <f>IF(B17="COM",N17,0)</f>
        <v>0</v>
      </c>
      <c r="Y17" s="244">
        <f>IF(D17="O",IF(X17&lt;0,X17,0),0)</f>
        <v>0</v>
      </c>
      <c r="Z17" s="244">
        <f>IF(B17="IND",N17,0)</f>
        <v>0</v>
      </c>
      <c r="AA17" s="240">
        <f>IF(D17="O",IF(Z17&lt;0,Z17,0),0)</f>
        <v>0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9.7916666665696539E-2</v>
      </c>
      <c r="AE17" s="245">
        <f>IF(N17&gt;0,AD17,0)</f>
        <v>0</v>
      </c>
      <c r="AF17" s="245">
        <f>IF(N17&lt;0,AD17,0)</f>
        <v>9.7916666665696539E-2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232" t="s">
        <v>7</v>
      </c>
      <c r="C18" s="197" t="s">
        <v>13</v>
      </c>
      <c r="D18" s="233" t="str">
        <f>IF(E18&lt;&gt;"",IF(K18&lt;&gt;"","C","O"),"")</f>
        <v>C</v>
      </c>
      <c r="E18" s="234">
        <v>44875.697916666664</v>
      </c>
      <c r="F18" s="200" t="s">
        <v>115</v>
      </c>
      <c r="G18" s="235">
        <v>165.649</v>
      </c>
      <c r="H18" s="236">
        <v>166.36</v>
      </c>
      <c r="I18" s="237">
        <f>ABS(G18-H18)</f>
        <v>0.71100000000001273</v>
      </c>
      <c r="J18" s="235">
        <v>163.61799999999999</v>
      </c>
      <c r="K18" s="199">
        <v>44876.024305555555</v>
      </c>
      <c r="L18" s="235">
        <v>165.67099999999999</v>
      </c>
      <c r="M18" s="238">
        <f>ROUND(IF(C18="L",(L18-G18),(G18-L18)),4)</f>
        <v>-2.1999999999999999E-2</v>
      </c>
      <c r="N18" s="239">
        <f>IFERROR(ROUND((M18/I18),2),"")</f>
        <v>-0.03</v>
      </c>
      <c r="O18" s="240">
        <f>IF(D18="O",IF(N18&lt;0,N18,0),0)</f>
        <v>0</v>
      </c>
      <c r="P18" s="241">
        <f>IF(N18&gt;= 0,N18,0)</f>
        <v>0</v>
      </c>
      <c r="Q18" s="241">
        <f>IF(N18&lt;0,N18,0)</f>
        <v>-0.03</v>
      </c>
      <c r="R18" s="241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8" s="242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13898</v>
      </c>
      <c r="T18" s="242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14018</v>
      </c>
      <c r="U18" s="243">
        <f ca="1">IF(Tabla33610673486[[#This Row],[Equity]]&lt;Tabla33610673486[[#This Row],[Equity Peak]],(Tabla33610673486[[#This Row],[Equity Peak]]-Tabla33610673486[[#This Row],[Equity]])/Tabla33610673486[[#This Row],[Equity Peak]],"")</f>
        <v>8.5604223141674991E-3</v>
      </c>
      <c r="V18" s="244">
        <f>IF(B18="FX",N18,0)</f>
        <v>-0.03</v>
      </c>
      <c r="W18" s="244">
        <f>IF(D18="O",IF(V18&lt;0,V18,0),0)</f>
        <v>0</v>
      </c>
      <c r="X18" s="244">
        <f>IF(B18="COM",N18,0)</f>
        <v>0</v>
      </c>
      <c r="Y18" s="244">
        <f>IF(D18="O",IF(X18&lt;0,X18,0),0)</f>
        <v>0</v>
      </c>
      <c r="Z18" s="244">
        <f>IF(B18="IND",N18,0)</f>
        <v>0</v>
      </c>
      <c r="AA18" s="240">
        <f>IF(D18="O",IF(Z18&lt;0,Z18,0),0)</f>
        <v>0</v>
      </c>
      <c r="AB18" s="244">
        <f>IF(B18="CRYPTO",N18,0)</f>
        <v>0</v>
      </c>
      <c r="AC18" s="240">
        <f>IF(D18="O",IF(AB18&lt;0,AB18,0),0)</f>
        <v>0</v>
      </c>
      <c r="AD18" s="245">
        <f>IF(K18&lt;&gt;"",K18-E18,0)</f>
        <v>0.32638888889050577</v>
      </c>
      <c r="AE18" s="245">
        <f>IF(N18&gt;0,AD18,0)</f>
        <v>0</v>
      </c>
      <c r="AF18" s="245">
        <f>IF(N18&lt;0,AD18,0)</f>
        <v>0.32638888889050577</v>
      </c>
      <c r="AG18" s="245">
        <f>IF(N18=0,AD18,0)</f>
        <v>0</v>
      </c>
      <c r="AH18" s="176"/>
      <c r="AI18" s="109"/>
    </row>
    <row r="19" spans="1:35" s="112" customFormat="1" x14ac:dyDescent="0.3">
      <c r="A19" s="140"/>
      <c r="B19" s="232" t="s">
        <v>7</v>
      </c>
      <c r="C19" s="197" t="s">
        <v>13</v>
      </c>
      <c r="D19" s="233" t="str">
        <f>IF(E19&lt;&gt;"",IF(K19&lt;&gt;"","C","O"),"")</f>
        <v>C</v>
      </c>
      <c r="E19" s="234">
        <v>44874.739583333336</v>
      </c>
      <c r="F19" s="200" t="s">
        <v>115</v>
      </c>
      <c r="G19" s="235">
        <v>166.292</v>
      </c>
      <c r="H19" s="236">
        <v>166.95500000000001</v>
      </c>
      <c r="I19" s="237">
        <f>ABS(G19-H19)</f>
        <v>0.66300000000001091</v>
      </c>
      <c r="J19" s="235">
        <v>164.39699999999999</v>
      </c>
      <c r="K19" s="199">
        <v>44875.513194444444</v>
      </c>
      <c r="L19" s="235">
        <v>166.87100000000001</v>
      </c>
      <c r="M19" s="238">
        <f>ROUND(IF(C19="L",(L19-G19),(G19-L19)),4)</f>
        <v>-0.57899999999999996</v>
      </c>
      <c r="N19" s="239">
        <f>IFERROR(ROUND((M19/I19),2),"")</f>
        <v>-0.87</v>
      </c>
      <c r="O19" s="240">
        <f>IF(D19="O",IF(N19&lt;0,N19,0),0)</f>
        <v>0</v>
      </c>
      <c r="P19" s="241">
        <f>IF(N19&gt;= 0,N19,0)</f>
        <v>0</v>
      </c>
      <c r="Q19" s="241">
        <f>IF(N19&lt;0,N19,0)</f>
        <v>-0.87</v>
      </c>
      <c r="R19" s="241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9" s="242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13901</v>
      </c>
      <c r="T19" s="242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14018</v>
      </c>
      <c r="U19" s="243">
        <f ca="1">IF(Tabla33610673486[[#This Row],[Equity]]&lt;Tabla33610673486[[#This Row],[Equity Peak]],(Tabla33610673486[[#This Row],[Equity Peak]]-Tabla33610673486[[#This Row],[Equity]])/Tabla33610673486[[#This Row],[Equity Peak]],"")</f>
        <v>8.3464117563133121E-3</v>
      </c>
      <c r="V19" s="244">
        <f>IF(B19="FX",N19,0)</f>
        <v>-0.87</v>
      </c>
      <c r="W19" s="244">
        <f>IF(D19="O",IF(V19&lt;0,V19,0),0)</f>
        <v>0</v>
      </c>
      <c r="X19" s="244">
        <f>IF(B19="COM",N19,0)</f>
        <v>0</v>
      </c>
      <c r="Y19" s="244">
        <f>IF(D19="O",IF(X19&lt;0,X19,0),0)</f>
        <v>0</v>
      </c>
      <c r="Z19" s="244">
        <f>IF(B19="IND",N19,0)</f>
        <v>0</v>
      </c>
      <c r="AA19" s="240">
        <f>IF(D19="O",IF(Z19&lt;0,Z19,0),0)</f>
        <v>0</v>
      </c>
      <c r="AB19" s="244">
        <f>IF(B19="CRYPTO",N19,0)</f>
        <v>0</v>
      </c>
      <c r="AC19" s="240">
        <f>IF(D19="O",IF(AB19&lt;0,AB19,0),0)</f>
        <v>0</v>
      </c>
      <c r="AD19" s="245">
        <f>IF(K19&lt;&gt;"",K19-E19,0)</f>
        <v>0.77361111110803904</v>
      </c>
      <c r="AE19" s="245">
        <f>IF(N19&gt;0,AD19,0)</f>
        <v>0</v>
      </c>
      <c r="AF19" s="245">
        <f>IF(N19&lt;0,AD19,0)</f>
        <v>0.77361111110803904</v>
      </c>
      <c r="AG19" s="245">
        <f>IF(N19=0,AD19,0)</f>
        <v>0</v>
      </c>
      <c r="AH19" s="176"/>
      <c r="AI19" s="109"/>
    </row>
    <row r="20" spans="1:35" s="112" customFormat="1" x14ac:dyDescent="0.3">
      <c r="A20" s="140"/>
      <c r="B20" s="232" t="s">
        <v>7</v>
      </c>
      <c r="C20" s="197" t="s">
        <v>13</v>
      </c>
      <c r="D20" s="233" t="str">
        <f>IF(E20&lt;&gt;"",IF(K20&lt;&gt;"","C","O"),"")</f>
        <v>C</v>
      </c>
      <c r="E20" s="234">
        <v>44874.489583333336</v>
      </c>
      <c r="F20" s="200" t="s">
        <v>115</v>
      </c>
      <c r="G20" s="235">
        <v>167.136</v>
      </c>
      <c r="H20" s="236">
        <v>167.73500000000001</v>
      </c>
      <c r="I20" s="237">
        <f>ABS(G20-H20)</f>
        <v>0.59900000000001796</v>
      </c>
      <c r="J20" s="235">
        <v>164.42500000000001</v>
      </c>
      <c r="K20" s="199">
        <v>44874.631944444445</v>
      </c>
      <c r="L20" s="235">
        <v>167.315</v>
      </c>
      <c r="M20" s="238">
        <f>ROUND(IF(C20="L",(L20-G20),(G20-L20)),4)</f>
        <v>-0.17899999999999999</v>
      </c>
      <c r="N20" s="239">
        <f>IFERROR(ROUND((M20/I20),2),"")</f>
        <v>-0.3</v>
      </c>
      <c r="O20" s="240">
        <f>IF(D20="O",IF(N20&lt;0,N20,0),0)</f>
        <v>0</v>
      </c>
      <c r="P20" s="241">
        <f>IF(N20&gt;= 0,N20,0)</f>
        <v>0</v>
      </c>
      <c r="Q20" s="241">
        <f>IF(N20&lt;0,N20,0)</f>
        <v>-0.3</v>
      </c>
      <c r="R20" s="241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0" s="242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13988</v>
      </c>
      <c r="T20" s="242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14018</v>
      </c>
      <c r="U20" s="243">
        <f ca="1">IF(Tabla33610673486[[#This Row],[Equity]]&lt;Tabla33610673486[[#This Row],[Equity Peak]],(Tabla33610673486[[#This Row],[Equity Peak]]-Tabla33610673486[[#This Row],[Equity]])/Tabla33610673486[[#This Row],[Equity Peak]],"")</f>
        <v>2.1401055785418748E-3</v>
      </c>
      <c r="V20" s="244">
        <f>IF(B20="FX",N20,0)</f>
        <v>-0.3</v>
      </c>
      <c r="W20" s="244">
        <f>IF(D20="O",IF(V20&lt;0,V20,0),0)</f>
        <v>0</v>
      </c>
      <c r="X20" s="244">
        <f>IF(B20="COM",N20,0)</f>
        <v>0</v>
      </c>
      <c r="Y20" s="244">
        <f>IF(D20="O",IF(X20&lt;0,X20,0),0)</f>
        <v>0</v>
      </c>
      <c r="Z20" s="244">
        <f>IF(B20="IND",N20,0)</f>
        <v>0</v>
      </c>
      <c r="AA20" s="240">
        <f>IF(D20="O",IF(Z20&lt;0,Z20,0),0)</f>
        <v>0</v>
      </c>
      <c r="AB20" s="244">
        <f>IF(B20="CRYPTO",N20,0)</f>
        <v>0</v>
      </c>
      <c r="AC20" s="240">
        <f>IF(D20="O",IF(AB20&lt;0,AB20,0),0)</f>
        <v>0</v>
      </c>
      <c r="AD20" s="245">
        <f>IF(K20&lt;&gt;"",K20-E20,0)</f>
        <v>0.14236111110949423</v>
      </c>
      <c r="AE20" s="245">
        <f>IF(N20&gt;0,AD20,0)</f>
        <v>0</v>
      </c>
      <c r="AF20" s="245">
        <f>IF(N20&lt;0,AD20,0)</f>
        <v>0.14236111110949423</v>
      </c>
      <c r="AG20" s="245">
        <f>IF(N20=0,AD20,0)</f>
        <v>0</v>
      </c>
      <c r="AH20" s="176"/>
      <c r="AI20" s="109"/>
    </row>
    <row r="21" spans="1:35" s="112" customFormat="1" x14ac:dyDescent="0.3">
      <c r="A21" s="140"/>
      <c r="B21" s="232" t="s">
        <v>7</v>
      </c>
      <c r="C21" s="197" t="s">
        <v>15</v>
      </c>
      <c r="D21" s="233" t="str">
        <f>IF(E21&lt;&gt;"",IF(K21&lt;&gt;"","C","O"),"")</f>
        <v>C</v>
      </c>
      <c r="E21" s="234">
        <v>44872.427083333336</v>
      </c>
      <c r="F21" s="200" t="s">
        <v>115</v>
      </c>
      <c r="G21" s="235">
        <v>167.017</v>
      </c>
      <c r="H21" s="236">
        <v>166.34399999999999</v>
      </c>
      <c r="I21" s="237">
        <f>ABS(G21-H21)</f>
        <v>0.67300000000000182</v>
      </c>
      <c r="J21" s="235">
        <v>168.93899999999999</v>
      </c>
      <c r="K21" s="199">
        <v>44872.852777777778</v>
      </c>
      <c r="L21" s="235">
        <v>168.93799999999999</v>
      </c>
      <c r="M21" s="238">
        <f>ROUND(IF(C21="L",(L21-G21),(G21-L21)),4)</f>
        <v>1.921</v>
      </c>
      <c r="N21" s="239">
        <f>IFERROR(ROUND((M21/I21),2),"")</f>
        <v>2.85</v>
      </c>
      <c r="O21" s="240">
        <f>IF(D21="O",IF(N21&lt;0,N21,0),0)</f>
        <v>0</v>
      </c>
      <c r="P21" s="241">
        <f>IF(N21&gt;= 0,N21,0)</f>
        <v>2.85</v>
      </c>
      <c r="Q21" s="241">
        <f>IF(N21&lt;0,N21,0)</f>
        <v>0</v>
      </c>
      <c r="R21" s="241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1" s="242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14018</v>
      </c>
      <c r="T21" s="242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14018</v>
      </c>
      <c r="U21" s="243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1" s="244">
        <f>IF(B21="FX",N21,0)</f>
        <v>2.85</v>
      </c>
      <c r="W21" s="244">
        <f>IF(D21="O",IF(V21&lt;0,V21,0),0)</f>
        <v>0</v>
      </c>
      <c r="X21" s="244">
        <f>IF(B21="COM",N21,0)</f>
        <v>0</v>
      </c>
      <c r="Y21" s="244">
        <f>IF(D21="O",IF(X21&lt;0,X21,0),0)</f>
        <v>0</v>
      </c>
      <c r="Z21" s="244">
        <f>IF(B21="IND",N21,0)</f>
        <v>0</v>
      </c>
      <c r="AA21" s="240">
        <f>IF(D21="O",IF(Z21&lt;0,Z21,0),0)</f>
        <v>0</v>
      </c>
      <c r="AB21" s="244">
        <f>IF(B21="CRYPTO",N21,0)</f>
        <v>0</v>
      </c>
      <c r="AC21" s="240">
        <f>IF(D21="O",IF(AB21&lt;0,AB21,0),0)</f>
        <v>0</v>
      </c>
      <c r="AD21" s="245">
        <f>IF(K21&lt;&gt;"",K21-E21,0)</f>
        <v>0.4256944444423425</v>
      </c>
      <c r="AE21" s="245">
        <f>IF(N21&gt;0,AD21,0)</f>
        <v>0.4256944444423425</v>
      </c>
      <c r="AF21" s="245">
        <f>IF(N21&lt;0,AD21,0)</f>
        <v>0</v>
      </c>
      <c r="AG21" s="245">
        <f>IF(N21=0,AD21,0)</f>
        <v>0</v>
      </c>
      <c r="AH21" s="176"/>
      <c r="AI21" s="109"/>
    </row>
    <row r="22" spans="1:35" s="112" customFormat="1" x14ac:dyDescent="0.3">
      <c r="A22" s="140"/>
      <c r="B22" s="196" t="s">
        <v>7</v>
      </c>
      <c r="C22" s="197" t="s">
        <v>13</v>
      </c>
      <c r="D22" s="198" t="str">
        <f t="shared" ref="D22:D53" si="0">IF(E22&lt;&gt;"",IF(K22&lt;&gt;"","C","O"),"")</f>
        <v>C</v>
      </c>
      <c r="E22" s="199">
        <v>44867.166666666664</v>
      </c>
      <c r="F22" s="200" t="s">
        <v>115</v>
      </c>
      <c r="G22" s="201">
        <v>169.41900000000001</v>
      </c>
      <c r="H22" s="201">
        <v>170.06899999999999</v>
      </c>
      <c r="I22" s="202">
        <f t="shared" ref="I22:I53" si="1">ABS(G22-H22)</f>
        <v>0.64999999999997726</v>
      </c>
      <c r="J22" s="201">
        <v>167.56299999999999</v>
      </c>
      <c r="K22" s="199">
        <v>44868.463194444441</v>
      </c>
      <c r="L22" s="201">
        <v>167.56299999999999</v>
      </c>
      <c r="M22" s="203">
        <f t="shared" ref="M22:M53" si="2">ROUND(IF(C22="L",(L22-G22),(G22-L22)),4)</f>
        <v>1.8560000000000001</v>
      </c>
      <c r="N22" s="204">
        <f t="shared" ref="N22:N53" si="3">IFERROR(ROUND((M22/I22),2),"")</f>
        <v>2.86</v>
      </c>
      <c r="O22" s="205">
        <f t="shared" ref="O22:O53" si="4">IF(D22="O",IF(N22&lt;0,N22,0),0)</f>
        <v>0</v>
      </c>
      <c r="P22" s="206">
        <f t="shared" ref="P22:P53" si="5">IF(N22&gt;= 0,N22,0)</f>
        <v>2.86</v>
      </c>
      <c r="Q22" s="206">
        <f t="shared" ref="Q22:Q53" si="6">IF(N22&lt;0,N22,0)</f>
        <v>0</v>
      </c>
      <c r="R2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13733</v>
      </c>
      <c r="T2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13733</v>
      </c>
      <c r="U22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2" s="209">
        <f t="shared" ref="V22:V53" si="7">IF(B22="FX",N22,0)</f>
        <v>2.86</v>
      </c>
      <c r="W22" s="209">
        <f t="shared" ref="W22:W53" si="8">IF(D22="O",IF(V22&lt;0,V22,0),0)</f>
        <v>0</v>
      </c>
      <c r="X22" s="209">
        <f t="shared" ref="X22:X53" si="9">IF(B22="COM",N22,0)</f>
        <v>0</v>
      </c>
      <c r="Y22" s="209">
        <f t="shared" ref="Y22:Y53" si="10">IF(D22="O",IF(X22&lt;0,X22,0),0)</f>
        <v>0</v>
      </c>
      <c r="Z22" s="209">
        <f t="shared" ref="Z22:Z53" si="11">IF(B22="IND",N22,0)</f>
        <v>0</v>
      </c>
      <c r="AA22" s="205">
        <f t="shared" ref="AA22:AA53" si="12">IF(D22="O",IF(Z22&lt;0,Z22,0),0)</f>
        <v>0</v>
      </c>
      <c r="AB22" s="209">
        <f t="shared" ref="AB22:AB53" si="13">IF(B22="CRYPTO",N22,0)</f>
        <v>0</v>
      </c>
      <c r="AC22" s="205">
        <f t="shared" ref="AC22:AC53" si="14">IF(D22="O",IF(AB22&lt;0,AB22,0),0)</f>
        <v>0</v>
      </c>
      <c r="AD22" s="210">
        <f t="shared" ref="AD22:AD53" si="15">IF(K22&lt;&gt;"",K22-E22,0)</f>
        <v>1.296527777776646</v>
      </c>
      <c r="AE22" s="210">
        <f t="shared" ref="AE22:AE53" si="16">IF(N22&gt;0,AD22,0)</f>
        <v>1.296527777776646</v>
      </c>
      <c r="AF22" s="210">
        <f t="shared" ref="AF22:AF53" si="17">IF(N22&lt;0,AD22,0)</f>
        <v>0</v>
      </c>
      <c r="AG22" s="210">
        <f t="shared" ref="AG22:AG53" si="18">IF(N22=0,AD22,0)</f>
        <v>0</v>
      </c>
      <c r="AH22" s="176"/>
      <c r="AI22" s="109"/>
    </row>
    <row r="23" spans="1:35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44866.427083333336</v>
      </c>
      <c r="F23" s="200" t="s">
        <v>115</v>
      </c>
      <c r="G23" s="201">
        <v>170.227</v>
      </c>
      <c r="H23" s="201">
        <v>170.809</v>
      </c>
      <c r="I23" s="202">
        <f t="shared" si="1"/>
        <v>0.58199999999999363</v>
      </c>
      <c r="J23" s="201">
        <v>168.565</v>
      </c>
      <c r="K23" s="199">
        <v>44866.710416666669</v>
      </c>
      <c r="L23" s="201">
        <v>170.471</v>
      </c>
      <c r="M23" s="203">
        <f t="shared" si="2"/>
        <v>-0.24399999999999999</v>
      </c>
      <c r="N23" s="204">
        <f t="shared" si="3"/>
        <v>-0.42</v>
      </c>
      <c r="O23" s="205">
        <f t="shared" si="4"/>
        <v>0</v>
      </c>
      <c r="P23" s="206">
        <f t="shared" si="5"/>
        <v>0</v>
      </c>
      <c r="Q23" s="206">
        <f t="shared" si="6"/>
        <v>-0.42</v>
      </c>
      <c r="R2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13447</v>
      </c>
      <c r="T2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3" s="208">
        <f ca="1">IF(Tabla33610673486[[#This Row],[Equity]]&lt;Tabla33610673486[[#This Row],[Equity Peak]],(Tabla33610673486[[#This Row],[Equity Peak]]-Tabla33610673486[[#This Row],[Equity]])/Tabla33610673486[[#This Row],[Equity Peak]],"")</f>
        <v>4.0734705969486E-3</v>
      </c>
      <c r="V23" s="209">
        <f t="shared" si="7"/>
        <v>-0.42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0.28333333333284827</v>
      </c>
      <c r="AE23" s="210">
        <f t="shared" si="16"/>
        <v>0</v>
      </c>
      <c r="AF23" s="210">
        <f t="shared" si="17"/>
        <v>0.28333333333284827</v>
      </c>
      <c r="AG23" s="210">
        <f t="shared" si="18"/>
        <v>0</v>
      </c>
    </row>
    <row r="24" spans="1:35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44862.510416666664</v>
      </c>
      <c r="F24" s="200" t="s">
        <v>115</v>
      </c>
      <c r="G24" s="201">
        <v>170.173</v>
      </c>
      <c r="H24" s="201">
        <v>169.50399999999999</v>
      </c>
      <c r="I24" s="202">
        <f t="shared" si="1"/>
        <v>0.66900000000001114</v>
      </c>
      <c r="J24" s="201">
        <v>172.08500000000001</v>
      </c>
      <c r="K24" s="199">
        <v>44865.163194444445</v>
      </c>
      <c r="L24" s="201">
        <v>172.08500000000001</v>
      </c>
      <c r="M24" s="203">
        <f t="shared" si="2"/>
        <v>1.9119999999999999</v>
      </c>
      <c r="N24" s="204">
        <f t="shared" si="3"/>
        <v>2.86</v>
      </c>
      <c r="O24" s="205">
        <f t="shared" si="4"/>
        <v>0</v>
      </c>
      <c r="P24" s="206">
        <f t="shared" si="5"/>
        <v>2.86</v>
      </c>
      <c r="Q24" s="206">
        <f t="shared" si="6"/>
        <v>0</v>
      </c>
      <c r="R2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13489</v>
      </c>
      <c r="T2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4" s="208">
        <f ca="1">IF(Tabla33610673486[[#This Row],[Equity]]&lt;Tabla33610673486[[#This Row],[Equity Peak]],(Tabla33610673486[[#This Row],[Equity Peak]]-Tabla33610673486[[#This Row],[Equity]])/Tabla33610673486[[#This Row],[Equity Peak]],"")</f>
        <v>9.6282032291512365E-4</v>
      </c>
      <c r="V24" s="209">
        <f t="shared" si="7"/>
        <v>2.86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2.6527777777810115</v>
      </c>
      <c r="AE24" s="210">
        <f t="shared" si="16"/>
        <v>2.6527777777810115</v>
      </c>
      <c r="AF24" s="210">
        <f t="shared" si="17"/>
        <v>0</v>
      </c>
      <c r="AG24" s="210">
        <f t="shared" si="18"/>
        <v>0</v>
      </c>
    </row>
    <row r="25" spans="1:35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44861.34375</v>
      </c>
      <c r="F25" s="200" t="s">
        <v>115</v>
      </c>
      <c r="G25" s="201">
        <v>169.18</v>
      </c>
      <c r="H25" s="201">
        <v>169.83099999999999</v>
      </c>
      <c r="I25" s="202">
        <f t="shared" si="1"/>
        <v>0.65099999999998204</v>
      </c>
      <c r="J25" s="201">
        <v>167.31899999999999</v>
      </c>
      <c r="K25" s="199">
        <v>44861.595138888886</v>
      </c>
      <c r="L25" s="201">
        <v>169.53700000000001</v>
      </c>
      <c r="M25" s="203">
        <f t="shared" si="2"/>
        <v>-0.35699999999999998</v>
      </c>
      <c r="N25" s="204">
        <f t="shared" si="3"/>
        <v>-0.55000000000000004</v>
      </c>
      <c r="O25" s="205">
        <f t="shared" si="4"/>
        <v>0</v>
      </c>
      <c r="P25" s="206">
        <f t="shared" si="5"/>
        <v>0</v>
      </c>
      <c r="Q25" s="206">
        <f t="shared" si="6"/>
        <v>-0.55000000000000004</v>
      </c>
      <c r="R2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13203</v>
      </c>
      <c r="T2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5" s="208">
        <f ca="1">IF(Tabla33610673486[[#This Row],[Equity]]&lt;Tabla33610673486[[#This Row],[Equity Peak]],(Tabla33610673486[[#This Row],[Equity Peak]]-Tabla33610673486[[#This Row],[Equity]])/Tabla33610673486[[#This Row],[Equity Peak]],"")</f>
        <v>2.2144867427047844E-2</v>
      </c>
      <c r="V25" s="209">
        <f t="shared" si="7"/>
        <v>-0.55000000000000004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0.25138888888614019</v>
      </c>
      <c r="AE25" s="210">
        <f t="shared" si="16"/>
        <v>0</v>
      </c>
      <c r="AF25" s="210">
        <f t="shared" si="17"/>
        <v>0.25138888888614019</v>
      </c>
      <c r="AG25" s="210">
        <f t="shared" si="18"/>
        <v>0</v>
      </c>
    </row>
    <row r="26" spans="1:35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44859.697916666664</v>
      </c>
      <c r="F26" s="200" t="s">
        <v>115</v>
      </c>
      <c r="G26" s="201">
        <v>169.625</v>
      </c>
      <c r="H26" s="201">
        <v>168.61600000000001</v>
      </c>
      <c r="I26" s="202">
        <f t="shared" si="1"/>
        <v>1.0089999999999861</v>
      </c>
      <c r="J26" s="201">
        <v>172.50800000000001</v>
      </c>
      <c r="K26" s="199">
        <v>44860.724305555559</v>
      </c>
      <c r="L26" s="201">
        <v>169.58500000000001</v>
      </c>
      <c r="M26" s="203">
        <f t="shared" si="2"/>
        <v>-0.04</v>
      </c>
      <c r="N26" s="204">
        <f t="shared" si="3"/>
        <v>-0.04</v>
      </c>
      <c r="O26" s="205">
        <f t="shared" si="4"/>
        <v>0</v>
      </c>
      <c r="P26" s="206">
        <f t="shared" si="5"/>
        <v>0</v>
      </c>
      <c r="Q26" s="206">
        <f t="shared" si="6"/>
        <v>-0.04</v>
      </c>
      <c r="R2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13258</v>
      </c>
      <c r="T2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6" s="208">
        <f ca="1">IF(Tabla33610673486[[#This Row],[Equity]]&lt;Tabla33610673486[[#This Row],[Equity Peak]],(Tabla33610673486[[#This Row],[Equity Peak]]-Tabla33610673486[[#This Row],[Equity]])/Tabla33610673486[[#This Row],[Equity Peak]],"")</f>
        <v>1.8071396830099246E-2</v>
      </c>
      <c r="V26" s="209">
        <f t="shared" si="7"/>
        <v>-0.04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1.0263888888948713</v>
      </c>
      <c r="AE26" s="210">
        <f t="shared" si="16"/>
        <v>0</v>
      </c>
      <c r="AF26" s="210">
        <f t="shared" si="17"/>
        <v>1.0263888888948713</v>
      </c>
      <c r="AG26" s="210">
        <f t="shared" si="18"/>
        <v>0</v>
      </c>
    </row>
    <row r="27" spans="1:35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44855.760416666664</v>
      </c>
      <c r="F27" s="200" t="s">
        <v>115</v>
      </c>
      <c r="G27" s="201">
        <v>165.90100000000001</v>
      </c>
      <c r="H27" s="201">
        <v>166.791</v>
      </c>
      <c r="I27" s="202">
        <f t="shared" si="1"/>
        <v>0.88999999999998636</v>
      </c>
      <c r="J27" s="201">
        <v>163.358</v>
      </c>
      <c r="K27" s="199">
        <v>44855.845833333333</v>
      </c>
      <c r="L27" s="201">
        <v>166.261</v>
      </c>
      <c r="M27" s="203">
        <f t="shared" si="2"/>
        <v>-0.36</v>
      </c>
      <c r="N27" s="204">
        <f t="shared" si="3"/>
        <v>-0.4</v>
      </c>
      <c r="O27" s="205">
        <f t="shared" si="4"/>
        <v>0</v>
      </c>
      <c r="P27" s="206">
        <f t="shared" si="5"/>
        <v>0</v>
      </c>
      <c r="Q27" s="206">
        <f t="shared" si="6"/>
        <v>-0.4</v>
      </c>
      <c r="R2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13262</v>
      </c>
      <c r="T2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7" s="208">
        <f ca="1">IF(Tabla33610673486[[#This Row],[Equity]]&lt;Tabla33610673486[[#This Row],[Equity Peak]],(Tabla33610673486[[#This Row],[Equity Peak]]-Tabla33610673486[[#This Row],[Equity]])/Tabla33610673486[[#This Row],[Equity Peak]],"")</f>
        <v>1.7775144423048436E-2</v>
      </c>
      <c r="V27" s="209">
        <f t="shared" si="7"/>
        <v>-0.4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8.5416666668606922E-2</v>
      </c>
      <c r="AE27" s="210">
        <f t="shared" si="16"/>
        <v>0</v>
      </c>
      <c r="AF27" s="210">
        <f t="shared" si="17"/>
        <v>8.5416666668606922E-2</v>
      </c>
      <c r="AG27" s="210">
        <f t="shared" si="18"/>
        <v>0</v>
      </c>
    </row>
    <row r="28" spans="1:35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44854.729166666664</v>
      </c>
      <c r="F28" s="200" t="s">
        <v>115</v>
      </c>
      <c r="G28" s="201">
        <v>169.648</v>
      </c>
      <c r="H28" s="201">
        <v>168.88200000000001</v>
      </c>
      <c r="I28" s="202">
        <f t="shared" si="1"/>
        <v>0.76599999999999113</v>
      </c>
      <c r="J28" s="201">
        <v>171.83699999999999</v>
      </c>
      <c r="K28" s="199">
        <v>44854.793749999997</v>
      </c>
      <c r="L28" s="201">
        <v>168.88200000000001</v>
      </c>
      <c r="M28" s="203">
        <f t="shared" si="2"/>
        <v>-0.76600000000000001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13302</v>
      </c>
      <c r="T2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8" s="208">
        <f ca="1">IF(Tabla33610673486[[#This Row],[Equity]]&lt;Tabla33610673486[[#This Row],[Equity Peak]],(Tabla33610673486[[#This Row],[Equity Peak]]-Tabla33610673486[[#This Row],[Equity]])/Tabla33610673486[[#This Row],[Equity Peak]],"")</f>
        <v>1.4812620352540365E-2</v>
      </c>
      <c r="V28" s="209">
        <f t="shared" si="7"/>
        <v>-1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6.4583333332848269E-2</v>
      </c>
      <c r="AE28" s="210">
        <f t="shared" si="16"/>
        <v>0</v>
      </c>
      <c r="AF28" s="210">
        <f t="shared" si="17"/>
        <v>6.4583333332848269E-2</v>
      </c>
      <c r="AG28" s="210">
        <f t="shared" si="18"/>
        <v>0</v>
      </c>
    </row>
    <row r="29" spans="1:35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44854.510416666664</v>
      </c>
      <c r="F29" s="200" t="s">
        <v>115</v>
      </c>
      <c r="G29" s="201">
        <v>167.52</v>
      </c>
      <c r="H29" s="201">
        <v>168.20099999999999</v>
      </c>
      <c r="I29" s="202">
        <f t="shared" si="1"/>
        <v>0.68099999999998317</v>
      </c>
      <c r="J29" s="201">
        <v>165.57499999999999</v>
      </c>
      <c r="K29" s="199">
        <v>44854.591666666667</v>
      </c>
      <c r="L29" s="201">
        <v>168.20099999999999</v>
      </c>
      <c r="M29" s="203">
        <f t="shared" si="2"/>
        <v>-0.68100000000000005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13402</v>
      </c>
      <c r="T2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29" s="208">
        <f ca="1">IF(Tabla33610673486[[#This Row],[Equity]]&lt;Tabla33610673486[[#This Row],[Equity Peak]],(Tabla33610673486[[#This Row],[Equity Peak]]-Tabla33610673486[[#This Row],[Equity]])/Tabla33610673486[[#This Row],[Equity Peak]],"")</f>
        <v>7.4063101762701826E-3</v>
      </c>
      <c r="V29" s="209">
        <f t="shared" si="7"/>
        <v>-1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8.1250000002910383E-2</v>
      </c>
      <c r="AE29" s="210">
        <f t="shared" si="16"/>
        <v>0</v>
      </c>
      <c r="AF29" s="210">
        <f t="shared" si="17"/>
        <v>8.1250000002910383E-2</v>
      </c>
      <c r="AG29" s="210">
        <f t="shared" si="18"/>
        <v>0</v>
      </c>
    </row>
    <row r="30" spans="1:35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44851.34375</v>
      </c>
      <c r="F30" s="200" t="s">
        <v>115</v>
      </c>
      <c r="G30" s="201">
        <v>167.31</v>
      </c>
      <c r="H30" s="201">
        <v>166.273</v>
      </c>
      <c r="I30" s="202">
        <f t="shared" si="1"/>
        <v>1.0370000000000061</v>
      </c>
      <c r="J30" s="201">
        <v>170.273</v>
      </c>
      <c r="K30" s="199">
        <v>44852.50277777778</v>
      </c>
      <c r="L30" s="201">
        <v>168.38800000000001</v>
      </c>
      <c r="M30" s="203">
        <f t="shared" si="2"/>
        <v>1.0780000000000001</v>
      </c>
      <c r="N30" s="204">
        <f t="shared" si="3"/>
        <v>1.04</v>
      </c>
      <c r="O30" s="205">
        <f t="shared" si="4"/>
        <v>0</v>
      </c>
      <c r="P30" s="206">
        <f t="shared" si="5"/>
        <v>1.04</v>
      </c>
      <c r="Q30" s="206">
        <f t="shared" si="6"/>
        <v>0</v>
      </c>
      <c r="R3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13502</v>
      </c>
      <c r="T3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13502</v>
      </c>
      <c r="U3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0" s="209">
        <f t="shared" si="7"/>
        <v>1.04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1.1590277777795563</v>
      </c>
      <c r="AE30" s="210">
        <f t="shared" si="16"/>
        <v>1.1590277777795563</v>
      </c>
      <c r="AF30" s="210">
        <f t="shared" si="17"/>
        <v>0</v>
      </c>
      <c r="AG30" s="210">
        <f t="shared" si="18"/>
        <v>0</v>
      </c>
    </row>
    <row r="31" spans="1:35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44846.760416666664</v>
      </c>
      <c r="F31" s="200" t="s">
        <v>115</v>
      </c>
      <c r="G31" s="201">
        <v>162.75200000000001</v>
      </c>
      <c r="H31" s="201">
        <v>161.749</v>
      </c>
      <c r="I31" s="202">
        <f t="shared" si="1"/>
        <v>1.0030000000000143</v>
      </c>
      <c r="J31" s="201">
        <v>165.61699999999999</v>
      </c>
      <c r="K31" s="199">
        <v>44847.612500000003</v>
      </c>
      <c r="L31" s="201">
        <v>165.61699999999999</v>
      </c>
      <c r="M31" s="203">
        <f t="shared" si="2"/>
        <v>2.8650000000000002</v>
      </c>
      <c r="N31" s="204">
        <f t="shared" si="3"/>
        <v>2.86</v>
      </c>
      <c r="O31" s="205">
        <f t="shared" si="4"/>
        <v>0</v>
      </c>
      <c r="P31" s="206">
        <f t="shared" si="5"/>
        <v>2.86</v>
      </c>
      <c r="Q31" s="206">
        <f t="shared" si="6"/>
        <v>0</v>
      </c>
      <c r="R3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13398</v>
      </c>
      <c r="T3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1" s="208">
        <f ca="1">IF(Tabla33610673486[[#This Row],[Equity]]&lt;Tabla33610673486[[#This Row],[Equity Peak]],(Tabla33610673486[[#This Row],[Equity Peak]]-Tabla33610673486[[#This Row],[Equity]])/Tabla33610673486[[#This Row],[Equity Peak]],"")</f>
        <v>2.8282226853230128E-3</v>
      </c>
      <c r="V31" s="209">
        <f t="shared" si="7"/>
        <v>2.86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0.85208333333866904</v>
      </c>
      <c r="AE31" s="210">
        <f t="shared" si="16"/>
        <v>0.85208333333866904</v>
      </c>
      <c r="AF31" s="210">
        <f t="shared" si="17"/>
        <v>0</v>
      </c>
      <c r="AG31" s="210">
        <f t="shared" si="18"/>
        <v>0</v>
      </c>
    </row>
    <row r="32" spans="1:35" ht="15" customHeight="1" x14ac:dyDescent="0.3">
      <c r="B32" s="196" t="s">
        <v>7</v>
      </c>
      <c r="C32" s="197" t="s">
        <v>13</v>
      </c>
      <c r="D32" s="198" t="str">
        <f t="shared" si="0"/>
        <v>C</v>
      </c>
      <c r="E32" s="199">
        <v>44845.96875</v>
      </c>
      <c r="F32" s="200" t="s">
        <v>115</v>
      </c>
      <c r="G32" s="201">
        <v>159.773</v>
      </c>
      <c r="H32" s="201">
        <v>160.58199999999999</v>
      </c>
      <c r="I32" s="202">
        <f t="shared" si="1"/>
        <v>0.8089999999999975</v>
      </c>
      <c r="J32" s="201">
        <v>157.46299999999999</v>
      </c>
      <c r="K32" s="199">
        <v>44846.293749999997</v>
      </c>
      <c r="L32" s="201">
        <v>160.58199999999999</v>
      </c>
      <c r="M32" s="203">
        <f t="shared" si="2"/>
        <v>-0.80900000000000005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13112</v>
      </c>
      <c r="T3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2" s="208">
        <f ca="1">IF(Tabla33610673486[[#This Row],[Equity]]&lt;Tabla33610673486[[#This Row],[Equity Peak]],(Tabla33610673486[[#This Row],[Equity Peak]]-Tabla33610673486[[#This Row],[Equity]])/Tabla33610673486[[#This Row],[Equity Peak]],"")</f>
        <v>2.4114319738017267E-2</v>
      </c>
      <c r="V32" s="209">
        <f t="shared" si="7"/>
        <v>-1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0.32499999999708962</v>
      </c>
      <c r="AE32" s="210">
        <f t="shared" si="16"/>
        <v>0</v>
      </c>
      <c r="AF32" s="210">
        <f t="shared" si="17"/>
        <v>0.32499999999708962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0"/>
        <v>C</v>
      </c>
      <c r="E33" s="199">
        <v>44845.645833333336</v>
      </c>
      <c r="F33" s="200" t="s">
        <v>115</v>
      </c>
      <c r="G33" s="201">
        <v>161.67699999999999</v>
      </c>
      <c r="H33" s="201">
        <v>160.97200000000001</v>
      </c>
      <c r="I33" s="202">
        <f t="shared" si="1"/>
        <v>0.70499999999998408</v>
      </c>
      <c r="J33" s="201">
        <v>163.691</v>
      </c>
      <c r="K33" s="199">
        <v>44845.90625</v>
      </c>
      <c r="L33" s="201">
        <v>161.667</v>
      </c>
      <c r="M33" s="203">
        <f t="shared" si="2"/>
        <v>-0.01</v>
      </c>
      <c r="N33" s="204">
        <f t="shared" si="3"/>
        <v>-0.01</v>
      </c>
      <c r="O33" s="205">
        <f t="shared" si="4"/>
        <v>0</v>
      </c>
      <c r="P33" s="206">
        <f t="shared" si="5"/>
        <v>0</v>
      </c>
      <c r="Q33" s="206">
        <f t="shared" si="6"/>
        <v>-0.01</v>
      </c>
      <c r="R3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13212</v>
      </c>
      <c r="T3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3" s="208">
        <f ca="1">IF(Tabla33610673486[[#This Row],[Equity]]&lt;Tabla33610673486[[#This Row],[Equity Peak]],(Tabla33610673486[[#This Row],[Equity Peak]]-Tabla33610673486[[#This Row],[Equity]])/Tabla33610673486[[#This Row],[Equity Peak]],"")</f>
        <v>1.6671628460851445E-2</v>
      </c>
      <c r="V33" s="209">
        <f t="shared" si="7"/>
        <v>-0.01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0.26041666666424135</v>
      </c>
      <c r="AE33" s="210">
        <f t="shared" si="16"/>
        <v>0</v>
      </c>
      <c r="AF33" s="210">
        <f t="shared" si="17"/>
        <v>0.26041666666424135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0"/>
        <v>C</v>
      </c>
      <c r="E34" s="199">
        <v>44841.90625</v>
      </c>
      <c r="F34" s="200" t="s">
        <v>115</v>
      </c>
      <c r="G34" s="201">
        <v>161.029</v>
      </c>
      <c r="H34" s="201">
        <v>161.85</v>
      </c>
      <c r="I34" s="202">
        <f t="shared" si="1"/>
        <v>0.82099999999999795</v>
      </c>
      <c r="J34" s="201">
        <v>158.68199999999999</v>
      </c>
      <c r="K34" s="199">
        <v>44845.140972222223</v>
      </c>
      <c r="L34" s="201">
        <v>161.476</v>
      </c>
      <c r="M34" s="203">
        <f t="shared" si="2"/>
        <v>-0.44700000000000001</v>
      </c>
      <c r="N34" s="204">
        <f t="shared" si="3"/>
        <v>-0.54</v>
      </c>
      <c r="O34" s="205">
        <f t="shared" si="4"/>
        <v>0</v>
      </c>
      <c r="P34" s="206">
        <f t="shared" si="5"/>
        <v>0</v>
      </c>
      <c r="Q34" s="206">
        <f t="shared" si="6"/>
        <v>-0.54</v>
      </c>
      <c r="R3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13213</v>
      </c>
      <c r="T3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4" s="208">
        <f ca="1">IF(Tabla33610673486[[#This Row],[Equity]]&lt;Tabla33610673486[[#This Row],[Equity Peak]],(Tabla33610673486[[#This Row],[Equity Peak]]-Tabla33610673486[[#This Row],[Equity]])/Tabla33610673486[[#This Row],[Equity Peak]],"")</f>
        <v>1.6597201548079785E-2</v>
      </c>
      <c r="V34" s="209">
        <f t="shared" si="7"/>
        <v>-0.54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3.234722222223354</v>
      </c>
      <c r="AE34" s="210">
        <f t="shared" si="16"/>
        <v>0</v>
      </c>
      <c r="AF34" s="210">
        <f t="shared" si="17"/>
        <v>3.234722222223354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44840.6875</v>
      </c>
      <c r="F35" s="200" t="s">
        <v>115</v>
      </c>
      <c r="G35" s="201">
        <v>162.46100000000001</v>
      </c>
      <c r="H35" s="201">
        <v>163.30199999999999</v>
      </c>
      <c r="I35" s="202">
        <f t="shared" si="1"/>
        <v>0.84099999999997976</v>
      </c>
      <c r="J35" s="201">
        <v>160.05799999999999</v>
      </c>
      <c r="K35" s="199">
        <v>44841.48541666667</v>
      </c>
      <c r="L35" s="201">
        <v>162.464</v>
      </c>
      <c r="M35" s="203">
        <f t="shared" si="2"/>
        <v>-3.0000000000000001E-3</v>
      </c>
      <c r="N35" s="204">
        <f t="shared" si="3"/>
        <v>0</v>
      </c>
      <c r="O35" s="205">
        <f t="shared" si="4"/>
        <v>0</v>
      </c>
      <c r="P35" s="206">
        <f t="shared" si="5"/>
        <v>0</v>
      </c>
      <c r="Q35" s="206">
        <f t="shared" si="6"/>
        <v>0</v>
      </c>
      <c r="R3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13267</v>
      </c>
      <c r="T3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5" s="208">
        <f ca="1">IF(Tabla33610673486[[#This Row],[Equity]]&lt;Tabla33610673486[[#This Row],[Equity Peak]],(Tabla33610673486[[#This Row],[Equity Peak]]-Tabla33610673486[[#This Row],[Equity]])/Tabla33610673486[[#This Row],[Equity Peak]],"")</f>
        <v>1.2578148258410242E-2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0.79791666667006211</v>
      </c>
      <c r="AE35" s="210">
        <f t="shared" si="16"/>
        <v>0</v>
      </c>
      <c r="AF35" s="210">
        <f t="shared" si="17"/>
        <v>0</v>
      </c>
      <c r="AG35" s="210">
        <f t="shared" si="18"/>
        <v>0.79791666667006211</v>
      </c>
    </row>
    <row r="36" spans="2:33" ht="15" customHeight="1" x14ac:dyDescent="0.3">
      <c r="B36" s="196" t="s">
        <v>7</v>
      </c>
      <c r="C36" s="197" t="s">
        <v>13</v>
      </c>
      <c r="D36" s="198" t="str">
        <f t="shared" si="0"/>
        <v>C</v>
      </c>
      <c r="E36" s="199">
        <v>44839.65625</v>
      </c>
      <c r="F36" s="200" t="s">
        <v>115</v>
      </c>
      <c r="G36" s="201">
        <v>163.44800000000001</v>
      </c>
      <c r="H36" s="201">
        <v>164.31200000000001</v>
      </c>
      <c r="I36" s="202">
        <f t="shared" si="1"/>
        <v>0.86400000000000432</v>
      </c>
      <c r="J36" s="201">
        <v>160.98099999999999</v>
      </c>
      <c r="K36" s="199">
        <v>44839.841666666667</v>
      </c>
      <c r="L36" s="201">
        <v>163.654</v>
      </c>
      <c r="M36" s="203">
        <f t="shared" si="2"/>
        <v>-0.20599999999999999</v>
      </c>
      <c r="N36" s="204">
        <f t="shared" si="3"/>
        <v>-0.24</v>
      </c>
      <c r="O36" s="205">
        <f t="shared" si="4"/>
        <v>0</v>
      </c>
      <c r="P36" s="206">
        <f t="shared" si="5"/>
        <v>0</v>
      </c>
      <c r="Q36" s="206">
        <f t="shared" si="6"/>
        <v>-0.24</v>
      </c>
      <c r="R3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13267</v>
      </c>
      <c r="T3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6" s="208">
        <f ca="1">IF(Tabla33610673486[[#This Row],[Equity]]&lt;Tabla33610673486[[#This Row],[Equity Peak]],(Tabla33610673486[[#This Row],[Equity Peak]]-Tabla33610673486[[#This Row],[Equity]])/Tabla33610673486[[#This Row],[Equity Peak]],"")</f>
        <v>1.2578148258410242E-2</v>
      </c>
      <c r="V36" s="209">
        <f t="shared" si="7"/>
        <v>-0.24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0.18541666666715173</v>
      </c>
      <c r="AE36" s="210">
        <f t="shared" si="16"/>
        <v>0</v>
      </c>
      <c r="AF36" s="210">
        <f t="shared" si="17"/>
        <v>0.18541666666715173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0"/>
        <v>C</v>
      </c>
      <c r="E37" s="199">
        <v>44837.375</v>
      </c>
      <c r="F37" s="200" t="s">
        <v>115</v>
      </c>
      <c r="G37" s="201">
        <v>162.84200000000001</v>
      </c>
      <c r="H37" s="201">
        <v>161.65899999999999</v>
      </c>
      <c r="I37" s="202">
        <f t="shared" si="1"/>
        <v>1.1830000000000211</v>
      </c>
      <c r="J37" s="201">
        <v>166.22300000000001</v>
      </c>
      <c r="K37" s="199">
        <v>44839.568749999999</v>
      </c>
      <c r="L37" s="201">
        <v>164.238</v>
      </c>
      <c r="M37" s="203">
        <f t="shared" si="2"/>
        <v>1.3959999999999999</v>
      </c>
      <c r="N37" s="204">
        <f t="shared" si="3"/>
        <v>1.18</v>
      </c>
      <c r="O37" s="205">
        <f t="shared" si="4"/>
        <v>0</v>
      </c>
      <c r="P37" s="206">
        <f t="shared" si="5"/>
        <v>1.18</v>
      </c>
      <c r="Q37" s="206">
        <f t="shared" si="6"/>
        <v>0</v>
      </c>
      <c r="R3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13291</v>
      </c>
      <c r="T3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7" s="208">
        <f ca="1">IF(Tabla33610673486[[#This Row],[Equity]]&lt;Tabla33610673486[[#This Row],[Equity Peak]],(Tabla33610673486[[#This Row],[Equity Peak]]-Tabla33610673486[[#This Row],[Equity]])/Tabla33610673486[[#This Row],[Equity Peak]],"")</f>
        <v>1.0791902351890443E-2</v>
      </c>
      <c r="V37" s="209">
        <f t="shared" si="7"/>
        <v>1.18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2.1937499999985448</v>
      </c>
      <c r="AE37" s="210">
        <f t="shared" si="16"/>
        <v>2.1937499999985448</v>
      </c>
      <c r="AF37" s="210">
        <f t="shared" si="17"/>
        <v>0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0"/>
        <v>C</v>
      </c>
      <c r="E38" s="199">
        <v>44833.53125</v>
      </c>
      <c r="F38" s="200" t="s">
        <v>115</v>
      </c>
      <c r="G38" s="201">
        <v>157.595</v>
      </c>
      <c r="H38" s="201">
        <v>156.48400000000001</v>
      </c>
      <c r="I38" s="202">
        <f t="shared" si="1"/>
        <v>1.11099999999999</v>
      </c>
      <c r="J38" s="201">
        <v>160.768</v>
      </c>
      <c r="K38" s="199">
        <v>44834.043055555558</v>
      </c>
      <c r="L38" s="201">
        <v>160.768</v>
      </c>
      <c r="M38" s="203">
        <f t="shared" si="2"/>
        <v>3.173</v>
      </c>
      <c r="N38" s="204">
        <f t="shared" si="3"/>
        <v>2.86</v>
      </c>
      <c r="O38" s="205">
        <f t="shared" si="4"/>
        <v>0</v>
      </c>
      <c r="P38" s="206">
        <f t="shared" si="5"/>
        <v>2.86</v>
      </c>
      <c r="Q38" s="206">
        <f t="shared" si="6"/>
        <v>0</v>
      </c>
      <c r="R3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13173</v>
      </c>
      <c r="T3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8" s="208">
        <f ca="1">IF(Tabla33610673486[[#This Row],[Equity]]&lt;Tabla33610673486[[#This Row],[Equity Peak]],(Tabla33610673486[[#This Row],[Equity Peak]]-Tabla33610673486[[#This Row],[Equity]])/Tabla33610673486[[#This Row],[Equity Peak]],"")</f>
        <v>1.9574278058946116E-2</v>
      </c>
      <c r="V38" s="209">
        <f t="shared" si="7"/>
        <v>2.86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0.5118055555576575</v>
      </c>
      <c r="AE38" s="210">
        <f t="shared" si="16"/>
        <v>0.5118055555576575</v>
      </c>
      <c r="AF38" s="210">
        <f t="shared" si="17"/>
        <v>0</v>
      </c>
      <c r="AG38" s="210">
        <f t="shared" si="18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0"/>
        <v>C</v>
      </c>
      <c r="E39" s="199">
        <v>44832.84375</v>
      </c>
      <c r="F39" s="200" t="s">
        <v>115</v>
      </c>
      <c r="G39" s="201">
        <v>156.84200000000001</v>
      </c>
      <c r="H39" s="201">
        <v>155.63399999999999</v>
      </c>
      <c r="I39" s="202">
        <f t="shared" si="1"/>
        <v>1.2080000000000268</v>
      </c>
      <c r="J39" s="201">
        <v>160.29300000000001</v>
      </c>
      <c r="K39" s="199">
        <v>44833.229166666664</v>
      </c>
      <c r="L39" s="201">
        <v>155.63399999999999</v>
      </c>
      <c r="M39" s="203">
        <f t="shared" si="2"/>
        <v>-1.208</v>
      </c>
      <c r="N39" s="204">
        <f t="shared" si="3"/>
        <v>-1</v>
      </c>
      <c r="O39" s="205">
        <f t="shared" si="4"/>
        <v>0</v>
      </c>
      <c r="P39" s="206">
        <f t="shared" si="5"/>
        <v>0</v>
      </c>
      <c r="Q39" s="206">
        <f t="shared" si="6"/>
        <v>-1</v>
      </c>
      <c r="R3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12887</v>
      </c>
      <c r="T3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39" s="208">
        <f ca="1">IF(Tabla33610673486[[#This Row],[Equity]]&lt;Tabla33610673486[[#This Row],[Equity Peak]],(Tabla33610673486[[#This Row],[Equity Peak]]-Tabla33610673486[[#This Row],[Equity]])/Tabla33610673486[[#This Row],[Equity Peak]],"")</f>
        <v>4.0860375111640368E-2</v>
      </c>
      <c r="V39" s="209">
        <f t="shared" si="7"/>
        <v>-1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0.38541666666424135</v>
      </c>
      <c r="AE39" s="210">
        <f t="shared" si="16"/>
        <v>0</v>
      </c>
      <c r="AF39" s="210">
        <f t="shared" si="17"/>
        <v>0.38541666666424135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0"/>
        <v>C</v>
      </c>
      <c r="E40" s="199">
        <v>44832.59375</v>
      </c>
      <c r="F40" s="200" t="s">
        <v>115</v>
      </c>
      <c r="G40" s="201">
        <v>153.04599999999999</v>
      </c>
      <c r="H40" s="201">
        <v>154.089</v>
      </c>
      <c r="I40" s="202">
        <f t="shared" si="1"/>
        <v>1.0430000000000064</v>
      </c>
      <c r="J40" s="201">
        <v>150.065</v>
      </c>
      <c r="K40" s="199">
        <v>44832.640972222223</v>
      </c>
      <c r="L40" s="201">
        <v>153.90600000000001</v>
      </c>
      <c r="M40" s="203">
        <f t="shared" si="2"/>
        <v>-0.86</v>
      </c>
      <c r="N40" s="204">
        <f t="shared" si="3"/>
        <v>-0.82</v>
      </c>
      <c r="O40" s="205">
        <f t="shared" si="4"/>
        <v>0</v>
      </c>
      <c r="P40" s="206">
        <f t="shared" si="5"/>
        <v>0</v>
      </c>
      <c r="Q40" s="206">
        <f t="shared" si="6"/>
        <v>-0.82</v>
      </c>
      <c r="R4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12987</v>
      </c>
      <c r="T4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0" s="208">
        <f ca="1">IF(Tabla33610673486[[#This Row],[Equity]]&lt;Tabla33610673486[[#This Row],[Equity Peak]],(Tabla33610673486[[#This Row],[Equity Peak]]-Tabla33610673486[[#This Row],[Equity]])/Tabla33610673486[[#This Row],[Equity Peak]],"")</f>
        <v>3.3417683834474549E-2</v>
      </c>
      <c r="V40" s="209">
        <f t="shared" si="7"/>
        <v>-0.82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4.7222222223354038E-2</v>
      </c>
      <c r="AE40" s="210">
        <f t="shared" si="16"/>
        <v>0</v>
      </c>
      <c r="AF40" s="210">
        <f t="shared" si="17"/>
        <v>4.7222222223354038E-2</v>
      </c>
      <c r="AG40" s="210">
        <f t="shared" si="18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0"/>
        <v>C</v>
      </c>
      <c r="E41" s="199">
        <v>44832.25</v>
      </c>
      <c r="F41" s="200" t="s">
        <v>115</v>
      </c>
      <c r="G41" s="201">
        <v>153.79900000000001</v>
      </c>
      <c r="H41" s="201">
        <v>154.999</v>
      </c>
      <c r="I41" s="202">
        <f t="shared" si="1"/>
        <v>1.1999999999999886</v>
      </c>
      <c r="J41" s="201">
        <v>150.369</v>
      </c>
      <c r="K41" s="199">
        <v>44832.543055555558</v>
      </c>
      <c r="L41" s="201">
        <v>154.999</v>
      </c>
      <c r="M41" s="203">
        <f t="shared" si="2"/>
        <v>-1.2</v>
      </c>
      <c r="N41" s="204">
        <f t="shared" si="3"/>
        <v>-1</v>
      </c>
      <c r="O41" s="205">
        <f t="shared" si="4"/>
        <v>0</v>
      </c>
      <c r="P41" s="206">
        <f t="shared" si="5"/>
        <v>0</v>
      </c>
      <c r="Q41" s="206">
        <f t="shared" si="6"/>
        <v>-1</v>
      </c>
      <c r="R4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13069</v>
      </c>
      <c r="T4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1" s="208">
        <f ca="1">IF(Tabla33610673486[[#This Row],[Equity]]&lt;Tabla33610673486[[#This Row],[Equity Peak]],(Tabla33610673486[[#This Row],[Equity Peak]]-Tabla33610673486[[#This Row],[Equity]])/Tabla33610673486[[#This Row],[Equity Peak]],"")</f>
        <v>2.7314676987198572E-2</v>
      </c>
      <c r="V41" s="209">
        <f t="shared" si="7"/>
        <v>-1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0.2930555555576575</v>
      </c>
      <c r="AE41" s="210">
        <f t="shared" si="16"/>
        <v>0</v>
      </c>
      <c r="AF41" s="210">
        <f t="shared" si="17"/>
        <v>0.2930555555576575</v>
      </c>
      <c r="AG41" s="210">
        <f t="shared" si="18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0"/>
        <v>C</v>
      </c>
      <c r="E42" s="199">
        <v>44827.541666666664</v>
      </c>
      <c r="F42" s="200" t="s">
        <v>115</v>
      </c>
      <c r="G42" s="201">
        <v>158.72399999999999</v>
      </c>
      <c r="H42" s="201">
        <v>159.768</v>
      </c>
      <c r="I42" s="202">
        <f t="shared" si="1"/>
        <v>1.0440000000000111</v>
      </c>
      <c r="J42" s="201">
        <v>155.74</v>
      </c>
      <c r="K42" s="199">
        <v>44827.815972222219</v>
      </c>
      <c r="L42" s="201">
        <v>155.74</v>
      </c>
      <c r="M42" s="203">
        <f t="shared" si="2"/>
        <v>2.984</v>
      </c>
      <c r="N42" s="204">
        <f t="shared" si="3"/>
        <v>2.86</v>
      </c>
      <c r="O42" s="205">
        <f t="shared" si="4"/>
        <v>0</v>
      </c>
      <c r="P42" s="206">
        <f t="shared" si="5"/>
        <v>2.86</v>
      </c>
      <c r="Q42" s="206">
        <f t="shared" si="6"/>
        <v>0</v>
      </c>
      <c r="R4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13169</v>
      </c>
      <c r="T4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2" s="208">
        <f ca="1">IF(Tabla33610673486[[#This Row],[Equity]]&lt;Tabla33610673486[[#This Row],[Equity Peak]],(Tabla33610673486[[#This Row],[Equity Peak]]-Tabla33610673486[[#This Row],[Equity]])/Tabla33610673486[[#This Row],[Equity Peak]],"")</f>
        <v>1.9871985710032746E-2</v>
      </c>
      <c r="V42" s="209">
        <f t="shared" si="7"/>
        <v>2.86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0.27430555555474712</v>
      </c>
      <c r="AE42" s="210">
        <f t="shared" si="16"/>
        <v>0.27430555555474712</v>
      </c>
      <c r="AF42" s="210">
        <f t="shared" si="17"/>
        <v>0</v>
      </c>
      <c r="AG42" s="210">
        <f t="shared" si="18"/>
        <v>0</v>
      </c>
    </row>
    <row r="43" spans="2:33" ht="15" customHeight="1" x14ac:dyDescent="0.3">
      <c r="B43" s="196" t="s">
        <v>7</v>
      </c>
      <c r="C43" s="197" t="s">
        <v>13</v>
      </c>
      <c r="D43" s="198" t="str">
        <f t="shared" si="0"/>
        <v>C</v>
      </c>
      <c r="E43" s="199">
        <v>44827.4375</v>
      </c>
      <c r="F43" s="200" t="s">
        <v>115</v>
      </c>
      <c r="G43" s="201">
        <v>159.095</v>
      </c>
      <c r="H43" s="201">
        <v>160.07300000000001</v>
      </c>
      <c r="I43" s="202">
        <f t="shared" si="1"/>
        <v>0.97800000000000864</v>
      </c>
      <c r="J43" s="201">
        <v>156.30099999999999</v>
      </c>
      <c r="K43" s="199">
        <v>44827.501388888886</v>
      </c>
      <c r="L43" s="201">
        <v>160.07300000000001</v>
      </c>
      <c r="M43" s="203">
        <f t="shared" si="2"/>
        <v>-0.97799999999999998</v>
      </c>
      <c r="N43" s="204">
        <f t="shared" si="3"/>
        <v>-1</v>
      </c>
      <c r="O43" s="205">
        <f t="shared" si="4"/>
        <v>0</v>
      </c>
      <c r="P43" s="206">
        <f t="shared" si="5"/>
        <v>0</v>
      </c>
      <c r="Q43" s="206">
        <f t="shared" si="6"/>
        <v>-1</v>
      </c>
      <c r="R4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12883</v>
      </c>
      <c r="T4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3" s="208">
        <f ca="1">IF(Tabla33610673486[[#This Row],[Equity]]&lt;Tabla33610673486[[#This Row],[Equity Peak]],(Tabla33610673486[[#This Row],[Equity Peak]]-Tabla33610673486[[#This Row],[Equity]])/Tabla33610673486[[#This Row],[Equity Peak]],"")</f>
        <v>4.1158082762727005E-2</v>
      </c>
      <c r="V43" s="209">
        <f t="shared" si="7"/>
        <v>-1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0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6.3888888886140194E-2</v>
      </c>
      <c r="AE43" s="210">
        <f t="shared" si="16"/>
        <v>0</v>
      </c>
      <c r="AF43" s="210">
        <f t="shared" si="17"/>
        <v>6.3888888886140194E-2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0"/>
        <v>C</v>
      </c>
      <c r="E44" s="199">
        <v>44826.635416666664</v>
      </c>
      <c r="F44" s="200" t="s">
        <v>115</v>
      </c>
      <c r="G44" s="201">
        <v>159.5</v>
      </c>
      <c r="H44" s="201">
        <v>160.42599999999999</v>
      </c>
      <c r="I44" s="202">
        <f t="shared" si="1"/>
        <v>0.92599999999998772</v>
      </c>
      <c r="J44" s="201">
        <v>156.85599999999999</v>
      </c>
      <c r="K44" s="199">
        <v>44826.820833333331</v>
      </c>
      <c r="L44" s="201">
        <v>160.42599999999999</v>
      </c>
      <c r="M44" s="203">
        <f t="shared" si="2"/>
        <v>-0.92600000000000005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12983</v>
      </c>
      <c r="T4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4" s="208">
        <f ca="1">IF(Tabla33610673486[[#This Row],[Equity]]&lt;Tabla33610673486[[#This Row],[Equity Peak]],(Tabla33610673486[[#This Row],[Equity Peak]]-Tabla33610673486[[#This Row],[Equity]])/Tabla33610673486[[#This Row],[Equity Peak]],"")</f>
        <v>3.3715391485561179E-2</v>
      </c>
      <c r="V44" s="209">
        <f t="shared" si="7"/>
        <v>-1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0.18541666666715173</v>
      </c>
      <c r="AE44" s="210">
        <f t="shared" si="16"/>
        <v>0</v>
      </c>
      <c r="AF44" s="210">
        <f t="shared" si="17"/>
        <v>0.18541666666715173</v>
      </c>
      <c r="AG44" s="210">
        <f t="shared" si="18"/>
        <v>0</v>
      </c>
    </row>
    <row r="45" spans="2:33" ht="15" customHeight="1" x14ac:dyDescent="0.3">
      <c r="B45" s="196" t="s">
        <v>7</v>
      </c>
      <c r="C45" s="197" t="s">
        <v>13</v>
      </c>
      <c r="D45" s="198" t="str">
        <f t="shared" si="0"/>
        <v>C</v>
      </c>
      <c r="E45" s="199">
        <v>44826.489583333336</v>
      </c>
      <c r="F45" s="200" t="s">
        <v>115</v>
      </c>
      <c r="G45" s="201">
        <v>159.952</v>
      </c>
      <c r="H45" s="201">
        <v>160.71600000000001</v>
      </c>
      <c r="I45" s="202">
        <f t="shared" si="1"/>
        <v>0.76400000000001</v>
      </c>
      <c r="J45" s="201">
        <v>157.76900000000001</v>
      </c>
      <c r="K45" s="199">
        <v>44826.494444444441</v>
      </c>
      <c r="L45" s="201">
        <v>160.71600000000001</v>
      </c>
      <c r="M45" s="203">
        <f t="shared" si="2"/>
        <v>-0.76400000000000001</v>
      </c>
      <c r="N45" s="204">
        <f t="shared" si="3"/>
        <v>-1</v>
      </c>
      <c r="O45" s="205">
        <f t="shared" si="4"/>
        <v>0</v>
      </c>
      <c r="P45" s="206">
        <f t="shared" si="5"/>
        <v>0</v>
      </c>
      <c r="Q45" s="206">
        <f t="shared" si="6"/>
        <v>-1</v>
      </c>
      <c r="R4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13083</v>
      </c>
      <c r="T4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5" s="208">
        <f ca="1">IF(Tabla33610673486[[#This Row],[Equity]]&lt;Tabla33610673486[[#This Row],[Equity Peak]],(Tabla33610673486[[#This Row],[Equity Peak]]-Tabla33610673486[[#This Row],[Equity]])/Tabla33610673486[[#This Row],[Equity Peak]],"")</f>
        <v>2.6272700208395356E-2</v>
      </c>
      <c r="V45" s="209">
        <f t="shared" si="7"/>
        <v>-1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4.8611111051286571E-3</v>
      </c>
      <c r="AE45" s="210">
        <f t="shared" si="16"/>
        <v>0</v>
      </c>
      <c r="AF45" s="210">
        <f t="shared" si="17"/>
        <v>4.8611111051286571E-3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0"/>
        <v>C</v>
      </c>
      <c r="E46" s="199">
        <v>44826.447916666664</v>
      </c>
      <c r="F46" s="200" t="s">
        <v>115</v>
      </c>
      <c r="G46" s="201">
        <v>164.142</v>
      </c>
      <c r="H46" s="201">
        <v>163.49100000000001</v>
      </c>
      <c r="I46" s="202">
        <f t="shared" si="1"/>
        <v>0.65099999999998204</v>
      </c>
      <c r="J46" s="201">
        <v>166.00299999999999</v>
      </c>
      <c r="K46" s="199">
        <v>44826.461111111108</v>
      </c>
      <c r="L46" s="201">
        <v>163.58000000000001</v>
      </c>
      <c r="M46" s="203">
        <f t="shared" si="2"/>
        <v>-0.56200000000000006</v>
      </c>
      <c r="N46" s="204">
        <f t="shared" si="3"/>
        <v>-0.86</v>
      </c>
      <c r="O46" s="205">
        <f t="shared" si="4"/>
        <v>0</v>
      </c>
      <c r="P46" s="206">
        <f t="shared" si="5"/>
        <v>0</v>
      </c>
      <c r="Q46" s="206">
        <f t="shared" si="6"/>
        <v>-0.86</v>
      </c>
      <c r="R4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13183</v>
      </c>
      <c r="T4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6" s="208">
        <f ca="1">IF(Tabla33610673486[[#This Row],[Equity]]&lt;Tabla33610673486[[#This Row],[Equity Peak]],(Tabla33610673486[[#This Row],[Equity Peak]]-Tabla33610673486[[#This Row],[Equity]])/Tabla33610673486[[#This Row],[Equity Peak]],"")</f>
        <v>1.8830008931229533E-2</v>
      </c>
      <c r="V46" s="209">
        <f t="shared" si="7"/>
        <v>-0.86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1.3194444443797693E-2</v>
      </c>
      <c r="AE46" s="210">
        <f t="shared" si="16"/>
        <v>0</v>
      </c>
      <c r="AF46" s="210">
        <f t="shared" si="17"/>
        <v>1.3194444443797693E-2</v>
      </c>
      <c r="AG46" s="210">
        <f t="shared" si="18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0"/>
        <v>C</v>
      </c>
      <c r="E47" s="199">
        <v>44825.96875</v>
      </c>
      <c r="F47" s="200" t="s">
        <v>115</v>
      </c>
      <c r="G47" s="201">
        <v>162.28399999999999</v>
      </c>
      <c r="H47" s="201">
        <v>162.857</v>
      </c>
      <c r="I47" s="202">
        <f t="shared" si="1"/>
        <v>0.5730000000000075</v>
      </c>
      <c r="J47" s="201">
        <v>160.64699999999999</v>
      </c>
      <c r="K47" s="199">
        <v>44826.243750000001</v>
      </c>
      <c r="L47" s="201">
        <v>162.66800000000001</v>
      </c>
      <c r="M47" s="203">
        <f t="shared" si="2"/>
        <v>-0.38400000000000001</v>
      </c>
      <c r="N47" s="204">
        <f t="shared" si="3"/>
        <v>-0.67</v>
      </c>
      <c r="O47" s="205">
        <f t="shared" si="4"/>
        <v>0</v>
      </c>
      <c r="P47" s="206">
        <f t="shared" si="5"/>
        <v>0</v>
      </c>
      <c r="Q47" s="206">
        <f t="shared" si="6"/>
        <v>-0.67</v>
      </c>
      <c r="R4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13269</v>
      </c>
      <c r="T4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7" s="208">
        <f ca="1">IF(Tabla33610673486[[#This Row],[Equity]]&lt;Tabla33610673486[[#This Row],[Equity Peak]],(Tabla33610673486[[#This Row],[Equity Peak]]-Tabla33610673486[[#This Row],[Equity]])/Tabla33610673486[[#This Row],[Equity Peak]],"")</f>
        <v>1.2429294432866925E-2</v>
      </c>
      <c r="V47" s="209">
        <f t="shared" si="7"/>
        <v>-0.67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0.27500000000145519</v>
      </c>
      <c r="AE47" s="210">
        <f t="shared" si="16"/>
        <v>0</v>
      </c>
      <c r="AF47" s="210">
        <f t="shared" si="17"/>
        <v>0.27500000000145519</v>
      </c>
      <c r="AG47" s="210">
        <f t="shared" si="18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0"/>
        <v>C</v>
      </c>
      <c r="E48" s="199">
        <v>44825.40625</v>
      </c>
      <c r="F48" s="200" t="s">
        <v>115</v>
      </c>
      <c r="G48" s="201">
        <v>162.65100000000001</v>
      </c>
      <c r="H48" s="201">
        <v>163.119</v>
      </c>
      <c r="I48" s="202">
        <f t="shared" si="1"/>
        <v>0.46799999999998931</v>
      </c>
      <c r="J48" s="201">
        <v>161.31299999999999</v>
      </c>
      <c r="K48" s="199">
        <v>44825.509722222225</v>
      </c>
      <c r="L48" s="201">
        <v>163.119</v>
      </c>
      <c r="M48" s="203">
        <f t="shared" si="2"/>
        <v>-0.46800000000000003</v>
      </c>
      <c r="N48" s="204">
        <f t="shared" si="3"/>
        <v>-1</v>
      </c>
      <c r="O48" s="205">
        <f t="shared" si="4"/>
        <v>0</v>
      </c>
      <c r="P48" s="206">
        <f t="shared" si="5"/>
        <v>0</v>
      </c>
      <c r="Q48" s="206">
        <f t="shared" si="6"/>
        <v>-1</v>
      </c>
      <c r="R4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13336</v>
      </c>
      <c r="T4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8" s="208">
        <f ca="1">IF(Tabla33610673486[[#This Row],[Equity]]&lt;Tabla33610673486[[#This Row],[Equity Peak]],(Tabla33610673486[[#This Row],[Equity Peak]]-Tabla33610673486[[#This Row],[Equity]])/Tabla33610673486[[#This Row],[Equity Peak]],"")</f>
        <v>7.4426912771658228E-3</v>
      </c>
      <c r="V48" s="209">
        <f t="shared" si="7"/>
        <v>-1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0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0.10347222222480923</v>
      </c>
      <c r="AE48" s="210">
        <f t="shared" si="16"/>
        <v>0</v>
      </c>
      <c r="AF48" s="210">
        <f t="shared" si="17"/>
        <v>0.10347222222480923</v>
      </c>
      <c r="AG48" s="210">
        <f t="shared" si="18"/>
        <v>0</v>
      </c>
    </row>
    <row r="49" spans="2:33" ht="15" customHeight="1" x14ac:dyDescent="0.3">
      <c r="B49" s="196" t="s">
        <v>7</v>
      </c>
      <c r="C49" s="197" t="s">
        <v>15</v>
      </c>
      <c r="D49" s="198" t="str">
        <f t="shared" si="0"/>
        <v>C</v>
      </c>
      <c r="E49" s="199">
        <v>44823.927083333336</v>
      </c>
      <c r="F49" s="200" t="s">
        <v>115</v>
      </c>
      <c r="G49" s="201">
        <v>163.726</v>
      </c>
      <c r="H49" s="201">
        <v>163.227</v>
      </c>
      <c r="I49" s="202">
        <f t="shared" si="1"/>
        <v>0.49899999999999523</v>
      </c>
      <c r="J49" s="201">
        <v>165.15100000000001</v>
      </c>
      <c r="K49" s="199">
        <v>44824.688194444447</v>
      </c>
      <c r="L49" s="201">
        <v>163.73500000000001</v>
      </c>
      <c r="M49" s="203">
        <f t="shared" si="2"/>
        <v>8.9999999999999993E-3</v>
      </c>
      <c r="N49" s="204">
        <f t="shared" si="3"/>
        <v>0.02</v>
      </c>
      <c r="O49" s="205">
        <f t="shared" si="4"/>
        <v>0</v>
      </c>
      <c r="P49" s="206">
        <f t="shared" si="5"/>
        <v>0.02</v>
      </c>
      <c r="Q49" s="206">
        <f t="shared" si="6"/>
        <v>0</v>
      </c>
      <c r="R4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13436</v>
      </c>
      <c r="T4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13436</v>
      </c>
      <c r="U49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49" s="209">
        <f t="shared" si="7"/>
        <v>0.02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0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0.76111111111094942</v>
      </c>
      <c r="AE49" s="210">
        <f t="shared" si="16"/>
        <v>0.76111111111094942</v>
      </c>
      <c r="AF49" s="210">
        <f t="shared" si="17"/>
        <v>0</v>
      </c>
      <c r="AG49" s="210">
        <f t="shared" si="18"/>
        <v>0</v>
      </c>
    </row>
    <row r="50" spans="2:33" ht="15" customHeight="1" x14ac:dyDescent="0.3">
      <c r="B50" s="196" t="s">
        <v>7</v>
      </c>
      <c r="C50" s="197" t="s">
        <v>13</v>
      </c>
      <c r="D50" s="198" t="str">
        <f t="shared" si="0"/>
        <v>C</v>
      </c>
      <c r="E50" s="199">
        <v>44819.6875</v>
      </c>
      <c r="F50" s="200" t="s">
        <v>115</v>
      </c>
      <c r="G50" s="201">
        <v>164.69900000000001</v>
      </c>
      <c r="H50" s="201">
        <v>165.31200000000001</v>
      </c>
      <c r="I50" s="202">
        <f t="shared" si="1"/>
        <v>0.61299999999999955</v>
      </c>
      <c r="J50" s="201">
        <v>162.947</v>
      </c>
      <c r="K50" s="199">
        <v>44820.45</v>
      </c>
      <c r="L50" s="201">
        <v>162.947</v>
      </c>
      <c r="M50" s="203">
        <f t="shared" si="2"/>
        <v>1.752</v>
      </c>
      <c r="N50" s="204">
        <f t="shared" si="3"/>
        <v>2.86</v>
      </c>
      <c r="O50" s="205">
        <f t="shared" si="4"/>
        <v>0</v>
      </c>
      <c r="P50" s="206">
        <f t="shared" si="5"/>
        <v>2.86</v>
      </c>
      <c r="Q50" s="206">
        <f t="shared" si="6"/>
        <v>0</v>
      </c>
      <c r="R5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13434</v>
      </c>
      <c r="T5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13434</v>
      </c>
      <c r="U5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50" s="209">
        <f t="shared" si="7"/>
        <v>2.86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0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0.76249999999708962</v>
      </c>
      <c r="AE50" s="210">
        <f t="shared" si="16"/>
        <v>0.76249999999708962</v>
      </c>
      <c r="AF50" s="210">
        <f t="shared" si="17"/>
        <v>0</v>
      </c>
      <c r="AG50" s="210">
        <f t="shared" si="18"/>
        <v>0</v>
      </c>
    </row>
    <row r="51" spans="2:33" ht="15" customHeight="1" x14ac:dyDescent="0.3">
      <c r="B51" s="196" t="s">
        <v>7</v>
      </c>
      <c r="C51" s="197" t="s">
        <v>13</v>
      </c>
      <c r="D51" s="198" t="str">
        <f t="shared" si="0"/>
        <v>C</v>
      </c>
      <c r="E51" s="199">
        <v>44818.15625</v>
      </c>
      <c r="F51" s="200" t="s">
        <v>115</v>
      </c>
      <c r="G51" s="201">
        <v>165.934</v>
      </c>
      <c r="H51" s="201">
        <v>166.50399999999999</v>
      </c>
      <c r="I51" s="202">
        <f t="shared" si="1"/>
        <v>0.56999999999999318</v>
      </c>
      <c r="J51" s="201">
        <v>164.30600000000001</v>
      </c>
      <c r="K51" s="199">
        <v>44818.515972222223</v>
      </c>
      <c r="L51" s="201">
        <v>165.84200000000001</v>
      </c>
      <c r="M51" s="203">
        <f t="shared" si="2"/>
        <v>9.1999999999999998E-2</v>
      </c>
      <c r="N51" s="204">
        <f t="shared" si="3"/>
        <v>0.16</v>
      </c>
      <c r="O51" s="205">
        <f t="shared" si="4"/>
        <v>0</v>
      </c>
      <c r="P51" s="206">
        <f t="shared" si="5"/>
        <v>0.16</v>
      </c>
      <c r="Q51" s="206">
        <f t="shared" si="6"/>
        <v>0</v>
      </c>
      <c r="R5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13148</v>
      </c>
      <c r="T5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1" s="208">
        <f ca="1">IF(Tabla33610673486[[#This Row],[Equity]]&lt;Tabla33610673486[[#This Row],[Equity Peak]],(Tabla33610673486[[#This Row],[Equity Peak]]-Tabla33610673486[[#This Row],[Equity]])/Tabla33610673486[[#This Row],[Equity Peak]],"")</f>
        <v>1.1725796752856284E-2</v>
      </c>
      <c r="V51" s="209">
        <f t="shared" si="7"/>
        <v>0.16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0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0.35972222222335404</v>
      </c>
      <c r="AE51" s="210">
        <f t="shared" si="16"/>
        <v>0.35972222222335404</v>
      </c>
      <c r="AF51" s="210">
        <f t="shared" si="17"/>
        <v>0</v>
      </c>
      <c r="AG51" s="210">
        <f t="shared" si="18"/>
        <v>0</v>
      </c>
    </row>
    <row r="52" spans="2:33" ht="15" customHeight="1" x14ac:dyDescent="0.3">
      <c r="B52" s="196" t="s">
        <v>7</v>
      </c>
      <c r="C52" s="197" t="s">
        <v>15</v>
      </c>
      <c r="D52" s="198" t="str">
        <f t="shared" si="0"/>
        <v>C</v>
      </c>
      <c r="E52" s="199">
        <v>44816.34375</v>
      </c>
      <c r="F52" s="200" t="s">
        <v>115</v>
      </c>
      <c r="G52" s="201">
        <v>166.285</v>
      </c>
      <c r="H52" s="201">
        <v>165.702</v>
      </c>
      <c r="I52" s="202">
        <f t="shared" si="1"/>
        <v>0.58299999999999841</v>
      </c>
      <c r="J52" s="201">
        <v>167.95</v>
      </c>
      <c r="K52" s="199">
        <v>44817.645138888889</v>
      </c>
      <c r="L52" s="201">
        <v>166.22900000000001</v>
      </c>
      <c r="M52" s="203">
        <f t="shared" si="2"/>
        <v>-5.6000000000000001E-2</v>
      </c>
      <c r="N52" s="204">
        <f t="shared" si="3"/>
        <v>-0.1</v>
      </c>
      <c r="O52" s="205">
        <f t="shared" si="4"/>
        <v>0</v>
      </c>
      <c r="P52" s="206">
        <f t="shared" si="5"/>
        <v>0</v>
      </c>
      <c r="Q52" s="206">
        <f t="shared" si="6"/>
        <v>-0.1</v>
      </c>
      <c r="R5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13132</v>
      </c>
      <c r="T5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2" s="208">
        <f ca="1">IF(Tabla33610673486[[#This Row],[Equity]]&lt;Tabla33610673486[[#This Row],[Equity Peak]],(Tabla33610673486[[#This Row],[Equity Peak]]-Tabla33610673486[[#This Row],[Equity]])/Tabla33610673486[[#This Row],[Equity Peak]],"")</f>
        <v>1.2928442573662057E-2</v>
      </c>
      <c r="V52" s="209">
        <f t="shared" si="7"/>
        <v>-0.1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0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1.3013888888890506</v>
      </c>
      <c r="AE52" s="210">
        <f t="shared" si="16"/>
        <v>0</v>
      </c>
      <c r="AF52" s="210">
        <f t="shared" si="17"/>
        <v>1.3013888888890506</v>
      </c>
      <c r="AG52" s="210">
        <f t="shared" si="18"/>
        <v>0</v>
      </c>
    </row>
    <row r="53" spans="2:33" ht="15" customHeight="1" x14ac:dyDescent="0.3">
      <c r="B53" s="196" t="s">
        <v>7</v>
      </c>
      <c r="C53" s="197" t="s">
        <v>13</v>
      </c>
      <c r="D53" s="198" t="str">
        <f t="shared" si="0"/>
        <v>C</v>
      </c>
      <c r="E53" s="199">
        <v>44813.552083333336</v>
      </c>
      <c r="F53" s="200" t="s">
        <v>115</v>
      </c>
      <c r="G53" s="201">
        <v>164.67699999999999</v>
      </c>
      <c r="H53" s="201">
        <v>165.28200000000001</v>
      </c>
      <c r="I53" s="202">
        <f t="shared" si="1"/>
        <v>0.60500000000001819</v>
      </c>
      <c r="J53" s="201">
        <v>162.94900000000001</v>
      </c>
      <c r="K53" s="199">
        <v>44813.69027777778</v>
      </c>
      <c r="L53" s="201">
        <v>165.12200000000001</v>
      </c>
      <c r="M53" s="203">
        <f t="shared" si="2"/>
        <v>-0.44500000000000001</v>
      </c>
      <c r="N53" s="204">
        <f t="shared" si="3"/>
        <v>-0.74</v>
      </c>
      <c r="O53" s="205">
        <f t="shared" si="4"/>
        <v>0</v>
      </c>
      <c r="P53" s="206">
        <f t="shared" si="5"/>
        <v>0</v>
      </c>
      <c r="Q53" s="206">
        <f t="shared" si="6"/>
        <v>-0.74</v>
      </c>
      <c r="R5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13142</v>
      </c>
      <c r="T5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3" s="208">
        <f ca="1">IF(Tabla33610673486[[#This Row],[Equity]]&lt;Tabla33610673486[[#This Row],[Equity Peak]],(Tabla33610673486[[#This Row],[Equity Peak]]-Tabla33610673486[[#This Row],[Equity]])/Tabla33610673486[[#This Row],[Equity Peak]],"")</f>
        <v>1.2176788935658449E-2</v>
      </c>
      <c r="V53" s="209">
        <f t="shared" si="7"/>
        <v>-0.74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0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0.13819444444379769</v>
      </c>
      <c r="AE53" s="210">
        <f t="shared" si="16"/>
        <v>0</v>
      </c>
      <c r="AF53" s="210">
        <f t="shared" si="17"/>
        <v>0.13819444444379769</v>
      </c>
      <c r="AG53" s="210">
        <f t="shared" si="18"/>
        <v>0</v>
      </c>
    </row>
    <row r="54" spans="2:33" ht="15" customHeight="1" x14ac:dyDescent="0.3">
      <c r="B54" s="196" t="s">
        <v>7</v>
      </c>
      <c r="C54" s="197" t="s">
        <v>15</v>
      </c>
      <c r="D54" s="198" t="str">
        <f t="shared" ref="D54:D85" si="19">IF(E54&lt;&gt;"",IF(K54&lt;&gt;"","C","O"),"")</f>
        <v>C</v>
      </c>
      <c r="E54" s="199">
        <v>44810.15625</v>
      </c>
      <c r="F54" s="200" t="s">
        <v>115</v>
      </c>
      <c r="G54" s="201">
        <v>162.57900000000001</v>
      </c>
      <c r="H54" s="201">
        <v>162.06800000000001</v>
      </c>
      <c r="I54" s="202">
        <f t="shared" ref="I54:I85" si="20">ABS(G54-H54)</f>
        <v>0.51099999999999568</v>
      </c>
      <c r="J54" s="201">
        <v>164.04</v>
      </c>
      <c r="K54" s="199">
        <v>44810.426388888889</v>
      </c>
      <c r="L54" s="201">
        <v>164.04</v>
      </c>
      <c r="M54" s="203">
        <f t="shared" ref="M54:M85" si="21">ROUND(IF(C54="L",(L54-G54),(G54-L54)),4)</f>
        <v>1.4610000000000001</v>
      </c>
      <c r="N54" s="204">
        <f t="shared" ref="N54:N85" si="22">IFERROR(ROUND((M54/I54),2),"")</f>
        <v>2.86</v>
      </c>
      <c r="O54" s="205">
        <f t="shared" ref="O54:O85" si="23">IF(D54="O",IF(N54&lt;0,N54,0),0)</f>
        <v>0</v>
      </c>
      <c r="P54" s="206">
        <f t="shared" ref="P54:P85" si="24">IF(N54&gt;= 0,N54,0)</f>
        <v>2.86</v>
      </c>
      <c r="Q54" s="206">
        <f t="shared" ref="Q54:Q85" si="25">IF(N54&lt;0,N54,0)</f>
        <v>0</v>
      </c>
      <c r="R5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13216</v>
      </c>
      <c r="T5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4" s="208">
        <f ca="1">IF(Tabla33610673486[[#This Row],[Equity]]&lt;Tabla33610673486[[#This Row],[Equity Peak]],(Tabla33610673486[[#This Row],[Equity Peak]]-Tabla33610673486[[#This Row],[Equity]])/Tabla33610673486[[#This Row],[Equity Peak]],"")</f>
        <v>6.6145520144317502E-3</v>
      </c>
      <c r="V54" s="209">
        <f t="shared" ref="V54:V85" si="26">IF(B54="FX",N54,0)</f>
        <v>2.86</v>
      </c>
      <c r="W54" s="209">
        <f t="shared" ref="W54:W85" si="27">IF(D54="O",IF(V54&lt;0,V54,0),0)</f>
        <v>0</v>
      </c>
      <c r="X54" s="209">
        <f t="shared" ref="X54:X85" si="28">IF(B54="COM",N54,0)</f>
        <v>0</v>
      </c>
      <c r="Y54" s="209">
        <f t="shared" ref="Y54:Y85" si="29">IF(D54="O",IF(X54&lt;0,X54,0),0)</f>
        <v>0</v>
      </c>
      <c r="Z54" s="209">
        <f t="shared" ref="Z54:Z85" si="30">IF(B54="IND",N54,0)</f>
        <v>0</v>
      </c>
      <c r="AA54" s="205">
        <f t="shared" ref="AA54:AA85" si="31">IF(D54="O",IF(Z54&lt;0,Z54,0),0)</f>
        <v>0</v>
      </c>
      <c r="AB54" s="209">
        <f t="shared" ref="AB54:AB85" si="32">IF(B54="CRYPTO",N54,0)</f>
        <v>0</v>
      </c>
      <c r="AC54" s="205">
        <f t="shared" ref="AC54:AC85" si="33">IF(D54="O",IF(AB54&lt;0,AB54,0),0)</f>
        <v>0</v>
      </c>
      <c r="AD54" s="210">
        <f t="shared" ref="AD54:AD85" si="34">IF(K54&lt;&gt;"",K54-E54,0)</f>
        <v>0.27013888888905058</v>
      </c>
      <c r="AE54" s="210">
        <f t="shared" ref="AE54:AE85" si="35">IF(N54&gt;0,AD54,0)</f>
        <v>0.27013888888905058</v>
      </c>
      <c r="AF54" s="210">
        <f t="shared" ref="AF54:AF85" si="36">IF(N54&lt;0,AD54,0)</f>
        <v>0</v>
      </c>
      <c r="AG54" s="210">
        <f t="shared" ref="AG54:AG85" si="37">IF(N54=0,AD54,0)</f>
        <v>0</v>
      </c>
    </row>
    <row r="55" spans="2:33" ht="15" customHeight="1" x14ac:dyDescent="0.3">
      <c r="B55" s="196" t="s">
        <v>7</v>
      </c>
      <c r="C55" s="197" t="s">
        <v>13</v>
      </c>
      <c r="D55" s="198" t="str">
        <f t="shared" si="19"/>
        <v>C</v>
      </c>
      <c r="E55" s="199">
        <v>44809.017361111109</v>
      </c>
      <c r="F55" s="200" t="s">
        <v>115</v>
      </c>
      <c r="G55" s="201">
        <v>161.08699999999999</v>
      </c>
      <c r="H55" s="201">
        <v>161.608</v>
      </c>
      <c r="I55" s="202">
        <f t="shared" si="20"/>
        <v>0.52100000000001501</v>
      </c>
      <c r="J55" s="201">
        <v>159.59899999999999</v>
      </c>
      <c r="K55" s="199">
        <v>44809.439583333333</v>
      </c>
      <c r="L55" s="201">
        <v>161.23599999999999</v>
      </c>
      <c r="M55" s="203">
        <f t="shared" si="21"/>
        <v>-0.14899999999999999</v>
      </c>
      <c r="N55" s="204">
        <f t="shared" si="22"/>
        <v>-0.28999999999999998</v>
      </c>
      <c r="O55" s="205">
        <f t="shared" si="23"/>
        <v>0</v>
      </c>
      <c r="P55" s="206">
        <f t="shared" si="24"/>
        <v>0</v>
      </c>
      <c r="Q55" s="206">
        <f t="shared" si="25"/>
        <v>-0.28999999999999998</v>
      </c>
      <c r="R5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12930</v>
      </c>
      <c r="T5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5" s="208">
        <f ca="1">IF(Tabla33610673486[[#This Row],[Equity]]&lt;Tabla33610673486[[#This Row],[Equity Peak]],(Tabla33610673486[[#This Row],[Equity Peak]]-Tabla33610673486[[#This Row],[Equity]])/Tabla33610673486[[#This Row],[Equity Peak]],"")</f>
        <v>2.8111846061334936E-2</v>
      </c>
      <c r="V55" s="209">
        <f t="shared" si="26"/>
        <v>-0.28999999999999998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0.42222222222335404</v>
      </c>
      <c r="AE55" s="210">
        <f t="shared" si="35"/>
        <v>0</v>
      </c>
      <c r="AF55" s="210">
        <f t="shared" si="36"/>
        <v>0.42222222222335404</v>
      </c>
      <c r="AG55" s="210">
        <f t="shared" si="37"/>
        <v>0</v>
      </c>
    </row>
    <row r="56" spans="2:33" ht="15" customHeight="1" x14ac:dyDescent="0.3">
      <c r="B56" s="196" t="s">
        <v>7</v>
      </c>
      <c r="C56" s="197" t="s">
        <v>15</v>
      </c>
      <c r="D56" s="198" t="str">
        <f t="shared" si="19"/>
        <v>C</v>
      </c>
      <c r="E56" s="199">
        <v>44805.90625</v>
      </c>
      <c r="F56" s="200" t="s">
        <v>115</v>
      </c>
      <c r="G56" s="201">
        <v>161.786</v>
      </c>
      <c r="H56" s="201">
        <v>161.256</v>
      </c>
      <c r="I56" s="202">
        <f t="shared" si="20"/>
        <v>0.53000000000000114</v>
      </c>
      <c r="J56" s="201">
        <v>163.30099999999999</v>
      </c>
      <c r="K56" s="199">
        <v>44806.703472222223</v>
      </c>
      <c r="L56" s="201">
        <v>161.78299999999999</v>
      </c>
      <c r="M56" s="203">
        <f t="shared" si="21"/>
        <v>-3.0000000000000001E-3</v>
      </c>
      <c r="N56" s="204">
        <f t="shared" si="22"/>
        <v>-0.01</v>
      </c>
      <c r="O56" s="205">
        <f t="shared" si="23"/>
        <v>0</v>
      </c>
      <c r="P56" s="206">
        <f t="shared" si="24"/>
        <v>0</v>
      </c>
      <c r="Q56" s="206">
        <f t="shared" si="25"/>
        <v>-0.01</v>
      </c>
      <c r="R5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12959</v>
      </c>
      <c r="T5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6" s="208">
        <f ca="1">IF(Tabla33610673486[[#This Row],[Equity]]&lt;Tabla33610673486[[#This Row],[Equity Peak]],(Tabla33610673486[[#This Row],[Equity Peak]]-Tabla33610673486[[#This Row],[Equity]])/Tabla33610673486[[#This Row],[Equity Peak]],"")</f>
        <v>2.5932050511124474E-2</v>
      </c>
      <c r="V56" s="209">
        <f t="shared" si="26"/>
        <v>-0.01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0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0.79722222222335404</v>
      </c>
      <c r="AE56" s="210">
        <f t="shared" si="35"/>
        <v>0</v>
      </c>
      <c r="AF56" s="210">
        <f t="shared" si="36"/>
        <v>0.79722222222335404</v>
      </c>
      <c r="AG56" s="210">
        <f t="shared" si="37"/>
        <v>0</v>
      </c>
    </row>
    <row r="57" spans="2:33" ht="15" customHeight="1" x14ac:dyDescent="0.3">
      <c r="B57" s="196" t="s">
        <v>7</v>
      </c>
      <c r="C57" s="197" t="s">
        <v>13</v>
      </c>
      <c r="D57" s="198" t="str">
        <f t="shared" si="19"/>
        <v>C</v>
      </c>
      <c r="E57" s="199">
        <v>44804.427083333336</v>
      </c>
      <c r="F57" s="200" t="s">
        <v>115</v>
      </c>
      <c r="G57" s="201">
        <v>161.39099999999999</v>
      </c>
      <c r="H57" s="201">
        <v>161.852</v>
      </c>
      <c r="I57" s="202">
        <f t="shared" si="20"/>
        <v>0.46100000000001273</v>
      </c>
      <c r="J57" s="201">
        <v>160.07499999999999</v>
      </c>
      <c r="K57" s="199">
        <v>44805.118055555555</v>
      </c>
      <c r="L57" s="201">
        <v>161.624</v>
      </c>
      <c r="M57" s="203">
        <f t="shared" si="21"/>
        <v>-0.23300000000000001</v>
      </c>
      <c r="N57" s="204">
        <f t="shared" si="22"/>
        <v>-0.51</v>
      </c>
      <c r="O57" s="205">
        <f t="shared" si="23"/>
        <v>0</v>
      </c>
      <c r="P57" s="206">
        <f t="shared" si="24"/>
        <v>0</v>
      </c>
      <c r="Q57" s="206">
        <f t="shared" si="25"/>
        <v>-0.51</v>
      </c>
      <c r="R5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12960</v>
      </c>
      <c r="T5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7" s="208">
        <f ca="1">IF(Tabla33610673486[[#This Row],[Equity]]&lt;Tabla33610673486[[#This Row],[Equity Peak]],(Tabla33610673486[[#This Row],[Equity Peak]]-Tabla33610673486[[#This Row],[Equity]])/Tabla33610673486[[#This Row],[Equity Peak]],"")</f>
        <v>2.5856885147324114E-2</v>
      </c>
      <c r="V57" s="209">
        <f t="shared" si="26"/>
        <v>-0.51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0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0.69097222221898846</v>
      </c>
      <c r="AE57" s="210">
        <f t="shared" si="35"/>
        <v>0</v>
      </c>
      <c r="AF57" s="210">
        <f t="shared" si="36"/>
        <v>0.69097222221898846</v>
      </c>
      <c r="AG57" s="210">
        <f t="shared" si="37"/>
        <v>0</v>
      </c>
    </row>
    <row r="58" spans="2:33" ht="15" customHeight="1" x14ac:dyDescent="0.3">
      <c r="B58" s="196" t="s">
        <v>7</v>
      </c>
      <c r="C58" s="197" t="s">
        <v>15</v>
      </c>
      <c r="D58" s="198" t="str">
        <f t="shared" si="19"/>
        <v>C</v>
      </c>
      <c r="E58" s="199">
        <v>44799.5625</v>
      </c>
      <c r="F58" s="200" t="s">
        <v>115</v>
      </c>
      <c r="G58" s="201">
        <v>162.029</v>
      </c>
      <c r="H58" s="201">
        <v>161.61099999999999</v>
      </c>
      <c r="I58" s="202">
        <f t="shared" si="20"/>
        <v>0.41800000000000637</v>
      </c>
      <c r="J58" s="201">
        <v>163.22300000000001</v>
      </c>
      <c r="K58" s="199">
        <v>44799.750694444447</v>
      </c>
      <c r="L58" s="201">
        <v>161.72999999999999</v>
      </c>
      <c r="M58" s="203">
        <f t="shared" si="21"/>
        <v>-0.29899999999999999</v>
      </c>
      <c r="N58" s="204">
        <f t="shared" si="22"/>
        <v>-0.72</v>
      </c>
      <c r="O58" s="205">
        <f t="shared" si="23"/>
        <v>0</v>
      </c>
      <c r="P58" s="206">
        <f t="shared" si="24"/>
        <v>0</v>
      </c>
      <c r="Q58" s="206">
        <f t="shared" si="25"/>
        <v>-0.72</v>
      </c>
      <c r="R5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13011</v>
      </c>
      <c r="T5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8" s="208">
        <f ca="1">IF(Tabla33610673486[[#This Row],[Equity]]&lt;Tabla33610673486[[#This Row],[Equity Peak]],(Tabla33610673486[[#This Row],[Equity Peak]]-Tabla33610673486[[#This Row],[Equity]])/Tabla33610673486[[#This Row],[Equity Peak]],"")</f>
        <v>2.2023451593505713E-2</v>
      </c>
      <c r="V58" s="209">
        <f t="shared" si="26"/>
        <v>-0.72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0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0.18819444444670808</v>
      </c>
      <c r="AE58" s="210">
        <f t="shared" si="35"/>
        <v>0</v>
      </c>
      <c r="AF58" s="210">
        <f t="shared" si="36"/>
        <v>0.18819444444670808</v>
      </c>
      <c r="AG58" s="210">
        <f t="shared" si="37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19"/>
        <v>C</v>
      </c>
      <c r="E59" s="199">
        <v>44796.395833333336</v>
      </c>
      <c r="F59" s="200" t="s">
        <v>115</v>
      </c>
      <c r="G59" s="201">
        <v>161.107</v>
      </c>
      <c r="H59" s="201">
        <v>161.61199999999999</v>
      </c>
      <c r="I59" s="202">
        <f t="shared" si="20"/>
        <v>0.50499999999999545</v>
      </c>
      <c r="J59" s="201">
        <v>159.66499999999999</v>
      </c>
      <c r="K59" s="199">
        <v>44796.4375</v>
      </c>
      <c r="L59" s="201">
        <v>161.41499999999999</v>
      </c>
      <c r="M59" s="203">
        <f t="shared" si="21"/>
        <v>-0.308</v>
      </c>
      <c r="N59" s="204">
        <f t="shared" si="22"/>
        <v>-0.61</v>
      </c>
      <c r="O59" s="205">
        <f t="shared" si="23"/>
        <v>0</v>
      </c>
      <c r="P59" s="206">
        <f t="shared" si="24"/>
        <v>0</v>
      </c>
      <c r="Q59" s="206">
        <f t="shared" si="25"/>
        <v>-0.61</v>
      </c>
      <c r="R5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13083</v>
      </c>
      <c r="T5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59" s="208">
        <f ca="1">IF(Tabla33610673486[[#This Row],[Equity]]&lt;Tabla33610673486[[#This Row],[Equity Peak]],(Tabla33610673486[[#This Row],[Equity Peak]]-Tabla33610673486[[#This Row],[Equity]])/Tabla33610673486[[#This Row],[Equity Peak]],"")</f>
        <v>1.6611545399879735E-2</v>
      </c>
      <c r="V59" s="209">
        <f t="shared" si="26"/>
        <v>-0.61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0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4.1666666664241347E-2</v>
      </c>
      <c r="AE59" s="210">
        <f t="shared" si="35"/>
        <v>0</v>
      </c>
      <c r="AF59" s="210">
        <f t="shared" si="36"/>
        <v>4.1666666664241347E-2</v>
      </c>
      <c r="AG59" s="210">
        <f t="shared" si="37"/>
        <v>0</v>
      </c>
    </row>
    <row r="60" spans="2:33" ht="15" customHeight="1" x14ac:dyDescent="0.3">
      <c r="B60" s="196" t="s">
        <v>7</v>
      </c>
      <c r="C60" s="197" t="s">
        <v>13</v>
      </c>
      <c r="D60" s="198" t="str">
        <f t="shared" si="19"/>
        <v>C</v>
      </c>
      <c r="E60" s="199">
        <v>44795.458333333336</v>
      </c>
      <c r="F60" s="200" t="s">
        <v>115</v>
      </c>
      <c r="G60" s="201">
        <v>161.41399999999999</v>
      </c>
      <c r="H60" s="201">
        <v>161.90700000000001</v>
      </c>
      <c r="I60" s="202">
        <f t="shared" si="20"/>
        <v>0.49300000000002342</v>
      </c>
      <c r="J60" s="201">
        <v>160.00399999999999</v>
      </c>
      <c r="K60" s="199">
        <v>44795.501388888886</v>
      </c>
      <c r="L60" s="201">
        <v>161.852</v>
      </c>
      <c r="M60" s="203">
        <f t="shared" si="21"/>
        <v>-0.438</v>
      </c>
      <c r="N60" s="204">
        <f t="shared" si="22"/>
        <v>-0.89</v>
      </c>
      <c r="O60" s="205">
        <f t="shared" si="23"/>
        <v>0</v>
      </c>
      <c r="P60" s="206">
        <f t="shared" si="24"/>
        <v>0</v>
      </c>
      <c r="Q60" s="206">
        <f t="shared" si="25"/>
        <v>-0.89</v>
      </c>
      <c r="R6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13144</v>
      </c>
      <c r="T6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60" s="208">
        <f ca="1">IF(Tabla33610673486[[#This Row],[Equity]]&lt;Tabla33610673486[[#This Row],[Equity Peak]],(Tabla33610673486[[#This Row],[Equity Peak]]-Tabla33610673486[[#This Row],[Equity]])/Tabla33610673486[[#This Row],[Equity Peak]],"")</f>
        <v>1.2026458208057728E-2</v>
      </c>
      <c r="V60" s="209">
        <f t="shared" si="26"/>
        <v>-0.89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0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4.3055555550381541E-2</v>
      </c>
      <c r="AE60" s="210">
        <f t="shared" si="35"/>
        <v>0</v>
      </c>
      <c r="AF60" s="210">
        <f t="shared" si="36"/>
        <v>4.3055555550381541E-2</v>
      </c>
      <c r="AG60" s="210">
        <f t="shared" si="37"/>
        <v>0</v>
      </c>
    </row>
    <row r="61" spans="2:33" ht="15" customHeight="1" x14ac:dyDescent="0.3">
      <c r="B61" s="196" t="s">
        <v>7</v>
      </c>
      <c r="C61" s="197" t="s">
        <v>13</v>
      </c>
      <c r="D61" s="198" t="str">
        <f t="shared" si="19"/>
        <v>C</v>
      </c>
      <c r="E61" s="199">
        <v>44791.697916666664</v>
      </c>
      <c r="F61" s="200" t="s">
        <v>115</v>
      </c>
      <c r="G61" s="201">
        <v>162.113</v>
      </c>
      <c r="H61" s="201">
        <v>162.655</v>
      </c>
      <c r="I61" s="202">
        <f t="shared" si="20"/>
        <v>0.54200000000000159</v>
      </c>
      <c r="J61" s="201">
        <v>160.565</v>
      </c>
      <c r="K61" s="199">
        <v>44792.412499999999</v>
      </c>
      <c r="L61" s="201">
        <v>162.499</v>
      </c>
      <c r="M61" s="203">
        <f t="shared" si="21"/>
        <v>-0.38600000000000001</v>
      </c>
      <c r="N61" s="204">
        <f t="shared" si="22"/>
        <v>-0.71</v>
      </c>
      <c r="O61" s="205">
        <f t="shared" si="23"/>
        <v>0</v>
      </c>
      <c r="P61" s="206">
        <f t="shared" si="24"/>
        <v>0</v>
      </c>
      <c r="Q61" s="206">
        <f t="shared" si="25"/>
        <v>-0.71</v>
      </c>
      <c r="R6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13233</v>
      </c>
      <c r="T6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61" s="208">
        <f ca="1">IF(Tabla33610673486[[#This Row],[Equity]]&lt;Tabla33610673486[[#This Row],[Equity Peak]],(Tabla33610673486[[#This Row],[Equity Peak]]-Tabla33610673486[[#This Row],[Equity]])/Tabla33610673486[[#This Row],[Equity Peak]],"")</f>
        <v>5.3367408298256166E-3</v>
      </c>
      <c r="V61" s="209">
        <f t="shared" si="26"/>
        <v>-0.71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0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0.71458333333430346</v>
      </c>
      <c r="AE61" s="210">
        <f t="shared" si="35"/>
        <v>0</v>
      </c>
      <c r="AF61" s="210">
        <f t="shared" si="36"/>
        <v>0.71458333333430346</v>
      </c>
      <c r="AG61" s="210">
        <f t="shared" si="37"/>
        <v>0</v>
      </c>
    </row>
    <row r="62" spans="2:33" ht="15" customHeight="1" x14ac:dyDescent="0.3">
      <c r="B62" s="196" t="s">
        <v>7</v>
      </c>
      <c r="C62" s="197" t="s">
        <v>15</v>
      </c>
      <c r="D62" s="198" t="str">
        <f t="shared" si="19"/>
        <v>C</v>
      </c>
      <c r="E62" s="199">
        <v>44789.645833333336</v>
      </c>
      <c r="F62" s="200" t="s">
        <v>115</v>
      </c>
      <c r="G62" s="201">
        <v>161.76599999999999</v>
      </c>
      <c r="H62" s="201">
        <v>161.245</v>
      </c>
      <c r="I62" s="202">
        <f t="shared" si="20"/>
        <v>0.52099999999998658</v>
      </c>
      <c r="J62" s="201">
        <v>163.255</v>
      </c>
      <c r="K62" s="199">
        <v>44790.477777777778</v>
      </c>
      <c r="L62" s="201">
        <v>163.255</v>
      </c>
      <c r="M62" s="203">
        <f t="shared" si="21"/>
        <v>1.4890000000000001</v>
      </c>
      <c r="N62" s="204">
        <f t="shared" si="22"/>
        <v>2.86</v>
      </c>
      <c r="O62" s="205">
        <f t="shared" si="23"/>
        <v>0</v>
      </c>
      <c r="P62" s="206">
        <f t="shared" si="24"/>
        <v>2.86</v>
      </c>
      <c r="Q62" s="206">
        <f t="shared" si="25"/>
        <v>0</v>
      </c>
      <c r="R6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13304</v>
      </c>
      <c r="T6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13304</v>
      </c>
      <c r="U62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62" s="209">
        <f t="shared" si="26"/>
        <v>2.86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0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0.8319444444423425</v>
      </c>
      <c r="AE62" s="210">
        <f t="shared" si="35"/>
        <v>0.8319444444423425</v>
      </c>
      <c r="AF62" s="210">
        <f t="shared" si="36"/>
        <v>0</v>
      </c>
      <c r="AG62" s="210">
        <f t="shared" si="37"/>
        <v>0</v>
      </c>
    </row>
    <row r="63" spans="2:33" ht="15" customHeight="1" x14ac:dyDescent="0.3">
      <c r="B63" s="196" t="s">
        <v>7</v>
      </c>
      <c r="C63" s="197" t="s">
        <v>13</v>
      </c>
      <c r="D63" s="198" t="str">
        <f t="shared" si="19"/>
        <v>C</v>
      </c>
      <c r="E63" s="199">
        <v>44788.125</v>
      </c>
      <c r="F63" s="200" t="s">
        <v>115</v>
      </c>
      <c r="G63" s="201">
        <v>161.678</v>
      </c>
      <c r="H63" s="201">
        <v>162.185</v>
      </c>
      <c r="I63" s="202">
        <f t="shared" si="20"/>
        <v>0.507000000000005</v>
      </c>
      <c r="J63" s="201">
        <v>160.23099999999999</v>
      </c>
      <c r="K63" s="199">
        <v>44789.138194444444</v>
      </c>
      <c r="L63" s="201">
        <v>160.23099999999999</v>
      </c>
      <c r="M63" s="203">
        <f t="shared" si="21"/>
        <v>1.4470000000000001</v>
      </c>
      <c r="N63" s="204">
        <f t="shared" si="22"/>
        <v>2.85</v>
      </c>
      <c r="O63" s="205">
        <f t="shared" si="23"/>
        <v>0</v>
      </c>
      <c r="P63" s="206">
        <f t="shared" si="24"/>
        <v>2.85</v>
      </c>
      <c r="Q63" s="206">
        <f t="shared" si="25"/>
        <v>0</v>
      </c>
      <c r="R6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13018</v>
      </c>
      <c r="T6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13018</v>
      </c>
      <c r="U63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63" s="209">
        <f t="shared" si="26"/>
        <v>2.85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0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1.0131944444437977</v>
      </c>
      <c r="AE63" s="210">
        <f t="shared" si="35"/>
        <v>1.0131944444437977</v>
      </c>
      <c r="AF63" s="210">
        <f t="shared" si="36"/>
        <v>0</v>
      </c>
      <c r="AG63" s="210">
        <f t="shared" si="37"/>
        <v>0</v>
      </c>
    </row>
    <row r="64" spans="2:33" ht="15" customHeight="1" x14ac:dyDescent="0.3">
      <c r="B64" s="196" t="s">
        <v>7</v>
      </c>
      <c r="C64" s="197" t="s">
        <v>15</v>
      </c>
      <c r="D64" s="198" t="str">
        <f t="shared" si="19"/>
        <v>C</v>
      </c>
      <c r="E64" s="199">
        <v>44785.40625</v>
      </c>
      <c r="F64" s="200" t="s">
        <v>115</v>
      </c>
      <c r="G64" s="201">
        <v>162.70699999999999</v>
      </c>
      <c r="H64" s="201">
        <v>162.214</v>
      </c>
      <c r="I64" s="202">
        <f t="shared" si="20"/>
        <v>0.492999999999995</v>
      </c>
      <c r="J64" s="201">
        <v>164.11600000000001</v>
      </c>
      <c r="K64" s="199">
        <v>44785.452777777777</v>
      </c>
      <c r="L64" s="201">
        <v>162.214</v>
      </c>
      <c r="M64" s="203">
        <f t="shared" si="21"/>
        <v>-0.49299999999999999</v>
      </c>
      <c r="N64" s="204">
        <f t="shared" si="22"/>
        <v>-1</v>
      </c>
      <c r="O64" s="205">
        <f t="shared" si="23"/>
        <v>0</v>
      </c>
      <c r="P64" s="206">
        <f t="shared" si="24"/>
        <v>0</v>
      </c>
      <c r="Q64" s="206">
        <f t="shared" si="25"/>
        <v>-1</v>
      </c>
      <c r="R6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12733</v>
      </c>
      <c r="T6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12991</v>
      </c>
      <c r="U64" s="208">
        <f ca="1">IF(Tabla33610673486[[#This Row],[Equity]]&lt;Tabla33610673486[[#This Row],[Equity Peak]],(Tabla33610673486[[#This Row],[Equity Peak]]-Tabla33610673486[[#This Row],[Equity]])/Tabla33610673486[[#This Row],[Equity Peak]],"")</f>
        <v>1.9859903009775998E-2</v>
      </c>
      <c r="V64" s="209">
        <f t="shared" si="26"/>
        <v>-1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0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4.6527777776645962E-2</v>
      </c>
      <c r="AE64" s="210">
        <f t="shared" si="35"/>
        <v>0</v>
      </c>
      <c r="AF64" s="210">
        <f t="shared" si="36"/>
        <v>4.6527777776645962E-2</v>
      </c>
      <c r="AG64" s="210">
        <f t="shared" si="37"/>
        <v>0</v>
      </c>
    </row>
    <row r="65" spans="2:33" ht="15" customHeight="1" x14ac:dyDescent="0.3">
      <c r="B65" s="196" t="s">
        <v>7</v>
      </c>
      <c r="C65" s="197" t="s">
        <v>13</v>
      </c>
      <c r="D65" s="198" t="str">
        <f t="shared" si="19"/>
        <v>C</v>
      </c>
      <c r="E65" s="199">
        <v>44783.65625</v>
      </c>
      <c r="F65" s="200" t="s">
        <v>115</v>
      </c>
      <c r="G65" s="201">
        <v>162.578</v>
      </c>
      <c r="H65" s="201">
        <v>163.041</v>
      </c>
      <c r="I65" s="202">
        <f t="shared" si="20"/>
        <v>0.46299999999999386</v>
      </c>
      <c r="J65" s="201">
        <v>161.25399999999999</v>
      </c>
      <c r="K65" s="199">
        <v>44783.87777777778</v>
      </c>
      <c r="L65" s="201">
        <v>162.54</v>
      </c>
      <c r="M65" s="203">
        <f t="shared" si="21"/>
        <v>3.7999999999999999E-2</v>
      </c>
      <c r="N65" s="204">
        <f t="shared" si="22"/>
        <v>0.08</v>
      </c>
      <c r="O65" s="205">
        <f t="shared" si="23"/>
        <v>0</v>
      </c>
      <c r="P65" s="206">
        <f t="shared" si="24"/>
        <v>0.08</v>
      </c>
      <c r="Q65" s="206">
        <f t="shared" si="25"/>
        <v>0</v>
      </c>
      <c r="R6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12833</v>
      </c>
      <c r="T6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12991</v>
      </c>
      <c r="U65" s="208">
        <f ca="1">IF(Tabla33610673486[[#This Row],[Equity]]&lt;Tabla33610673486[[#This Row],[Equity Peak]],(Tabla33610673486[[#This Row],[Equity Peak]]-Tabla33610673486[[#This Row],[Equity]])/Tabla33610673486[[#This Row],[Equity Peak]],"")</f>
        <v>1.2162266184281425E-2</v>
      </c>
      <c r="V65" s="209">
        <f t="shared" si="26"/>
        <v>0.08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0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0.22152777777955635</v>
      </c>
      <c r="AE65" s="210">
        <f t="shared" si="35"/>
        <v>0.22152777777955635</v>
      </c>
      <c r="AF65" s="210">
        <f t="shared" si="36"/>
        <v>0</v>
      </c>
      <c r="AG65" s="210">
        <f t="shared" si="37"/>
        <v>0</v>
      </c>
    </row>
    <row r="66" spans="2:33" ht="15" customHeight="1" x14ac:dyDescent="0.3">
      <c r="B66" s="196" t="s">
        <v>7</v>
      </c>
      <c r="C66" s="197" t="s">
        <v>15</v>
      </c>
      <c r="D66" s="198" t="str">
        <f t="shared" si="19"/>
        <v>C</v>
      </c>
      <c r="E66" s="199">
        <v>44781.395833333336</v>
      </c>
      <c r="F66" s="200" t="s">
        <v>115</v>
      </c>
      <c r="G66" s="201">
        <v>163.60300000000001</v>
      </c>
      <c r="H66" s="201">
        <v>163.01</v>
      </c>
      <c r="I66" s="202">
        <f t="shared" si="20"/>
        <v>0.59300000000001774</v>
      </c>
      <c r="J66" s="201">
        <v>165.297</v>
      </c>
      <c r="K66" s="199">
        <v>44781.527777777781</v>
      </c>
      <c r="L66" s="201">
        <v>163.09200000000001</v>
      </c>
      <c r="M66" s="203">
        <f t="shared" si="21"/>
        <v>-0.51100000000000001</v>
      </c>
      <c r="N66" s="204">
        <f t="shared" si="22"/>
        <v>-0.86</v>
      </c>
      <c r="O66" s="205">
        <f t="shared" si="23"/>
        <v>0</v>
      </c>
      <c r="P66" s="206">
        <f t="shared" si="24"/>
        <v>0</v>
      </c>
      <c r="Q66" s="206">
        <f t="shared" si="25"/>
        <v>-0.86</v>
      </c>
      <c r="R6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12825</v>
      </c>
      <c r="T6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12991</v>
      </c>
      <c r="U66" s="208">
        <f ca="1">IF(Tabla33610673486[[#This Row],[Equity]]&lt;Tabla33610673486[[#This Row],[Equity Peak]],(Tabla33610673486[[#This Row],[Equity Peak]]-Tabla33610673486[[#This Row],[Equity]])/Tabla33610673486[[#This Row],[Equity Peak]],"")</f>
        <v>1.2778077130320991E-2</v>
      </c>
      <c r="V66" s="209">
        <f t="shared" si="26"/>
        <v>-0.86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0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0.13194444444525288</v>
      </c>
      <c r="AE66" s="210">
        <f t="shared" si="35"/>
        <v>0</v>
      </c>
      <c r="AF66" s="210">
        <f t="shared" si="36"/>
        <v>0.13194444444525288</v>
      </c>
      <c r="AG66" s="210">
        <f t="shared" si="37"/>
        <v>0</v>
      </c>
    </row>
    <row r="67" spans="2:33" ht="15" customHeight="1" x14ac:dyDescent="0.3">
      <c r="B67" s="196" t="s">
        <v>7</v>
      </c>
      <c r="C67" s="197" t="s">
        <v>15</v>
      </c>
      <c r="D67" s="198" t="str">
        <f t="shared" si="19"/>
        <v>C</v>
      </c>
      <c r="E67" s="199">
        <v>44776.625</v>
      </c>
      <c r="F67" s="200" t="s">
        <v>115</v>
      </c>
      <c r="G67" s="201">
        <v>162.703</v>
      </c>
      <c r="H67" s="201">
        <v>161.928</v>
      </c>
      <c r="I67" s="202">
        <f t="shared" si="20"/>
        <v>0.77500000000000568</v>
      </c>
      <c r="J67" s="201">
        <v>164.91900000000001</v>
      </c>
      <c r="K67" s="199">
        <v>44777.586805555555</v>
      </c>
      <c r="L67" s="201">
        <v>162.697</v>
      </c>
      <c r="M67" s="203">
        <f t="shared" si="21"/>
        <v>-6.0000000000000001E-3</v>
      </c>
      <c r="N67" s="204">
        <f t="shared" si="22"/>
        <v>-0.01</v>
      </c>
      <c r="O67" s="205">
        <f t="shared" si="23"/>
        <v>0</v>
      </c>
      <c r="P67" s="206">
        <f t="shared" si="24"/>
        <v>0</v>
      </c>
      <c r="Q67" s="206">
        <f t="shared" si="25"/>
        <v>-0.01</v>
      </c>
      <c r="R6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12911</v>
      </c>
      <c r="T6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12991</v>
      </c>
      <c r="U67" s="208">
        <f ca="1">IF(Tabla33610673486[[#This Row],[Equity]]&lt;Tabla33610673486[[#This Row],[Equity Peak]],(Tabla33610673486[[#This Row],[Equity Peak]]-Tabla33610673486[[#This Row],[Equity]])/Tabla33610673486[[#This Row],[Equity Peak]],"")</f>
        <v>6.1581094603956584E-3</v>
      </c>
      <c r="V67" s="209">
        <f t="shared" si="26"/>
        <v>-0.01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0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0.96180555555474712</v>
      </c>
      <c r="AE67" s="210">
        <f t="shared" si="35"/>
        <v>0</v>
      </c>
      <c r="AF67" s="210">
        <f t="shared" si="36"/>
        <v>0.96180555555474712</v>
      </c>
      <c r="AG67" s="210">
        <f t="shared" si="37"/>
        <v>0</v>
      </c>
    </row>
    <row r="68" spans="2:33" ht="15" customHeight="1" x14ac:dyDescent="0.3">
      <c r="B68" s="196" t="s">
        <v>7</v>
      </c>
      <c r="C68" s="197" t="s">
        <v>15</v>
      </c>
      <c r="D68" s="198" t="str">
        <f t="shared" si="19"/>
        <v>C</v>
      </c>
      <c r="E68" s="199">
        <v>44776.104166666664</v>
      </c>
      <c r="F68" s="200" t="s">
        <v>115</v>
      </c>
      <c r="G68" s="201">
        <v>162.29900000000001</v>
      </c>
      <c r="H68" s="201">
        <v>161.59100000000001</v>
      </c>
      <c r="I68" s="202">
        <f t="shared" si="20"/>
        <v>0.70799999999999841</v>
      </c>
      <c r="J68" s="201">
        <v>164.321</v>
      </c>
      <c r="K68" s="199">
        <v>44776.288194444445</v>
      </c>
      <c r="L68" s="201">
        <v>161.74299999999999</v>
      </c>
      <c r="M68" s="203">
        <f t="shared" si="21"/>
        <v>-0.55600000000000005</v>
      </c>
      <c r="N68" s="204">
        <f t="shared" si="22"/>
        <v>-0.79</v>
      </c>
      <c r="O68" s="205">
        <f t="shared" si="23"/>
        <v>0</v>
      </c>
      <c r="P68" s="206">
        <f t="shared" si="24"/>
        <v>0</v>
      </c>
      <c r="Q68" s="206">
        <f t="shared" si="25"/>
        <v>-0.79</v>
      </c>
      <c r="R6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12912</v>
      </c>
      <c r="T6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12991</v>
      </c>
      <c r="U68" s="208">
        <f ca="1">IF(Tabla33610673486[[#This Row],[Equity]]&lt;Tabla33610673486[[#This Row],[Equity Peak]],(Tabla33610673486[[#This Row],[Equity Peak]]-Tabla33610673486[[#This Row],[Equity]])/Tabla33610673486[[#This Row],[Equity Peak]],"")</f>
        <v>6.0811330921407124E-3</v>
      </c>
      <c r="V68" s="209">
        <f t="shared" si="26"/>
        <v>-0.79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0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0.18402777778101154</v>
      </c>
      <c r="AE68" s="210">
        <f t="shared" si="35"/>
        <v>0</v>
      </c>
      <c r="AF68" s="210">
        <f t="shared" si="36"/>
        <v>0.18402777778101154</v>
      </c>
      <c r="AG68" s="210">
        <f t="shared" si="37"/>
        <v>0</v>
      </c>
    </row>
    <row r="69" spans="2:33" ht="15" customHeight="1" x14ac:dyDescent="0.3">
      <c r="B69" s="196" t="s">
        <v>7</v>
      </c>
      <c r="C69" s="197" t="s">
        <v>13</v>
      </c>
      <c r="D69" s="198" t="str">
        <f t="shared" si="19"/>
        <v>C</v>
      </c>
      <c r="E69" s="199">
        <v>44775.135416666664</v>
      </c>
      <c r="F69" s="200" t="s">
        <v>115</v>
      </c>
      <c r="G69" s="201">
        <v>160.82499999999999</v>
      </c>
      <c r="H69" s="201">
        <v>161.50200000000001</v>
      </c>
      <c r="I69" s="202">
        <f t="shared" si="20"/>
        <v>0.67700000000002092</v>
      </c>
      <c r="J69" s="201">
        <v>158.89099999999999</v>
      </c>
      <c r="K69" s="199">
        <v>44775.73541666667</v>
      </c>
      <c r="L69" s="201">
        <v>160.60900000000001</v>
      </c>
      <c r="M69" s="203">
        <f t="shared" si="21"/>
        <v>0.216</v>
      </c>
      <c r="N69" s="204">
        <f t="shared" si="22"/>
        <v>0.32</v>
      </c>
      <c r="O69" s="205">
        <f t="shared" si="23"/>
        <v>0</v>
      </c>
      <c r="P69" s="206">
        <f t="shared" si="24"/>
        <v>0.32</v>
      </c>
      <c r="Q69" s="206">
        <f t="shared" si="25"/>
        <v>0</v>
      </c>
      <c r="R6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12991</v>
      </c>
      <c r="T6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12991</v>
      </c>
      <c r="U69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69" s="209">
        <f t="shared" si="26"/>
        <v>0.32</v>
      </c>
      <c r="W69" s="209">
        <f t="shared" si="27"/>
        <v>0</v>
      </c>
      <c r="X69" s="209">
        <f t="shared" si="28"/>
        <v>0</v>
      </c>
      <c r="Y69" s="209">
        <f t="shared" si="29"/>
        <v>0</v>
      </c>
      <c r="Z69" s="209">
        <f t="shared" si="30"/>
        <v>0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0.60000000000582077</v>
      </c>
      <c r="AE69" s="210">
        <f t="shared" si="35"/>
        <v>0.60000000000582077</v>
      </c>
      <c r="AF69" s="210">
        <f t="shared" si="36"/>
        <v>0</v>
      </c>
      <c r="AG69" s="210">
        <f t="shared" si="37"/>
        <v>0</v>
      </c>
    </row>
    <row r="70" spans="2:33" ht="15" customHeight="1" x14ac:dyDescent="0.3">
      <c r="B70" s="196" t="s">
        <v>7</v>
      </c>
      <c r="C70" s="197" t="s">
        <v>13</v>
      </c>
      <c r="D70" s="198" t="str">
        <f t="shared" si="19"/>
        <v>C</v>
      </c>
      <c r="E70" s="199">
        <v>44770.53125</v>
      </c>
      <c r="F70" s="200" t="s">
        <v>115</v>
      </c>
      <c r="G70" s="201">
        <v>164.50299999999999</v>
      </c>
      <c r="H70" s="201">
        <v>165.03899999999999</v>
      </c>
      <c r="I70" s="202">
        <f t="shared" si="20"/>
        <v>0.53600000000000136</v>
      </c>
      <c r="J70" s="201">
        <v>162.97200000000001</v>
      </c>
      <c r="K70" s="199">
        <v>44770.765277777777</v>
      </c>
      <c r="L70" s="201">
        <v>162.97200000000001</v>
      </c>
      <c r="M70" s="203">
        <f t="shared" si="21"/>
        <v>1.5309999999999999</v>
      </c>
      <c r="N70" s="204">
        <f t="shared" si="22"/>
        <v>2.86</v>
      </c>
      <c r="O70" s="205">
        <f t="shared" si="23"/>
        <v>0</v>
      </c>
      <c r="P70" s="206">
        <f t="shared" si="24"/>
        <v>2.86</v>
      </c>
      <c r="Q70" s="206">
        <f t="shared" si="25"/>
        <v>0</v>
      </c>
      <c r="R7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12959</v>
      </c>
      <c r="T7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12959</v>
      </c>
      <c r="U7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70" s="209">
        <f t="shared" si="26"/>
        <v>2.86</v>
      </c>
      <c r="W70" s="209">
        <f t="shared" si="27"/>
        <v>0</v>
      </c>
      <c r="X70" s="209">
        <f t="shared" si="28"/>
        <v>0</v>
      </c>
      <c r="Y70" s="209">
        <f t="shared" si="29"/>
        <v>0</v>
      </c>
      <c r="Z70" s="209">
        <f t="shared" si="30"/>
        <v>0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0.23402777777664596</v>
      </c>
      <c r="AE70" s="210">
        <f t="shared" si="35"/>
        <v>0.23402777777664596</v>
      </c>
      <c r="AF70" s="210">
        <f t="shared" si="36"/>
        <v>0</v>
      </c>
      <c r="AG70" s="210">
        <f t="shared" si="37"/>
        <v>0</v>
      </c>
    </row>
    <row r="71" spans="2:33" ht="15" customHeight="1" x14ac:dyDescent="0.3">
      <c r="B71" s="196" t="s">
        <v>7</v>
      </c>
      <c r="C71" s="197" t="s">
        <v>15</v>
      </c>
      <c r="D71" s="198" t="str">
        <f t="shared" si="19"/>
        <v>C</v>
      </c>
      <c r="E71" s="199">
        <v>44769.15625</v>
      </c>
      <c r="F71" s="200" t="s">
        <v>115</v>
      </c>
      <c r="G71" s="201">
        <v>165.018</v>
      </c>
      <c r="H71" s="201">
        <v>164.48099999999999</v>
      </c>
      <c r="I71" s="202">
        <f t="shared" si="20"/>
        <v>0.53700000000000614</v>
      </c>
      <c r="J71" s="201">
        <v>166.55199999999999</v>
      </c>
      <c r="K71" s="199">
        <v>44770.167361111111</v>
      </c>
      <c r="L71" s="201">
        <v>165.304</v>
      </c>
      <c r="M71" s="203">
        <f t="shared" si="21"/>
        <v>0.28599999999999998</v>
      </c>
      <c r="N71" s="204">
        <f t="shared" si="22"/>
        <v>0.53</v>
      </c>
      <c r="O71" s="205">
        <f t="shared" si="23"/>
        <v>0</v>
      </c>
      <c r="P71" s="206">
        <f t="shared" si="24"/>
        <v>0.53</v>
      </c>
      <c r="Q71" s="206">
        <f t="shared" si="25"/>
        <v>0</v>
      </c>
      <c r="R7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12673</v>
      </c>
      <c r="T7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1" s="208">
        <f ca="1">IF(Tabla33610673486[[#This Row],[Equity]]&lt;Tabla33610673486[[#This Row],[Equity Peak]],(Tabla33610673486[[#This Row],[Equity Peak]]-Tabla33610673486[[#This Row],[Equity]])/Tabla33610673486[[#This Row],[Equity Peak]],"")</f>
        <v>4.3211816467630419E-3</v>
      </c>
      <c r="V71" s="209">
        <f t="shared" si="26"/>
        <v>0.53</v>
      </c>
      <c r="W71" s="209">
        <f t="shared" si="27"/>
        <v>0</v>
      </c>
      <c r="X71" s="209">
        <f t="shared" si="28"/>
        <v>0</v>
      </c>
      <c r="Y71" s="209">
        <f t="shared" si="29"/>
        <v>0</v>
      </c>
      <c r="Z71" s="209">
        <f t="shared" si="30"/>
        <v>0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1.0111111111109494</v>
      </c>
      <c r="AE71" s="210">
        <f t="shared" si="35"/>
        <v>1.0111111111109494</v>
      </c>
      <c r="AF71" s="210">
        <f t="shared" si="36"/>
        <v>0</v>
      </c>
      <c r="AG71" s="210">
        <f t="shared" si="37"/>
        <v>0</v>
      </c>
    </row>
    <row r="72" spans="2:33" ht="15" customHeight="1" x14ac:dyDescent="0.3">
      <c r="B72" s="196" t="s">
        <v>7</v>
      </c>
      <c r="C72" s="197" t="s">
        <v>13</v>
      </c>
      <c r="D72" s="198" t="str">
        <f t="shared" si="19"/>
        <v>C</v>
      </c>
      <c r="E72" s="199">
        <v>44763.6875</v>
      </c>
      <c r="F72" s="200" t="s">
        <v>115</v>
      </c>
      <c r="G72" s="201">
        <v>164.86799999999999</v>
      </c>
      <c r="H72" s="201">
        <v>165.47399999999999</v>
      </c>
      <c r="I72" s="202">
        <f t="shared" si="20"/>
        <v>0.60599999999999454</v>
      </c>
      <c r="J72" s="201">
        <v>163.136</v>
      </c>
      <c r="K72" s="199">
        <v>44764.90902777778</v>
      </c>
      <c r="L72" s="201">
        <v>163.136</v>
      </c>
      <c r="M72" s="203">
        <f t="shared" si="21"/>
        <v>1.732</v>
      </c>
      <c r="N72" s="204">
        <f t="shared" si="22"/>
        <v>2.86</v>
      </c>
      <c r="O72" s="205">
        <f t="shared" si="23"/>
        <v>0</v>
      </c>
      <c r="P72" s="206">
        <f t="shared" si="24"/>
        <v>2.86</v>
      </c>
      <c r="Q72" s="206">
        <f t="shared" si="25"/>
        <v>0</v>
      </c>
      <c r="R7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12620</v>
      </c>
      <c r="T7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2" s="208">
        <f ca="1">IF(Tabla33610673486[[#This Row],[Equity]]&lt;Tabla33610673486[[#This Row],[Equity Peak]],(Tabla33610673486[[#This Row],[Equity Peak]]-Tabla33610673486[[#This Row],[Equity]])/Tabla33610673486[[#This Row],[Equity Peak]],"")</f>
        <v>8.4852294154619742E-3</v>
      </c>
      <c r="V72" s="209">
        <f t="shared" si="26"/>
        <v>2.86</v>
      </c>
      <c r="W72" s="209">
        <f t="shared" si="27"/>
        <v>0</v>
      </c>
      <c r="X72" s="209">
        <f t="shared" si="28"/>
        <v>0</v>
      </c>
      <c r="Y72" s="209">
        <f t="shared" si="29"/>
        <v>0</v>
      </c>
      <c r="Z72" s="209">
        <f t="shared" si="30"/>
        <v>0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1.2215277777795563</v>
      </c>
      <c r="AE72" s="210">
        <f t="shared" si="35"/>
        <v>1.2215277777795563</v>
      </c>
      <c r="AF72" s="210">
        <f t="shared" si="36"/>
        <v>0</v>
      </c>
      <c r="AG72" s="210">
        <f t="shared" si="37"/>
        <v>0</v>
      </c>
    </row>
    <row r="73" spans="2:33" ht="15" customHeight="1" x14ac:dyDescent="0.3">
      <c r="B73" s="196" t="s">
        <v>7</v>
      </c>
      <c r="C73" s="197" t="s">
        <v>15</v>
      </c>
      <c r="D73" s="198" t="str">
        <f t="shared" si="19"/>
        <v>C</v>
      </c>
      <c r="E73" s="199">
        <v>44762.135416666664</v>
      </c>
      <c r="F73" s="200" t="s">
        <v>115</v>
      </c>
      <c r="G73" s="201">
        <v>166.1</v>
      </c>
      <c r="H73" s="201">
        <v>165.55500000000001</v>
      </c>
      <c r="I73" s="202">
        <f t="shared" si="20"/>
        <v>0.54499999999998749</v>
      </c>
      <c r="J73" s="201">
        <v>167.65600000000001</v>
      </c>
      <c r="K73" s="199">
        <v>44762.566666666666</v>
      </c>
      <c r="L73" s="201">
        <v>165.57300000000001</v>
      </c>
      <c r="M73" s="203">
        <f t="shared" si="21"/>
        <v>-0.52700000000000002</v>
      </c>
      <c r="N73" s="204">
        <f t="shared" si="22"/>
        <v>-0.97</v>
      </c>
      <c r="O73" s="205">
        <f t="shared" si="23"/>
        <v>0</v>
      </c>
      <c r="P73" s="206">
        <f t="shared" si="24"/>
        <v>0</v>
      </c>
      <c r="Q73" s="206">
        <f t="shared" si="25"/>
        <v>-0.97</v>
      </c>
      <c r="R7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12334</v>
      </c>
      <c r="T7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3" s="208">
        <f ca="1">IF(Tabla33610673486[[#This Row],[Equity]]&lt;Tabla33610673486[[#This Row],[Equity Peak]],(Tabla33610673486[[#This Row],[Equity Peak]]-Tabla33610673486[[#This Row],[Equity]])/Tabla33610673486[[#This Row],[Equity Peak]],"")</f>
        <v>3.0955373978629793E-2</v>
      </c>
      <c r="V73" s="209">
        <f t="shared" si="26"/>
        <v>-0.97</v>
      </c>
      <c r="W73" s="209">
        <f t="shared" si="27"/>
        <v>0</v>
      </c>
      <c r="X73" s="209">
        <f t="shared" si="28"/>
        <v>0</v>
      </c>
      <c r="Y73" s="209">
        <f t="shared" si="29"/>
        <v>0</v>
      </c>
      <c r="Z73" s="209">
        <f t="shared" si="30"/>
        <v>0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0.43125000000145519</v>
      </c>
      <c r="AE73" s="210">
        <f t="shared" si="35"/>
        <v>0</v>
      </c>
      <c r="AF73" s="210">
        <f t="shared" si="36"/>
        <v>0.43125000000145519</v>
      </c>
      <c r="AG73" s="210">
        <f t="shared" si="37"/>
        <v>0</v>
      </c>
    </row>
    <row r="74" spans="2:33" ht="15" customHeight="1" x14ac:dyDescent="0.3">
      <c r="B74" s="196" t="s">
        <v>7</v>
      </c>
      <c r="C74" s="197" t="s">
        <v>15</v>
      </c>
      <c r="D74" s="198" t="str">
        <f t="shared" si="19"/>
        <v>C</v>
      </c>
      <c r="E74" s="199">
        <v>44760.427083333336</v>
      </c>
      <c r="F74" s="200" t="s">
        <v>115</v>
      </c>
      <c r="G74" s="201">
        <v>164.798</v>
      </c>
      <c r="H74" s="201">
        <v>164.256</v>
      </c>
      <c r="I74" s="202">
        <f t="shared" si="20"/>
        <v>0.54200000000000159</v>
      </c>
      <c r="J74" s="201">
        <v>166.34700000000001</v>
      </c>
      <c r="K74" s="199">
        <v>44760.865972222222</v>
      </c>
      <c r="L74" s="201">
        <v>165.15</v>
      </c>
      <c r="M74" s="203">
        <f t="shared" si="21"/>
        <v>0.35199999999999998</v>
      </c>
      <c r="N74" s="204">
        <f t="shared" si="22"/>
        <v>0.65</v>
      </c>
      <c r="O74" s="205">
        <f t="shared" si="23"/>
        <v>0</v>
      </c>
      <c r="P74" s="206">
        <f t="shared" si="24"/>
        <v>0.65</v>
      </c>
      <c r="Q74" s="206">
        <f t="shared" si="25"/>
        <v>0</v>
      </c>
      <c r="R7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12431</v>
      </c>
      <c r="T7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4" s="208">
        <f ca="1">IF(Tabla33610673486[[#This Row],[Equity]]&lt;Tabla33610673486[[#This Row],[Equity Peak]],(Tabla33610673486[[#This Row],[Equity Peak]]-Tabla33610673486[[#This Row],[Equity]])/Tabla33610673486[[#This Row],[Equity Peak]],"")</f>
        <v>2.3334380892520427E-2</v>
      </c>
      <c r="V74" s="209">
        <f t="shared" si="26"/>
        <v>0.65</v>
      </c>
      <c r="W74" s="209">
        <f t="shared" si="27"/>
        <v>0</v>
      </c>
      <c r="X74" s="209">
        <f t="shared" si="28"/>
        <v>0</v>
      </c>
      <c r="Y74" s="209">
        <f t="shared" si="29"/>
        <v>0</v>
      </c>
      <c r="Z74" s="209">
        <f t="shared" si="30"/>
        <v>0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0.43888888888614019</v>
      </c>
      <c r="AE74" s="210">
        <f t="shared" si="35"/>
        <v>0.43888888888614019</v>
      </c>
      <c r="AF74" s="210">
        <f t="shared" si="36"/>
        <v>0</v>
      </c>
      <c r="AG74" s="210">
        <f t="shared" si="37"/>
        <v>0</v>
      </c>
    </row>
    <row r="75" spans="2:33" ht="15" customHeight="1" x14ac:dyDescent="0.3">
      <c r="B75" s="196" t="s">
        <v>7</v>
      </c>
      <c r="C75" s="197" t="s">
        <v>15</v>
      </c>
      <c r="D75" s="198" t="str">
        <f t="shared" si="19"/>
        <v>C</v>
      </c>
      <c r="E75" s="199">
        <v>44756.395833333336</v>
      </c>
      <c r="F75" s="200" t="s">
        <v>115</v>
      </c>
      <c r="G75" s="201">
        <v>164.12799999999999</v>
      </c>
      <c r="H75" s="201">
        <v>163.529</v>
      </c>
      <c r="I75" s="202">
        <f t="shared" si="20"/>
        <v>0.59899999999998954</v>
      </c>
      <c r="J75" s="201">
        <v>165.83799999999999</v>
      </c>
      <c r="K75" s="199">
        <v>44756.611111111109</v>
      </c>
      <c r="L75" s="201">
        <v>164.101</v>
      </c>
      <c r="M75" s="203">
        <f t="shared" si="21"/>
        <v>-2.7E-2</v>
      </c>
      <c r="N75" s="204">
        <f t="shared" si="22"/>
        <v>-0.05</v>
      </c>
      <c r="O75" s="205">
        <f t="shared" si="23"/>
        <v>0</v>
      </c>
      <c r="P75" s="206">
        <f t="shared" si="24"/>
        <v>0</v>
      </c>
      <c r="Q75" s="206">
        <f t="shared" si="25"/>
        <v>-0.05</v>
      </c>
      <c r="R7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12366</v>
      </c>
      <c r="T7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5" s="208">
        <f ca="1">IF(Tabla33610673486[[#This Row],[Equity]]&lt;Tabla33610673486[[#This Row],[Equity Peak]],(Tabla33610673486[[#This Row],[Equity Peak]]-Tabla33610673486[[#This Row],[Equity]])/Tabla33610673486[[#This Row],[Equity Peak]],"")</f>
        <v>2.8441231929604023E-2</v>
      </c>
      <c r="V75" s="209">
        <f t="shared" si="26"/>
        <v>-0.05</v>
      </c>
      <c r="W75" s="209">
        <f t="shared" si="27"/>
        <v>0</v>
      </c>
      <c r="X75" s="209">
        <f t="shared" si="28"/>
        <v>0</v>
      </c>
      <c r="Y75" s="209">
        <f t="shared" si="29"/>
        <v>0</v>
      </c>
      <c r="Z75" s="209">
        <f t="shared" si="30"/>
        <v>0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0.21527777777373558</v>
      </c>
      <c r="AE75" s="210">
        <f t="shared" si="35"/>
        <v>0</v>
      </c>
      <c r="AF75" s="210">
        <f t="shared" si="36"/>
        <v>0.21527777777373558</v>
      </c>
      <c r="AG75" s="210">
        <f t="shared" si="37"/>
        <v>0</v>
      </c>
    </row>
    <row r="76" spans="2:33" ht="15" customHeight="1" x14ac:dyDescent="0.3">
      <c r="B76" s="196" t="s">
        <v>7</v>
      </c>
      <c r="C76" s="197" t="s">
        <v>15</v>
      </c>
      <c r="D76" s="198" t="str">
        <f t="shared" si="19"/>
        <v>C</v>
      </c>
      <c r="E76" s="199">
        <v>44755.75</v>
      </c>
      <c r="F76" s="200" t="s">
        <v>115</v>
      </c>
      <c r="G76" s="201">
        <v>163.857</v>
      </c>
      <c r="H76" s="201">
        <v>163.19</v>
      </c>
      <c r="I76" s="202">
        <f t="shared" si="20"/>
        <v>0.66700000000000159</v>
      </c>
      <c r="J76" s="201">
        <v>165.762</v>
      </c>
      <c r="K76" s="199">
        <v>44755.999305555553</v>
      </c>
      <c r="L76" s="201">
        <v>163.22999999999999</v>
      </c>
      <c r="M76" s="203">
        <f t="shared" si="21"/>
        <v>-0.627</v>
      </c>
      <c r="N76" s="204">
        <f t="shared" si="22"/>
        <v>-0.94</v>
      </c>
      <c r="O76" s="205">
        <f t="shared" si="23"/>
        <v>0</v>
      </c>
      <c r="P76" s="206">
        <f t="shared" si="24"/>
        <v>0</v>
      </c>
      <c r="Q76" s="206">
        <f t="shared" si="25"/>
        <v>-0.94</v>
      </c>
      <c r="R7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12371</v>
      </c>
      <c r="T7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6" s="208">
        <f ca="1">IF(Tabla33610673486[[#This Row],[Equity]]&lt;Tabla33610673486[[#This Row],[Equity Peak]],(Tabla33610673486[[#This Row],[Equity Peak]]-Tabla33610673486[[#This Row],[Equity]])/Tabla33610673486[[#This Row],[Equity Peak]],"")</f>
        <v>2.8048397234443745E-2</v>
      </c>
      <c r="V76" s="209">
        <f t="shared" si="26"/>
        <v>-0.94</v>
      </c>
      <c r="W76" s="209">
        <f t="shared" si="27"/>
        <v>0</v>
      </c>
      <c r="X76" s="209">
        <f t="shared" si="28"/>
        <v>0</v>
      </c>
      <c r="Y76" s="209">
        <f t="shared" si="29"/>
        <v>0</v>
      </c>
      <c r="Z76" s="209">
        <f t="shared" si="30"/>
        <v>0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0.24930555555329192</v>
      </c>
      <c r="AE76" s="210">
        <f t="shared" si="35"/>
        <v>0</v>
      </c>
      <c r="AF76" s="210">
        <f t="shared" si="36"/>
        <v>0.24930555555329192</v>
      </c>
      <c r="AG76" s="210">
        <f t="shared" si="37"/>
        <v>0</v>
      </c>
    </row>
    <row r="77" spans="2:33" ht="15" customHeight="1" x14ac:dyDescent="0.3">
      <c r="B77" s="196" t="s">
        <v>7</v>
      </c>
      <c r="C77" s="197" t="s">
        <v>13</v>
      </c>
      <c r="D77" s="198" t="str">
        <f t="shared" si="19"/>
        <v>C</v>
      </c>
      <c r="E77" s="199">
        <v>44754.177083333336</v>
      </c>
      <c r="F77" s="200" t="s">
        <v>115</v>
      </c>
      <c r="G77" s="201">
        <v>162.91200000000001</v>
      </c>
      <c r="H77" s="201">
        <v>163.553</v>
      </c>
      <c r="I77" s="202">
        <f t="shared" si="20"/>
        <v>0.64099999999999113</v>
      </c>
      <c r="J77" s="201">
        <v>161.08199999999999</v>
      </c>
      <c r="K77" s="199">
        <v>44754.808333333334</v>
      </c>
      <c r="L77" s="201">
        <v>162.85400000000001</v>
      </c>
      <c r="M77" s="203">
        <f t="shared" si="21"/>
        <v>5.8000000000000003E-2</v>
      </c>
      <c r="N77" s="204">
        <f t="shared" si="22"/>
        <v>0.09</v>
      </c>
      <c r="O77" s="205">
        <f t="shared" si="23"/>
        <v>0</v>
      </c>
      <c r="P77" s="206">
        <f t="shared" si="24"/>
        <v>0.09</v>
      </c>
      <c r="Q77" s="206">
        <f t="shared" si="25"/>
        <v>0</v>
      </c>
      <c r="R7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12465</v>
      </c>
      <c r="T7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7" s="208">
        <f ca="1">IF(Tabla33610673486[[#This Row],[Equity]]&lt;Tabla33610673486[[#This Row],[Equity Peak]],(Tabla33610673486[[#This Row],[Equity Peak]]-Tabla33610673486[[#This Row],[Equity]])/Tabla33610673486[[#This Row],[Equity Peak]],"")</f>
        <v>2.0663104965430546E-2</v>
      </c>
      <c r="V77" s="209">
        <f t="shared" si="26"/>
        <v>0.09</v>
      </c>
      <c r="W77" s="209">
        <f t="shared" si="27"/>
        <v>0</v>
      </c>
      <c r="X77" s="209">
        <f t="shared" si="28"/>
        <v>0</v>
      </c>
      <c r="Y77" s="209">
        <f t="shared" si="29"/>
        <v>0</v>
      </c>
      <c r="Z77" s="209">
        <f t="shared" si="30"/>
        <v>0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0.63124999999854481</v>
      </c>
      <c r="AE77" s="210">
        <f t="shared" si="35"/>
        <v>0.63124999999854481</v>
      </c>
      <c r="AF77" s="210">
        <f t="shared" si="36"/>
        <v>0</v>
      </c>
      <c r="AG77" s="210">
        <f t="shared" si="37"/>
        <v>0</v>
      </c>
    </row>
    <row r="78" spans="2:33" ht="15" customHeight="1" x14ac:dyDescent="0.3">
      <c r="B78" s="196" t="s">
        <v>7</v>
      </c>
      <c r="C78" s="197" t="s">
        <v>15</v>
      </c>
      <c r="D78" s="198" t="str">
        <f t="shared" si="19"/>
        <v>C</v>
      </c>
      <c r="E78" s="199">
        <v>44753.1875</v>
      </c>
      <c r="F78" s="200" t="s">
        <v>115</v>
      </c>
      <c r="G78" s="201">
        <v>164.18</v>
      </c>
      <c r="H78" s="201">
        <v>163.49</v>
      </c>
      <c r="I78" s="202">
        <f t="shared" si="20"/>
        <v>0.68999999999999773</v>
      </c>
      <c r="J78" s="201">
        <v>166.15100000000001</v>
      </c>
      <c r="K78" s="199">
        <v>44753.436111111114</v>
      </c>
      <c r="L78" s="201">
        <v>163.66300000000001</v>
      </c>
      <c r="M78" s="203">
        <f t="shared" si="21"/>
        <v>-0.51700000000000002</v>
      </c>
      <c r="N78" s="204">
        <f t="shared" si="22"/>
        <v>-0.75</v>
      </c>
      <c r="O78" s="205">
        <f t="shared" si="23"/>
        <v>0</v>
      </c>
      <c r="P78" s="206">
        <f t="shared" si="24"/>
        <v>0</v>
      </c>
      <c r="Q78" s="206">
        <f t="shared" si="25"/>
        <v>-0.75</v>
      </c>
      <c r="R7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12456</v>
      </c>
      <c r="T7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8" s="208">
        <f ca="1">IF(Tabla33610673486[[#This Row],[Equity]]&lt;Tabla33610673486[[#This Row],[Equity Peak]],(Tabla33610673486[[#This Row],[Equity Peak]]-Tabla33610673486[[#This Row],[Equity]])/Tabla33610673486[[#This Row],[Equity Peak]],"")</f>
        <v>2.1370207416719043E-2</v>
      </c>
      <c r="V78" s="209">
        <f t="shared" si="26"/>
        <v>-0.75</v>
      </c>
      <c r="W78" s="209">
        <f t="shared" si="27"/>
        <v>0</v>
      </c>
      <c r="X78" s="209">
        <f t="shared" si="28"/>
        <v>0</v>
      </c>
      <c r="Y78" s="209">
        <f t="shared" si="29"/>
        <v>0</v>
      </c>
      <c r="Z78" s="209">
        <f t="shared" si="30"/>
        <v>0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0.24861111111385981</v>
      </c>
      <c r="AE78" s="210">
        <f t="shared" si="35"/>
        <v>0</v>
      </c>
      <c r="AF78" s="210">
        <f t="shared" si="36"/>
        <v>0.24861111111385981</v>
      </c>
      <c r="AG78" s="210">
        <f t="shared" si="37"/>
        <v>0</v>
      </c>
    </row>
    <row r="79" spans="2:33" ht="15" customHeight="1" x14ac:dyDescent="0.3">
      <c r="B79" s="196" t="s">
        <v>7</v>
      </c>
      <c r="C79" s="197" t="s">
        <v>15</v>
      </c>
      <c r="D79" s="198" t="str">
        <f t="shared" si="19"/>
        <v>C</v>
      </c>
      <c r="E79" s="199">
        <v>44749.875</v>
      </c>
      <c r="F79" s="200" t="s">
        <v>115</v>
      </c>
      <c r="G79" s="201">
        <v>163.447</v>
      </c>
      <c r="H79" s="201">
        <v>162.62700000000001</v>
      </c>
      <c r="I79" s="202">
        <f t="shared" si="20"/>
        <v>0.81999999999999318</v>
      </c>
      <c r="J79" s="201">
        <v>165.78899999999999</v>
      </c>
      <c r="K79" s="199">
        <v>44750.248611111114</v>
      </c>
      <c r="L79" s="201">
        <v>163.04400000000001</v>
      </c>
      <c r="M79" s="203">
        <f t="shared" si="21"/>
        <v>-0.40300000000000002</v>
      </c>
      <c r="N79" s="204">
        <f t="shared" si="22"/>
        <v>-0.49</v>
      </c>
      <c r="O79" s="205">
        <f t="shared" si="23"/>
        <v>0</v>
      </c>
      <c r="P79" s="206">
        <f t="shared" si="24"/>
        <v>0</v>
      </c>
      <c r="Q79" s="206">
        <f t="shared" si="25"/>
        <v>-0.49</v>
      </c>
      <c r="R7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12531</v>
      </c>
      <c r="T7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79" s="208">
        <f ca="1">IF(Tabla33610673486[[#This Row],[Equity]]&lt;Tabla33610673486[[#This Row],[Equity Peak]],(Tabla33610673486[[#This Row],[Equity Peak]]-Tabla33610673486[[#This Row],[Equity]])/Tabla33610673486[[#This Row],[Equity Peak]],"")</f>
        <v>1.5477686989314897E-2</v>
      </c>
      <c r="V79" s="209">
        <f t="shared" si="26"/>
        <v>-0.49</v>
      </c>
      <c r="W79" s="209">
        <f t="shared" si="27"/>
        <v>0</v>
      </c>
      <c r="X79" s="209">
        <f t="shared" si="28"/>
        <v>0</v>
      </c>
      <c r="Y79" s="209">
        <f t="shared" si="29"/>
        <v>0</v>
      </c>
      <c r="Z79" s="209">
        <f t="shared" si="30"/>
        <v>0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0.37361111111385981</v>
      </c>
      <c r="AE79" s="210">
        <f t="shared" si="35"/>
        <v>0</v>
      </c>
      <c r="AF79" s="210">
        <f t="shared" si="36"/>
        <v>0.37361111111385981</v>
      </c>
      <c r="AG79" s="210">
        <f t="shared" si="37"/>
        <v>0</v>
      </c>
    </row>
    <row r="80" spans="2:33" ht="15" customHeight="1" x14ac:dyDescent="0.3">
      <c r="B80" s="196" t="s">
        <v>7</v>
      </c>
      <c r="C80" s="197" t="s">
        <v>15</v>
      </c>
      <c r="D80" s="198" t="str">
        <f t="shared" si="19"/>
        <v>C</v>
      </c>
      <c r="E80" s="199">
        <v>44749.46875</v>
      </c>
      <c r="F80" s="200" t="s">
        <v>115</v>
      </c>
      <c r="G80" s="201">
        <v>162.93</v>
      </c>
      <c r="H80" s="201">
        <v>162.148</v>
      </c>
      <c r="I80" s="202">
        <f t="shared" si="20"/>
        <v>0.78200000000001069</v>
      </c>
      <c r="J80" s="201">
        <v>165.16300000000001</v>
      </c>
      <c r="K80" s="199">
        <v>44749.619444444441</v>
      </c>
      <c r="L80" s="201">
        <v>162.49700000000001</v>
      </c>
      <c r="M80" s="203">
        <f t="shared" si="21"/>
        <v>-0.433</v>
      </c>
      <c r="N80" s="204">
        <f t="shared" si="22"/>
        <v>-0.55000000000000004</v>
      </c>
      <c r="O80" s="205">
        <f t="shared" si="23"/>
        <v>0</v>
      </c>
      <c r="P80" s="206">
        <f t="shared" si="24"/>
        <v>0</v>
      </c>
      <c r="Q80" s="206">
        <f t="shared" si="25"/>
        <v>-0.55000000000000004</v>
      </c>
      <c r="R8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12580</v>
      </c>
      <c r="T8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80" s="208">
        <f ca="1">IF(Tabla33610673486[[#This Row],[Equity]]&lt;Tabla33610673486[[#This Row],[Equity Peak]],(Tabla33610673486[[#This Row],[Equity Peak]]-Tabla33610673486[[#This Row],[Equity]])/Tabla33610673486[[#This Row],[Equity Peak]],"")</f>
        <v>1.1627906976744186E-2</v>
      </c>
      <c r="V80" s="209">
        <f t="shared" si="26"/>
        <v>-0.55000000000000004</v>
      </c>
      <c r="W80" s="209">
        <f t="shared" si="27"/>
        <v>0</v>
      </c>
      <c r="X80" s="209">
        <f t="shared" si="28"/>
        <v>0</v>
      </c>
      <c r="Y80" s="209">
        <f t="shared" si="29"/>
        <v>0</v>
      </c>
      <c r="Z80" s="209">
        <f t="shared" si="30"/>
        <v>0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0.15069444444088731</v>
      </c>
      <c r="AE80" s="210">
        <f t="shared" si="35"/>
        <v>0</v>
      </c>
      <c r="AF80" s="210">
        <f t="shared" si="36"/>
        <v>0.15069444444088731</v>
      </c>
      <c r="AG80" s="210">
        <f t="shared" si="37"/>
        <v>0</v>
      </c>
    </row>
    <row r="81" spans="2:33" ht="15" customHeight="1" x14ac:dyDescent="0.3">
      <c r="B81" s="196" t="s">
        <v>7</v>
      </c>
      <c r="C81" s="197" t="s">
        <v>13</v>
      </c>
      <c r="D81" s="198" t="str">
        <f t="shared" si="19"/>
        <v>C</v>
      </c>
      <c r="E81" s="199">
        <v>44748.635416666664</v>
      </c>
      <c r="F81" s="200" t="s">
        <v>115</v>
      </c>
      <c r="G81" s="201">
        <v>160.73400000000001</v>
      </c>
      <c r="H81" s="201">
        <v>161.52799999999999</v>
      </c>
      <c r="I81" s="202">
        <f t="shared" si="20"/>
        <v>0.79399999999998272</v>
      </c>
      <c r="J81" s="201">
        <v>158.46600000000001</v>
      </c>
      <c r="K81" s="199">
        <v>44748.709027777775</v>
      </c>
      <c r="L81" s="201">
        <v>161.476</v>
      </c>
      <c r="M81" s="203">
        <f t="shared" si="21"/>
        <v>-0.74199999999999999</v>
      </c>
      <c r="N81" s="204">
        <f t="shared" si="22"/>
        <v>-0.93</v>
      </c>
      <c r="O81" s="205">
        <f t="shared" si="23"/>
        <v>0</v>
      </c>
      <c r="P81" s="206">
        <f t="shared" si="24"/>
        <v>0</v>
      </c>
      <c r="Q81" s="206">
        <f t="shared" si="25"/>
        <v>-0.93</v>
      </c>
      <c r="R8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12635</v>
      </c>
      <c r="T8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81" s="208">
        <f ca="1">IF(Tabla33610673486[[#This Row],[Equity]]&lt;Tabla33610673486[[#This Row],[Equity Peak]],(Tabla33610673486[[#This Row],[Equity Peak]]-Tabla33610673486[[#This Row],[Equity]])/Tabla33610673486[[#This Row],[Equity Peak]],"")</f>
        <v>7.306725329981144E-3</v>
      </c>
      <c r="V81" s="209">
        <f t="shared" si="26"/>
        <v>-0.93</v>
      </c>
      <c r="W81" s="209">
        <f t="shared" si="27"/>
        <v>0</v>
      </c>
      <c r="X81" s="209">
        <f t="shared" si="28"/>
        <v>0</v>
      </c>
      <c r="Y81" s="209">
        <f t="shared" si="29"/>
        <v>0</v>
      </c>
      <c r="Z81" s="209">
        <f t="shared" si="30"/>
        <v>0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7.3611111110949423E-2</v>
      </c>
      <c r="AE81" s="210">
        <f t="shared" si="35"/>
        <v>0</v>
      </c>
      <c r="AF81" s="210">
        <f t="shared" si="36"/>
        <v>7.3611111110949423E-2</v>
      </c>
      <c r="AG81" s="210">
        <f t="shared" si="37"/>
        <v>0</v>
      </c>
    </row>
    <row r="82" spans="2:33" ht="15" customHeight="1" x14ac:dyDescent="0.3">
      <c r="B82" s="196" t="s">
        <v>7</v>
      </c>
      <c r="C82" s="197" t="s">
        <v>13</v>
      </c>
      <c r="D82" s="198" t="str">
        <f t="shared" si="19"/>
        <v>C</v>
      </c>
      <c r="E82" s="199">
        <v>44747.625</v>
      </c>
      <c r="F82" s="200" t="s">
        <v>115</v>
      </c>
      <c r="G82" s="201">
        <v>163.18100000000001</v>
      </c>
      <c r="H82" s="201">
        <v>163.77500000000001</v>
      </c>
      <c r="I82" s="202">
        <f t="shared" si="20"/>
        <v>0.59399999999999409</v>
      </c>
      <c r="J82" s="201">
        <v>161.48500000000001</v>
      </c>
      <c r="K82" s="199">
        <v>44748.328472222223</v>
      </c>
      <c r="L82" s="201">
        <v>161.48500000000001</v>
      </c>
      <c r="M82" s="203">
        <f t="shared" si="21"/>
        <v>1.696</v>
      </c>
      <c r="N82" s="204">
        <f t="shared" si="22"/>
        <v>2.86</v>
      </c>
      <c r="O82" s="205">
        <f t="shared" si="23"/>
        <v>0</v>
      </c>
      <c r="P82" s="206">
        <f t="shared" si="24"/>
        <v>2.86</v>
      </c>
      <c r="Q82" s="206">
        <f t="shared" si="25"/>
        <v>0</v>
      </c>
      <c r="R8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12728</v>
      </c>
      <c r="T8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12728</v>
      </c>
      <c r="U82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82" s="209">
        <f t="shared" si="26"/>
        <v>2.86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0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0.70347222222335404</v>
      </c>
      <c r="AE82" s="210">
        <f t="shared" si="35"/>
        <v>0.70347222222335404</v>
      </c>
      <c r="AF82" s="210">
        <f t="shared" si="36"/>
        <v>0</v>
      </c>
      <c r="AG82" s="210">
        <f t="shared" si="37"/>
        <v>0</v>
      </c>
    </row>
    <row r="83" spans="2:33" ht="15" customHeight="1" x14ac:dyDescent="0.3">
      <c r="B83" s="196" t="s">
        <v>7</v>
      </c>
      <c r="C83" s="197" t="s">
        <v>15</v>
      </c>
      <c r="D83" s="198" t="str">
        <f t="shared" si="19"/>
        <v>C</v>
      </c>
      <c r="E83" s="199">
        <v>44746.604166666664</v>
      </c>
      <c r="F83" s="200" t="s">
        <v>115</v>
      </c>
      <c r="G83" s="201">
        <v>164.566</v>
      </c>
      <c r="H83" s="201">
        <v>163.85599999999999</v>
      </c>
      <c r="I83" s="202">
        <f t="shared" si="20"/>
        <v>0.71000000000000796</v>
      </c>
      <c r="J83" s="201">
        <v>166.59399999999999</v>
      </c>
      <c r="K83" s="199">
        <v>44747.425000000003</v>
      </c>
      <c r="L83" s="201">
        <v>164.50200000000001</v>
      </c>
      <c r="M83" s="203">
        <f t="shared" si="21"/>
        <v>-6.4000000000000001E-2</v>
      </c>
      <c r="N83" s="204">
        <f t="shared" si="22"/>
        <v>-0.09</v>
      </c>
      <c r="O83" s="205">
        <f t="shared" si="23"/>
        <v>0</v>
      </c>
      <c r="P83" s="206">
        <f t="shared" si="24"/>
        <v>0</v>
      </c>
      <c r="Q83" s="206">
        <f t="shared" si="25"/>
        <v>-0.09</v>
      </c>
      <c r="R8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12442</v>
      </c>
      <c r="T8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3" s="208">
        <f ca="1">IF(Tabla33610673486[[#This Row],[Equity]]&lt;Tabla33610673486[[#This Row],[Equity Peak]],(Tabla33610673486[[#This Row],[Equity Peak]]-Tabla33610673486[[#This Row],[Equity]])/Tabla33610673486[[#This Row],[Equity Peak]],"")</f>
        <v>1.7530006317119394E-2</v>
      </c>
      <c r="V83" s="209">
        <f t="shared" si="26"/>
        <v>-0.09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0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0.82083333333866904</v>
      </c>
      <c r="AE83" s="210">
        <f t="shared" si="35"/>
        <v>0</v>
      </c>
      <c r="AF83" s="210">
        <f t="shared" si="36"/>
        <v>0.82083333333866904</v>
      </c>
      <c r="AG83" s="210">
        <f t="shared" si="37"/>
        <v>0</v>
      </c>
    </row>
    <row r="84" spans="2:33" ht="15" customHeight="1" x14ac:dyDescent="0.3">
      <c r="B84" s="196" t="s">
        <v>7</v>
      </c>
      <c r="C84" s="197" t="s">
        <v>13</v>
      </c>
      <c r="D84" s="198" t="str">
        <f t="shared" si="19"/>
        <v>C</v>
      </c>
      <c r="E84" s="199">
        <v>44743.229166666664</v>
      </c>
      <c r="F84" s="200" t="s">
        <v>115</v>
      </c>
      <c r="G84" s="201">
        <v>164.523</v>
      </c>
      <c r="H84" s="201">
        <v>165.12899999999999</v>
      </c>
      <c r="I84" s="202">
        <f t="shared" si="20"/>
        <v>0.60599999999999454</v>
      </c>
      <c r="J84" s="201">
        <v>162.792</v>
      </c>
      <c r="K84" s="199">
        <v>44743.6</v>
      </c>
      <c r="L84" s="201">
        <v>162.792</v>
      </c>
      <c r="M84" s="203">
        <f t="shared" si="21"/>
        <v>1.7310000000000001</v>
      </c>
      <c r="N84" s="204">
        <f t="shared" si="22"/>
        <v>2.86</v>
      </c>
      <c r="O84" s="205">
        <f t="shared" si="23"/>
        <v>0</v>
      </c>
      <c r="P84" s="206">
        <f t="shared" si="24"/>
        <v>2.86</v>
      </c>
      <c r="Q84" s="206">
        <f t="shared" si="25"/>
        <v>0</v>
      </c>
      <c r="R8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12451</v>
      </c>
      <c r="T8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4" s="208">
        <f ca="1">IF(Tabla33610673486[[#This Row],[Equity]]&lt;Tabla33610673486[[#This Row],[Equity Peak]],(Tabla33610673486[[#This Row],[Equity Peak]]-Tabla33610673486[[#This Row],[Equity]])/Tabla33610673486[[#This Row],[Equity Peak]],"")</f>
        <v>1.6819330385344285E-2</v>
      </c>
      <c r="V84" s="209">
        <f t="shared" si="26"/>
        <v>2.86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0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0.37083333333430346</v>
      </c>
      <c r="AE84" s="210">
        <f t="shared" si="35"/>
        <v>0.37083333333430346</v>
      </c>
      <c r="AF84" s="210">
        <f t="shared" si="36"/>
        <v>0</v>
      </c>
      <c r="AG84" s="210">
        <f t="shared" si="37"/>
        <v>0</v>
      </c>
    </row>
    <row r="85" spans="2:33" ht="15" customHeight="1" x14ac:dyDescent="0.3">
      <c r="B85" s="196" t="s">
        <v>7</v>
      </c>
      <c r="C85" s="197" t="s">
        <v>13</v>
      </c>
      <c r="D85" s="198" t="str">
        <f t="shared" si="19"/>
        <v>C</v>
      </c>
      <c r="E85" s="199">
        <v>44742.59375</v>
      </c>
      <c r="F85" s="200" t="s">
        <v>115</v>
      </c>
      <c r="G85" s="201">
        <v>165.06299999999999</v>
      </c>
      <c r="H85" s="201">
        <v>165.65</v>
      </c>
      <c r="I85" s="202">
        <f t="shared" si="20"/>
        <v>0.58700000000001751</v>
      </c>
      <c r="J85" s="201">
        <v>163.387</v>
      </c>
      <c r="K85" s="199">
        <v>44742.710416666669</v>
      </c>
      <c r="L85" s="201">
        <v>165.60499999999999</v>
      </c>
      <c r="M85" s="203">
        <f t="shared" si="21"/>
        <v>-0.54200000000000004</v>
      </c>
      <c r="N85" s="204">
        <f t="shared" si="22"/>
        <v>-0.92</v>
      </c>
      <c r="O85" s="205">
        <f t="shared" si="23"/>
        <v>0</v>
      </c>
      <c r="P85" s="206">
        <f t="shared" si="24"/>
        <v>0</v>
      </c>
      <c r="Q85" s="206">
        <f t="shared" si="25"/>
        <v>-0.92</v>
      </c>
      <c r="R8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12165</v>
      </c>
      <c r="T8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5" s="208">
        <f ca="1">IF(Tabla33610673486[[#This Row],[Equity]]&lt;Tabla33610673486[[#This Row],[Equity Peak]],(Tabla33610673486[[#This Row],[Equity Peak]]-Tabla33610673486[[#This Row],[Equity]])/Tabla33610673486[[#This Row],[Equity Peak]],"")</f>
        <v>3.9403032217308905E-2</v>
      </c>
      <c r="V85" s="209">
        <f t="shared" si="26"/>
        <v>-0.92</v>
      </c>
      <c r="W85" s="209">
        <f t="shared" si="27"/>
        <v>0</v>
      </c>
      <c r="X85" s="209">
        <f t="shared" si="28"/>
        <v>0</v>
      </c>
      <c r="Y85" s="209">
        <f t="shared" si="29"/>
        <v>0</v>
      </c>
      <c r="Z85" s="209">
        <f t="shared" si="30"/>
        <v>0</v>
      </c>
      <c r="AA85" s="205">
        <f t="shared" si="31"/>
        <v>0</v>
      </c>
      <c r="AB85" s="209">
        <f t="shared" si="32"/>
        <v>0</v>
      </c>
      <c r="AC85" s="205">
        <f t="shared" si="33"/>
        <v>0</v>
      </c>
      <c r="AD85" s="210">
        <f t="shared" si="34"/>
        <v>0.11666666666860692</v>
      </c>
      <c r="AE85" s="210">
        <f t="shared" si="35"/>
        <v>0</v>
      </c>
      <c r="AF85" s="210">
        <f t="shared" si="36"/>
        <v>0.11666666666860692</v>
      </c>
      <c r="AG85" s="210">
        <f t="shared" si="37"/>
        <v>0</v>
      </c>
    </row>
    <row r="86" spans="2:33" ht="15" customHeight="1" x14ac:dyDescent="0.3">
      <c r="B86" s="196" t="s">
        <v>7</v>
      </c>
      <c r="C86" s="197" t="s">
        <v>13</v>
      </c>
      <c r="D86" s="198" t="str">
        <f t="shared" ref="D86:D117" si="38">IF(E86&lt;&gt;"",IF(K86&lt;&gt;"","C","O"),"")</f>
        <v>C</v>
      </c>
      <c r="E86" s="199">
        <v>44742.354166666664</v>
      </c>
      <c r="F86" s="200" t="s">
        <v>115</v>
      </c>
      <c r="G86" s="201">
        <v>165.376</v>
      </c>
      <c r="H86" s="201">
        <v>165.934</v>
      </c>
      <c r="I86" s="202">
        <f t="shared" ref="I86:I117" si="39">ABS(G86-H86)</f>
        <v>0.55799999999999272</v>
      </c>
      <c r="J86" s="201">
        <v>163.78299999999999</v>
      </c>
      <c r="K86" s="199">
        <v>44742.484722222223</v>
      </c>
      <c r="L86" s="201">
        <v>165.791</v>
      </c>
      <c r="M86" s="203">
        <f t="shared" ref="M86:M117" si="40">ROUND(IF(C86="L",(L86-G86),(G86-L86)),4)</f>
        <v>-0.41499999999999998</v>
      </c>
      <c r="N86" s="204">
        <f t="shared" ref="N86:N117" si="41">IFERROR(ROUND((M86/I86),2),"")</f>
        <v>-0.74</v>
      </c>
      <c r="O86" s="205">
        <f t="shared" ref="O86:O117" si="42">IF(D86="O",IF(N86&lt;0,N86,0),0)</f>
        <v>0</v>
      </c>
      <c r="P86" s="206">
        <f t="shared" ref="P86:P117" si="43">IF(N86&gt;= 0,N86,0)</f>
        <v>0</v>
      </c>
      <c r="Q86" s="206">
        <f t="shared" ref="Q86:Q117" si="44">IF(N86&lt;0,N86,0)</f>
        <v>-0.74</v>
      </c>
      <c r="R8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12257</v>
      </c>
      <c r="T8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6" s="208">
        <f ca="1">IF(Tabla33610673486[[#This Row],[Equity]]&lt;Tabla33610673486[[#This Row],[Equity Peak]],(Tabla33610673486[[#This Row],[Equity Peak]]-Tabla33610673486[[#This Row],[Equity]])/Tabla33610673486[[#This Row],[Equity Peak]],"")</f>
        <v>3.213834491471889E-2</v>
      </c>
      <c r="V86" s="209">
        <f t="shared" ref="V86:V117" si="45">IF(B86="FX",N86,0)</f>
        <v>-0.74</v>
      </c>
      <c r="W86" s="209">
        <f t="shared" ref="W86:W117" si="46">IF(D86="O",IF(V86&lt;0,V86,0),0)</f>
        <v>0</v>
      </c>
      <c r="X86" s="209">
        <f t="shared" ref="X86:X117" si="47">IF(B86="COM",N86,0)</f>
        <v>0</v>
      </c>
      <c r="Y86" s="209">
        <f t="shared" ref="Y86:Y117" si="48">IF(D86="O",IF(X86&lt;0,X86,0),0)</f>
        <v>0</v>
      </c>
      <c r="Z86" s="209">
        <f t="shared" ref="Z86:Z117" si="49">IF(B86="IND",N86,0)</f>
        <v>0</v>
      </c>
      <c r="AA86" s="205">
        <f t="shared" ref="AA86:AA117" si="50">IF(D86="O",IF(Z86&lt;0,Z86,0),0)</f>
        <v>0</v>
      </c>
      <c r="AB86" s="209">
        <f t="shared" ref="AB86:AB117" si="51">IF(B86="CRYPTO",N86,0)</f>
        <v>0</v>
      </c>
      <c r="AC86" s="205">
        <f t="shared" ref="AC86:AC117" si="52">IF(D86="O",IF(AB86&lt;0,AB86,0),0)</f>
        <v>0</v>
      </c>
      <c r="AD86" s="210">
        <f t="shared" ref="AD86:AD117" si="53">IF(K86&lt;&gt;"",K86-E86,0)</f>
        <v>0.13055555555911269</v>
      </c>
      <c r="AE86" s="210">
        <f t="shared" ref="AE86:AE117" si="54">IF(N86&gt;0,AD86,0)</f>
        <v>0</v>
      </c>
      <c r="AF86" s="210">
        <f t="shared" ref="AF86:AF117" si="55">IF(N86&lt;0,AD86,0)</f>
        <v>0.13055555555911269</v>
      </c>
      <c r="AG86" s="210">
        <f t="shared" ref="AG86:AG117" si="56">IF(N86=0,AD86,0)</f>
        <v>0</v>
      </c>
    </row>
    <row r="87" spans="2:33" ht="15" customHeight="1" x14ac:dyDescent="0.3">
      <c r="B87" s="196" t="s">
        <v>7</v>
      </c>
      <c r="C87" s="197" t="s">
        <v>13</v>
      </c>
      <c r="D87" s="198" t="str">
        <f t="shared" si="38"/>
        <v>C</v>
      </c>
      <c r="E87" s="199">
        <v>44741.395833333336</v>
      </c>
      <c r="F87" s="200" t="s">
        <v>115</v>
      </c>
      <c r="G87" s="201">
        <v>165.584</v>
      </c>
      <c r="H87" s="201">
        <v>166.108</v>
      </c>
      <c r="I87" s="202">
        <f t="shared" si="39"/>
        <v>0.52400000000000091</v>
      </c>
      <c r="J87" s="201">
        <v>164.08699999999999</v>
      </c>
      <c r="K87" s="199">
        <v>44741.422222222223</v>
      </c>
      <c r="L87" s="201">
        <v>166.102</v>
      </c>
      <c r="M87" s="203">
        <f t="shared" si="40"/>
        <v>-0.51800000000000002</v>
      </c>
      <c r="N87" s="204">
        <f t="shared" si="41"/>
        <v>-0.99</v>
      </c>
      <c r="O87" s="205">
        <f t="shared" si="42"/>
        <v>0</v>
      </c>
      <c r="P87" s="206">
        <f t="shared" si="43"/>
        <v>0</v>
      </c>
      <c r="Q87" s="206">
        <f t="shared" si="44"/>
        <v>-0.99</v>
      </c>
      <c r="R8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12331</v>
      </c>
      <c r="T8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7" s="208">
        <f ca="1">IF(Tabla33610673486[[#This Row],[Equity]]&lt;Tabla33610673486[[#This Row],[Equity Peak]],(Tabla33610673486[[#This Row],[Equity Peak]]-Tabla33610673486[[#This Row],[Equity]])/Tabla33610673486[[#This Row],[Equity Peak]],"")</f>
        <v>2.6295009475679091E-2</v>
      </c>
      <c r="V87" s="209">
        <f t="shared" si="45"/>
        <v>-0.99</v>
      </c>
      <c r="W87" s="209">
        <f t="shared" si="46"/>
        <v>0</v>
      </c>
      <c r="X87" s="209">
        <f t="shared" si="47"/>
        <v>0</v>
      </c>
      <c r="Y87" s="209">
        <f t="shared" si="48"/>
        <v>0</v>
      </c>
      <c r="Z87" s="209">
        <f t="shared" si="49"/>
        <v>0</v>
      </c>
      <c r="AA87" s="205">
        <f t="shared" si="50"/>
        <v>0</v>
      </c>
      <c r="AB87" s="209">
        <f t="shared" si="51"/>
        <v>0</v>
      </c>
      <c r="AC87" s="205">
        <f t="shared" si="52"/>
        <v>0</v>
      </c>
      <c r="AD87" s="210">
        <f t="shared" si="53"/>
        <v>2.6388888887595385E-2</v>
      </c>
      <c r="AE87" s="210">
        <f t="shared" si="54"/>
        <v>0</v>
      </c>
      <c r="AF87" s="210">
        <f t="shared" si="55"/>
        <v>2.6388888887595385E-2</v>
      </c>
      <c r="AG87" s="210">
        <f t="shared" si="56"/>
        <v>0</v>
      </c>
    </row>
    <row r="88" spans="2:33" ht="15" customHeight="1" x14ac:dyDescent="0.3">
      <c r="B88" s="196" t="s">
        <v>7</v>
      </c>
      <c r="C88" s="197" t="s">
        <v>15</v>
      </c>
      <c r="D88" s="198" t="str">
        <f t="shared" si="38"/>
        <v>C</v>
      </c>
      <c r="E88" s="199">
        <v>44740.40625</v>
      </c>
      <c r="F88" s="200" t="s">
        <v>115</v>
      </c>
      <c r="G88" s="201">
        <v>166.59100000000001</v>
      </c>
      <c r="H88" s="201">
        <v>166.06899999999999</v>
      </c>
      <c r="I88" s="202">
        <f t="shared" si="39"/>
        <v>0.52200000000001978</v>
      </c>
      <c r="J88" s="201">
        <v>168.083</v>
      </c>
      <c r="K88" s="199">
        <v>44740.673611111109</v>
      </c>
      <c r="L88" s="201">
        <v>166.20400000000001</v>
      </c>
      <c r="M88" s="203">
        <f t="shared" si="40"/>
        <v>-0.38700000000000001</v>
      </c>
      <c r="N88" s="204">
        <f t="shared" si="41"/>
        <v>-0.74</v>
      </c>
      <c r="O88" s="205">
        <f t="shared" si="42"/>
        <v>0</v>
      </c>
      <c r="P88" s="206">
        <f t="shared" si="43"/>
        <v>0</v>
      </c>
      <c r="Q88" s="206">
        <f t="shared" si="44"/>
        <v>-0.74</v>
      </c>
      <c r="R8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12430</v>
      </c>
      <c r="T8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8" s="208">
        <f ca="1">IF(Tabla33610673486[[#This Row],[Equity]]&lt;Tabla33610673486[[#This Row],[Equity Peak]],(Tabla33610673486[[#This Row],[Equity Peak]]-Tabla33610673486[[#This Row],[Equity]])/Tabla33610673486[[#This Row],[Equity Peak]],"")</f>
        <v>1.8477574226152874E-2</v>
      </c>
      <c r="V88" s="209">
        <f t="shared" si="45"/>
        <v>-0.74</v>
      </c>
      <c r="W88" s="209">
        <f t="shared" si="46"/>
        <v>0</v>
      </c>
      <c r="X88" s="209">
        <f t="shared" si="47"/>
        <v>0</v>
      </c>
      <c r="Y88" s="209">
        <f t="shared" si="48"/>
        <v>0</v>
      </c>
      <c r="Z88" s="209">
        <f t="shared" si="49"/>
        <v>0</v>
      </c>
      <c r="AA88" s="205">
        <f t="shared" si="50"/>
        <v>0</v>
      </c>
      <c r="AB88" s="209">
        <f t="shared" si="51"/>
        <v>0</v>
      </c>
      <c r="AC88" s="205">
        <f t="shared" si="52"/>
        <v>0</v>
      </c>
      <c r="AD88" s="210">
        <f t="shared" si="53"/>
        <v>0.26736111110949423</v>
      </c>
      <c r="AE88" s="210">
        <f t="shared" si="54"/>
        <v>0</v>
      </c>
      <c r="AF88" s="210">
        <f t="shared" si="55"/>
        <v>0.26736111110949423</v>
      </c>
      <c r="AG88" s="210">
        <f t="shared" si="56"/>
        <v>0</v>
      </c>
    </row>
    <row r="89" spans="2:33" ht="15" customHeight="1" x14ac:dyDescent="0.3">
      <c r="B89" s="196" t="s">
        <v>7</v>
      </c>
      <c r="C89" s="197" t="s">
        <v>15</v>
      </c>
      <c r="D89" s="198" t="str">
        <f t="shared" si="38"/>
        <v>C</v>
      </c>
      <c r="E89" s="199">
        <v>44739.4375</v>
      </c>
      <c r="F89" s="200" t="s">
        <v>115</v>
      </c>
      <c r="G89" s="201">
        <v>166.46199999999999</v>
      </c>
      <c r="H89" s="201">
        <v>165.84299999999999</v>
      </c>
      <c r="I89" s="202">
        <f t="shared" si="39"/>
        <v>0.61899999999999977</v>
      </c>
      <c r="J89" s="201">
        <v>168.23</v>
      </c>
      <c r="K89" s="199">
        <v>44739.654861111114</v>
      </c>
      <c r="L89" s="201">
        <v>165.84299999999999</v>
      </c>
      <c r="M89" s="203">
        <f t="shared" si="40"/>
        <v>-0.61899999999999999</v>
      </c>
      <c r="N89" s="204">
        <f t="shared" si="41"/>
        <v>-1</v>
      </c>
      <c r="O89" s="205">
        <f t="shared" si="42"/>
        <v>0</v>
      </c>
      <c r="P89" s="206">
        <f t="shared" si="43"/>
        <v>0</v>
      </c>
      <c r="Q89" s="206">
        <f t="shared" si="44"/>
        <v>-1</v>
      </c>
      <c r="R8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12504</v>
      </c>
      <c r="T8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89" s="208">
        <f ca="1">IF(Tabla33610673486[[#This Row],[Equity]]&lt;Tabla33610673486[[#This Row],[Equity Peak]],(Tabla33610673486[[#This Row],[Equity Peak]]-Tabla33610673486[[#This Row],[Equity]])/Tabla33610673486[[#This Row],[Equity Peak]],"")</f>
        <v>1.2634238787113077E-2</v>
      </c>
      <c r="V89" s="209">
        <f t="shared" si="45"/>
        <v>-1</v>
      </c>
      <c r="W89" s="209">
        <f t="shared" si="46"/>
        <v>0</v>
      </c>
      <c r="X89" s="209">
        <f t="shared" si="47"/>
        <v>0</v>
      </c>
      <c r="Y89" s="209">
        <f t="shared" si="48"/>
        <v>0</v>
      </c>
      <c r="Z89" s="209">
        <f t="shared" si="49"/>
        <v>0</v>
      </c>
      <c r="AA89" s="205">
        <f t="shared" si="50"/>
        <v>0</v>
      </c>
      <c r="AB89" s="209">
        <f t="shared" si="51"/>
        <v>0</v>
      </c>
      <c r="AC89" s="205">
        <f t="shared" si="52"/>
        <v>0</v>
      </c>
      <c r="AD89" s="210">
        <f t="shared" si="53"/>
        <v>0.21736111111385981</v>
      </c>
      <c r="AE89" s="210">
        <f t="shared" si="54"/>
        <v>0</v>
      </c>
      <c r="AF89" s="210">
        <f t="shared" si="55"/>
        <v>0.21736111111385981</v>
      </c>
      <c r="AG89" s="210">
        <f t="shared" si="56"/>
        <v>0</v>
      </c>
    </row>
    <row r="90" spans="2:33" ht="15" customHeight="1" x14ac:dyDescent="0.3">
      <c r="B90" s="196" t="s">
        <v>7</v>
      </c>
      <c r="C90" s="197" t="s">
        <v>13</v>
      </c>
      <c r="D90" s="198" t="str">
        <f t="shared" si="38"/>
        <v>C</v>
      </c>
      <c r="E90" s="199">
        <v>44735.4375</v>
      </c>
      <c r="F90" s="200" t="s">
        <v>115</v>
      </c>
      <c r="G90" s="201">
        <v>165.52</v>
      </c>
      <c r="H90" s="201">
        <v>166.227</v>
      </c>
      <c r="I90" s="202">
        <f t="shared" si="39"/>
        <v>0.70699999999999363</v>
      </c>
      <c r="J90" s="201">
        <v>163.5</v>
      </c>
      <c r="K90" s="199">
        <v>44735.615277777775</v>
      </c>
      <c r="L90" s="201">
        <v>165.64400000000001</v>
      </c>
      <c r="M90" s="203">
        <f t="shared" si="40"/>
        <v>-0.124</v>
      </c>
      <c r="N90" s="204">
        <f t="shared" si="41"/>
        <v>-0.18</v>
      </c>
      <c r="O90" s="205">
        <f t="shared" si="42"/>
        <v>0</v>
      </c>
      <c r="P90" s="206">
        <f t="shared" si="43"/>
        <v>0</v>
      </c>
      <c r="Q90" s="206">
        <f t="shared" si="44"/>
        <v>-0.18</v>
      </c>
      <c r="R9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12604</v>
      </c>
      <c r="T9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0" s="208">
        <f ca="1">IF(Tabla33610673486[[#This Row],[Equity]]&lt;Tabla33610673486[[#This Row],[Equity Peak]],(Tabla33610673486[[#This Row],[Equity Peak]]-Tabla33610673486[[#This Row],[Equity]])/Tabla33610673486[[#This Row],[Equity Peak]],"")</f>
        <v>4.737839545167404E-3</v>
      </c>
      <c r="V90" s="209">
        <f t="shared" si="45"/>
        <v>-0.18</v>
      </c>
      <c r="W90" s="209">
        <f t="shared" si="46"/>
        <v>0</v>
      </c>
      <c r="X90" s="209">
        <f t="shared" si="47"/>
        <v>0</v>
      </c>
      <c r="Y90" s="209">
        <f t="shared" si="48"/>
        <v>0</v>
      </c>
      <c r="Z90" s="209">
        <f t="shared" si="49"/>
        <v>0</v>
      </c>
      <c r="AA90" s="205">
        <f t="shared" si="50"/>
        <v>0</v>
      </c>
      <c r="AB90" s="209">
        <f t="shared" si="51"/>
        <v>0</v>
      </c>
      <c r="AC90" s="205">
        <f t="shared" si="52"/>
        <v>0</v>
      </c>
      <c r="AD90" s="210">
        <f t="shared" si="53"/>
        <v>0.17777777777519077</v>
      </c>
      <c r="AE90" s="210">
        <f t="shared" si="54"/>
        <v>0</v>
      </c>
      <c r="AF90" s="210">
        <f t="shared" si="55"/>
        <v>0.17777777777519077</v>
      </c>
      <c r="AG90" s="210">
        <f t="shared" si="56"/>
        <v>0</v>
      </c>
    </row>
    <row r="91" spans="2:33" ht="15" customHeight="1" x14ac:dyDescent="0.3">
      <c r="B91" s="196" t="s">
        <v>7</v>
      </c>
      <c r="C91" s="197" t="s">
        <v>15</v>
      </c>
      <c r="D91" s="198" t="str">
        <f t="shared" si="38"/>
        <v>C</v>
      </c>
      <c r="E91" s="199">
        <v>44733.145833333336</v>
      </c>
      <c r="F91" s="200" t="s">
        <v>115</v>
      </c>
      <c r="G91" s="201">
        <v>165.71899999999999</v>
      </c>
      <c r="H91" s="201">
        <v>165.00800000000001</v>
      </c>
      <c r="I91" s="202">
        <f t="shared" si="39"/>
        <v>0.71099999999998431</v>
      </c>
      <c r="J91" s="201">
        <v>167.751</v>
      </c>
      <c r="K91" s="199">
        <v>44733.991666666669</v>
      </c>
      <c r="L91" s="201">
        <v>167.751</v>
      </c>
      <c r="M91" s="203">
        <f t="shared" si="40"/>
        <v>2.032</v>
      </c>
      <c r="N91" s="204">
        <f t="shared" si="41"/>
        <v>2.86</v>
      </c>
      <c r="O91" s="205">
        <f t="shared" si="42"/>
        <v>0</v>
      </c>
      <c r="P91" s="206">
        <f t="shared" si="43"/>
        <v>2.86</v>
      </c>
      <c r="Q91" s="206">
        <f t="shared" si="44"/>
        <v>0</v>
      </c>
      <c r="R9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12622</v>
      </c>
      <c r="T9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1" s="208">
        <f ca="1">IF(Tabla33610673486[[#This Row],[Equity]]&lt;Tabla33610673486[[#This Row],[Equity Peak]],(Tabla33610673486[[#This Row],[Equity Peak]]-Tabla33610673486[[#This Row],[Equity]])/Tabla33610673486[[#This Row],[Equity Peak]],"")</f>
        <v>3.3164876816171827E-3</v>
      </c>
      <c r="V91" s="209">
        <f t="shared" si="45"/>
        <v>2.86</v>
      </c>
      <c r="W91" s="209">
        <f t="shared" si="46"/>
        <v>0</v>
      </c>
      <c r="X91" s="209">
        <f t="shared" si="47"/>
        <v>0</v>
      </c>
      <c r="Y91" s="209">
        <f t="shared" si="48"/>
        <v>0</v>
      </c>
      <c r="Z91" s="209">
        <f t="shared" si="49"/>
        <v>0</v>
      </c>
      <c r="AA91" s="205">
        <f t="shared" si="50"/>
        <v>0</v>
      </c>
      <c r="AB91" s="209">
        <f t="shared" si="51"/>
        <v>0</v>
      </c>
      <c r="AC91" s="205">
        <f t="shared" si="52"/>
        <v>0</v>
      </c>
      <c r="AD91" s="210">
        <f t="shared" si="53"/>
        <v>0.84583333333284827</v>
      </c>
      <c r="AE91" s="210">
        <f t="shared" si="54"/>
        <v>0.84583333333284827</v>
      </c>
      <c r="AF91" s="210">
        <f t="shared" si="55"/>
        <v>0</v>
      </c>
      <c r="AG91" s="210">
        <f t="shared" si="56"/>
        <v>0</v>
      </c>
    </row>
    <row r="92" spans="2:33" ht="15" customHeight="1" x14ac:dyDescent="0.3">
      <c r="B92" s="196" t="s">
        <v>7</v>
      </c>
      <c r="C92" s="197" t="s">
        <v>15</v>
      </c>
      <c r="D92" s="198" t="str">
        <f t="shared" si="38"/>
        <v>C</v>
      </c>
      <c r="E92" s="199">
        <v>44729.489583333336</v>
      </c>
      <c r="F92" s="200" t="s">
        <v>115</v>
      </c>
      <c r="G92" s="201">
        <v>165.786</v>
      </c>
      <c r="H92" s="201">
        <v>164.58099999999999</v>
      </c>
      <c r="I92" s="202">
        <f t="shared" si="39"/>
        <v>1.2050000000000125</v>
      </c>
      <c r="J92" s="201">
        <v>169.22800000000001</v>
      </c>
      <c r="K92" s="199">
        <v>44729.675000000003</v>
      </c>
      <c r="L92" s="201">
        <v>164.7</v>
      </c>
      <c r="M92" s="203">
        <f t="shared" si="40"/>
        <v>-1.0860000000000001</v>
      </c>
      <c r="N92" s="204">
        <f t="shared" si="41"/>
        <v>-0.9</v>
      </c>
      <c r="O92" s="205">
        <f t="shared" si="42"/>
        <v>0</v>
      </c>
      <c r="P92" s="206">
        <f t="shared" si="43"/>
        <v>0</v>
      </c>
      <c r="Q92" s="206">
        <f t="shared" si="44"/>
        <v>-0.9</v>
      </c>
      <c r="R9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12336</v>
      </c>
      <c r="T9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2" s="208">
        <f ca="1">IF(Tabla33610673486[[#This Row],[Equity]]&lt;Tabla33610673486[[#This Row],[Equity Peak]],(Tabla33610673486[[#This Row],[Equity Peak]]-Tabla33610673486[[#This Row],[Equity]])/Tabla33610673486[[#This Row],[Equity Peak]],"")</f>
        <v>2.5900189513581806E-2</v>
      </c>
      <c r="V92" s="209">
        <f t="shared" si="45"/>
        <v>-0.9</v>
      </c>
      <c r="W92" s="209">
        <f t="shared" si="46"/>
        <v>0</v>
      </c>
      <c r="X92" s="209">
        <f t="shared" si="47"/>
        <v>0</v>
      </c>
      <c r="Y92" s="209">
        <f t="shared" si="48"/>
        <v>0</v>
      </c>
      <c r="Z92" s="209">
        <f t="shared" si="49"/>
        <v>0</v>
      </c>
      <c r="AA92" s="205">
        <f t="shared" si="50"/>
        <v>0</v>
      </c>
      <c r="AB92" s="209">
        <f t="shared" si="51"/>
        <v>0</v>
      </c>
      <c r="AC92" s="205">
        <f t="shared" si="52"/>
        <v>0</v>
      </c>
      <c r="AD92" s="210">
        <f t="shared" si="53"/>
        <v>0.18541666666715173</v>
      </c>
      <c r="AE92" s="210">
        <f t="shared" si="54"/>
        <v>0</v>
      </c>
      <c r="AF92" s="210">
        <f t="shared" si="55"/>
        <v>0.18541666666715173</v>
      </c>
      <c r="AG92" s="210">
        <f t="shared" si="56"/>
        <v>0</v>
      </c>
    </row>
    <row r="93" spans="2:33" ht="15" customHeight="1" x14ac:dyDescent="0.3">
      <c r="B93" s="196" t="s">
        <v>7</v>
      </c>
      <c r="C93" s="197" t="s">
        <v>15</v>
      </c>
      <c r="D93" s="198" t="str">
        <f t="shared" si="38"/>
        <v>C</v>
      </c>
      <c r="E93" s="199">
        <v>44729.166666666664</v>
      </c>
      <c r="F93" s="200" t="s">
        <v>115</v>
      </c>
      <c r="G93" s="201">
        <v>164.19900000000001</v>
      </c>
      <c r="H93" s="201">
        <v>163.16200000000001</v>
      </c>
      <c r="I93" s="202">
        <f t="shared" si="39"/>
        <v>1.0370000000000061</v>
      </c>
      <c r="J93" s="201">
        <v>167.16300000000001</v>
      </c>
      <c r="K93" s="199">
        <v>44729.248611111114</v>
      </c>
      <c r="L93" s="201">
        <v>163.779</v>
      </c>
      <c r="M93" s="203">
        <f t="shared" si="40"/>
        <v>-0.42</v>
      </c>
      <c r="N93" s="204">
        <f t="shared" si="41"/>
        <v>-0.41</v>
      </c>
      <c r="O93" s="205">
        <f t="shared" si="42"/>
        <v>0</v>
      </c>
      <c r="P93" s="206">
        <f t="shared" si="43"/>
        <v>0</v>
      </c>
      <c r="Q93" s="206">
        <f t="shared" si="44"/>
        <v>-0.41</v>
      </c>
      <c r="R9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12426</v>
      </c>
      <c r="T9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3" s="208">
        <f ca="1">IF(Tabla33610673486[[#This Row],[Equity]]&lt;Tabla33610673486[[#This Row],[Equity Peak]],(Tabla33610673486[[#This Row],[Equity Peak]]-Tabla33610673486[[#This Row],[Equity]])/Tabla33610673486[[#This Row],[Equity Peak]],"")</f>
        <v>1.8793430195830702E-2</v>
      </c>
      <c r="V93" s="209">
        <f t="shared" si="45"/>
        <v>-0.41</v>
      </c>
      <c r="W93" s="209">
        <f t="shared" si="46"/>
        <v>0</v>
      </c>
      <c r="X93" s="209">
        <f t="shared" si="47"/>
        <v>0</v>
      </c>
      <c r="Y93" s="209">
        <f t="shared" si="48"/>
        <v>0</v>
      </c>
      <c r="Z93" s="209">
        <f t="shared" si="49"/>
        <v>0</v>
      </c>
      <c r="AA93" s="205">
        <f t="shared" si="50"/>
        <v>0</v>
      </c>
      <c r="AB93" s="209">
        <f t="shared" si="51"/>
        <v>0</v>
      </c>
      <c r="AC93" s="205">
        <f t="shared" si="52"/>
        <v>0</v>
      </c>
      <c r="AD93" s="210">
        <f t="shared" si="53"/>
        <v>8.1944444449618459E-2</v>
      </c>
      <c r="AE93" s="210">
        <f t="shared" si="54"/>
        <v>0</v>
      </c>
      <c r="AF93" s="210">
        <f t="shared" si="55"/>
        <v>8.1944444449618459E-2</v>
      </c>
      <c r="AG93" s="210">
        <f t="shared" si="56"/>
        <v>0</v>
      </c>
    </row>
    <row r="94" spans="2:33" ht="15" customHeight="1" x14ac:dyDescent="0.3">
      <c r="B94" s="196" t="s">
        <v>7</v>
      </c>
      <c r="C94" s="197" t="s">
        <v>13</v>
      </c>
      <c r="D94" s="198" t="str">
        <f t="shared" si="38"/>
        <v>C</v>
      </c>
      <c r="E94" s="199">
        <v>44728.59375</v>
      </c>
      <c r="F94" s="200" t="s">
        <v>115</v>
      </c>
      <c r="G94" s="201">
        <v>160.249</v>
      </c>
      <c r="H94" s="201">
        <v>161.131</v>
      </c>
      <c r="I94" s="202">
        <f t="shared" si="39"/>
        <v>0.882000000000005</v>
      </c>
      <c r="J94" s="201">
        <v>157.72900000000001</v>
      </c>
      <c r="K94" s="199">
        <v>44728.602777777778</v>
      </c>
      <c r="L94" s="201">
        <v>161.131</v>
      </c>
      <c r="M94" s="203">
        <f t="shared" si="40"/>
        <v>-0.88200000000000001</v>
      </c>
      <c r="N94" s="204">
        <f t="shared" si="41"/>
        <v>-1</v>
      </c>
      <c r="O94" s="205">
        <f t="shared" si="42"/>
        <v>0</v>
      </c>
      <c r="P94" s="206">
        <f t="shared" si="43"/>
        <v>0</v>
      </c>
      <c r="Q94" s="206">
        <f t="shared" si="44"/>
        <v>-1</v>
      </c>
      <c r="R9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12467</v>
      </c>
      <c r="T9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4" s="208">
        <f ca="1">IF(Tabla33610673486[[#This Row],[Equity]]&lt;Tabla33610673486[[#This Row],[Equity Peak]],(Tabla33610673486[[#This Row],[Equity Peak]]-Tabla33610673486[[#This Row],[Equity]])/Tabla33610673486[[#This Row],[Equity Peak]],"")</f>
        <v>1.5555906506632975E-2</v>
      </c>
      <c r="V94" s="209">
        <f t="shared" si="45"/>
        <v>-1</v>
      </c>
      <c r="W94" s="209">
        <f t="shared" si="46"/>
        <v>0</v>
      </c>
      <c r="X94" s="209">
        <f t="shared" si="47"/>
        <v>0</v>
      </c>
      <c r="Y94" s="209">
        <f t="shared" si="48"/>
        <v>0</v>
      </c>
      <c r="Z94" s="209">
        <f t="shared" si="49"/>
        <v>0</v>
      </c>
      <c r="AA94" s="205">
        <f t="shared" si="50"/>
        <v>0</v>
      </c>
      <c r="AB94" s="209">
        <f t="shared" si="51"/>
        <v>0</v>
      </c>
      <c r="AC94" s="205">
        <f t="shared" si="52"/>
        <v>0</v>
      </c>
      <c r="AD94" s="210">
        <f t="shared" si="53"/>
        <v>9.0277777781011537E-3</v>
      </c>
      <c r="AE94" s="210">
        <f t="shared" si="54"/>
        <v>0</v>
      </c>
      <c r="AF94" s="210">
        <f t="shared" si="55"/>
        <v>9.0277777781011537E-3</v>
      </c>
      <c r="AG94" s="210">
        <f t="shared" si="56"/>
        <v>0</v>
      </c>
    </row>
    <row r="95" spans="2:33" ht="15" customHeight="1" x14ac:dyDescent="0.3">
      <c r="B95" s="196" t="s">
        <v>7</v>
      </c>
      <c r="C95" s="197" t="s">
        <v>13</v>
      </c>
      <c r="D95" s="198" t="str">
        <f t="shared" si="38"/>
        <v>C</v>
      </c>
      <c r="E95" s="199">
        <v>44728.479166666664</v>
      </c>
      <c r="F95" s="200" t="s">
        <v>115</v>
      </c>
      <c r="G95" s="201">
        <v>161.51900000000001</v>
      </c>
      <c r="H95" s="201">
        <v>162.28200000000001</v>
      </c>
      <c r="I95" s="202">
        <f t="shared" si="39"/>
        <v>0.76300000000000523</v>
      </c>
      <c r="J95" s="201">
        <v>159.339</v>
      </c>
      <c r="K95" s="199">
        <v>44728.54583333333</v>
      </c>
      <c r="L95" s="201">
        <v>161.61199999999999</v>
      </c>
      <c r="M95" s="203">
        <f t="shared" si="40"/>
        <v>-9.2999999999999999E-2</v>
      </c>
      <c r="N95" s="204">
        <f t="shared" si="41"/>
        <v>-0.12</v>
      </c>
      <c r="O95" s="205">
        <f t="shared" si="42"/>
        <v>0</v>
      </c>
      <c r="P95" s="206">
        <f t="shared" si="43"/>
        <v>0</v>
      </c>
      <c r="Q95" s="206">
        <f t="shared" si="44"/>
        <v>-0.12</v>
      </c>
      <c r="R9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12567</v>
      </c>
      <c r="T9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5" s="208">
        <f ca="1">IF(Tabla33610673486[[#This Row],[Equity]]&lt;Tabla33610673486[[#This Row],[Equity Peak]],(Tabla33610673486[[#This Row],[Equity Peak]]-Tabla33610673486[[#This Row],[Equity]])/Tabla33610673486[[#This Row],[Equity Peak]],"")</f>
        <v>7.6595072646873028E-3</v>
      </c>
      <c r="V95" s="209">
        <f t="shared" si="45"/>
        <v>-0.12</v>
      </c>
      <c r="W95" s="209">
        <f t="shared" si="46"/>
        <v>0</v>
      </c>
      <c r="X95" s="209">
        <f t="shared" si="47"/>
        <v>0</v>
      </c>
      <c r="Y95" s="209">
        <f t="shared" si="48"/>
        <v>0</v>
      </c>
      <c r="Z95" s="209">
        <f t="shared" si="49"/>
        <v>0</v>
      </c>
      <c r="AA95" s="205">
        <f t="shared" si="50"/>
        <v>0</v>
      </c>
      <c r="AB95" s="209">
        <f t="shared" si="51"/>
        <v>0</v>
      </c>
      <c r="AC95" s="205">
        <f t="shared" si="52"/>
        <v>0</v>
      </c>
      <c r="AD95" s="210">
        <f t="shared" si="53"/>
        <v>6.6666666665696539E-2</v>
      </c>
      <c r="AE95" s="210">
        <f t="shared" si="54"/>
        <v>0</v>
      </c>
      <c r="AF95" s="210">
        <f t="shared" si="55"/>
        <v>6.6666666665696539E-2</v>
      </c>
      <c r="AG95" s="210">
        <f t="shared" si="56"/>
        <v>0</v>
      </c>
    </row>
    <row r="96" spans="2:33" ht="15" customHeight="1" x14ac:dyDescent="0.3">
      <c r="B96" s="196" t="s">
        <v>7</v>
      </c>
      <c r="C96" s="197" t="s">
        <v>15</v>
      </c>
      <c r="D96" s="198" t="str">
        <f t="shared" si="38"/>
        <v>C</v>
      </c>
      <c r="E96" s="199">
        <v>44728.052083333336</v>
      </c>
      <c r="F96" s="200" t="s">
        <v>115</v>
      </c>
      <c r="G96" s="201">
        <v>163.20699999999999</v>
      </c>
      <c r="H96" s="201">
        <v>162.36799999999999</v>
      </c>
      <c r="I96" s="202">
        <f t="shared" si="39"/>
        <v>0.83899999999999864</v>
      </c>
      <c r="J96" s="201">
        <v>165.60400000000001</v>
      </c>
      <c r="K96" s="199">
        <v>44728.418749999997</v>
      </c>
      <c r="L96" s="201">
        <v>162.81</v>
      </c>
      <c r="M96" s="203">
        <f t="shared" si="40"/>
        <v>-0.39700000000000002</v>
      </c>
      <c r="N96" s="204">
        <f t="shared" si="41"/>
        <v>-0.47</v>
      </c>
      <c r="O96" s="205">
        <f t="shared" si="42"/>
        <v>0</v>
      </c>
      <c r="P96" s="206">
        <f t="shared" si="43"/>
        <v>0</v>
      </c>
      <c r="Q96" s="206">
        <f t="shared" si="44"/>
        <v>-0.47</v>
      </c>
      <c r="R9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12579</v>
      </c>
      <c r="T9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6" s="208">
        <f ca="1">IF(Tabla33610673486[[#This Row],[Equity]]&lt;Tabla33610673486[[#This Row],[Equity Peak]],(Tabla33610673486[[#This Row],[Equity Peak]]-Tabla33610673486[[#This Row],[Equity]])/Tabla33610673486[[#This Row],[Equity Peak]],"")</f>
        <v>6.7119393556538216E-3</v>
      </c>
      <c r="V96" s="209">
        <f t="shared" si="45"/>
        <v>-0.47</v>
      </c>
      <c r="W96" s="209">
        <f t="shared" si="46"/>
        <v>0</v>
      </c>
      <c r="X96" s="209">
        <f t="shared" si="47"/>
        <v>0</v>
      </c>
      <c r="Y96" s="209">
        <f t="shared" si="48"/>
        <v>0</v>
      </c>
      <c r="Z96" s="209">
        <f t="shared" si="49"/>
        <v>0</v>
      </c>
      <c r="AA96" s="205">
        <f t="shared" si="50"/>
        <v>0</v>
      </c>
      <c r="AB96" s="209">
        <f t="shared" si="51"/>
        <v>0</v>
      </c>
      <c r="AC96" s="205">
        <f t="shared" si="52"/>
        <v>0</v>
      </c>
      <c r="AD96" s="210">
        <f t="shared" si="53"/>
        <v>0.36666666666133096</v>
      </c>
      <c r="AE96" s="210">
        <f t="shared" si="54"/>
        <v>0</v>
      </c>
      <c r="AF96" s="210">
        <f t="shared" si="55"/>
        <v>0.36666666666133096</v>
      </c>
      <c r="AG96" s="210">
        <f t="shared" si="56"/>
        <v>0</v>
      </c>
    </row>
    <row r="97" spans="2:33" ht="15" customHeight="1" x14ac:dyDescent="0.3">
      <c r="B97" s="196" t="s">
        <v>7</v>
      </c>
      <c r="C97" s="197" t="s">
        <v>13</v>
      </c>
      <c r="D97" s="198" t="str">
        <f t="shared" si="38"/>
        <v>C</v>
      </c>
      <c r="E97" s="199">
        <v>44726.583333333336</v>
      </c>
      <c r="F97" s="200" t="s">
        <v>115</v>
      </c>
      <c r="G97" s="201">
        <v>162.23400000000001</v>
      </c>
      <c r="H97" s="201">
        <v>163.04400000000001</v>
      </c>
      <c r="I97" s="202">
        <f t="shared" si="39"/>
        <v>0.81000000000000227</v>
      </c>
      <c r="J97" s="201">
        <v>159.91999999999999</v>
      </c>
      <c r="K97" s="199">
        <v>44727.034722222219</v>
      </c>
      <c r="L97" s="201">
        <v>162.542</v>
      </c>
      <c r="M97" s="203">
        <f t="shared" si="40"/>
        <v>-0.308</v>
      </c>
      <c r="N97" s="204">
        <f t="shared" si="41"/>
        <v>-0.38</v>
      </c>
      <c r="O97" s="205">
        <f t="shared" si="42"/>
        <v>0</v>
      </c>
      <c r="P97" s="206">
        <f t="shared" si="43"/>
        <v>0</v>
      </c>
      <c r="Q97" s="206">
        <f t="shared" si="44"/>
        <v>-0.38</v>
      </c>
      <c r="R9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12626</v>
      </c>
      <c r="T9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7" s="208">
        <f ca="1">IF(Tabla33610673486[[#This Row],[Equity]]&lt;Tabla33610673486[[#This Row],[Equity Peak]],(Tabla33610673486[[#This Row],[Equity Peak]]-Tabla33610673486[[#This Row],[Equity]])/Tabla33610673486[[#This Row],[Equity Peak]],"")</f>
        <v>3.0006317119393557E-3</v>
      </c>
      <c r="V97" s="209">
        <f t="shared" si="45"/>
        <v>-0.38</v>
      </c>
      <c r="W97" s="209">
        <f t="shared" si="46"/>
        <v>0</v>
      </c>
      <c r="X97" s="209">
        <f t="shared" si="47"/>
        <v>0</v>
      </c>
      <c r="Y97" s="209">
        <f t="shared" si="48"/>
        <v>0</v>
      </c>
      <c r="Z97" s="209">
        <f t="shared" si="49"/>
        <v>0</v>
      </c>
      <c r="AA97" s="205">
        <f t="shared" si="50"/>
        <v>0</v>
      </c>
      <c r="AB97" s="209">
        <f t="shared" si="51"/>
        <v>0</v>
      </c>
      <c r="AC97" s="205">
        <f t="shared" si="52"/>
        <v>0</v>
      </c>
      <c r="AD97" s="210">
        <f t="shared" si="53"/>
        <v>0.45138888888322981</v>
      </c>
      <c r="AE97" s="210">
        <f t="shared" si="54"/>
        <v>0</v>
      </c>
      <c r="AF97" s="210">
        <f t="shared" si="55"/>
        <v>0.45138888888322981</v>
      </c>
      <c r="AG97" s="210">
        <f t="shared" si="56"/>
        <v>0</v>
      </c>
    </row>
    <row r="98" spans="2:33" ht="15" customHeight="1" x14ac:dyDescent="0.3">
      <c r="B98" s="196" t="s">
        <v>7</v>
      </c>
      <c r="C98" s="197" t="s">
        <v>13</v>
      </c>
      <c r="D98" s="198" t="str">
        <f t="shared" si="38"/>
        <v>C</v>
      </c>
      <c r="E98" s="199">
        <v>44722.4375</v>
      </c>
      <c r="F98" s="200" t="s">
        <v>115</v>
      </c>
      <c r="G98" s="201">
        <v>166.65199999999999</v>
      </c>
      <c r="H98" s="201">
        <v>167.28800000000001</v>
      </c>
      <c r="I98" s="202">
        <f t="shared" si="39"/>
        <v>0.6360000000000241</v>
      </c>
      <c r="J98" s="201">
        <v>164.833</v>
      </c>
      <c r="K98" s="199">
        <v>44725.453472222223</v>
      </c>
      <c r="L98" s="201">
        <v>164.833</v>
      </c>
      <c r="M98" s="203">
        <f t="shared" si="40"/>
        <v>1.819</v>
      </c>
      <c r="N98" s="204">
        <f t="shared" si="41"/>
        <v>2.86</v>
      </c>
      <c r="O98" s="205">
        <f t="shared" si="42"/>
        <v>0</v>
      </c>
      <c r="P98" s="206">
        <f t="shared" si="43"/>
        <v>2.86</v>
      </c>
      <c r="Q98" s="206">
        <f t="shared" si="44"/>
        <v>0</v>
      </c>
      <c r="R9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12664</v>
      </c>
      <c r="T9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12664</v>
      </c>
      <c r="U98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8" s="209">
        <f t="shared" si="45"/>
        <v>2.86</v>
      </c>
      <c r="W98" s="209">
        <f t="shared" si="46"/>
        <v>0</v>
      </c>
      <c r="X98" s="209">
        <f t="shared" si="47"/>
        <v>0</v>
      </c>
      <c r="Y98" s="209">
        <f t="shared" si="48"/>
        <v>0</v>
      </c>
      <c r="Z98" s="209">
        <f t="shared" si="49"/>
        <v>0</v>
      </c>
      <c r="AA98" s="205">
        <f t="shared" si="50"/>
        <v>0</v>
      </c>
      <c r="AB98" s="209">
        <f t="shared" si="51"/>
        <v>0</v>
      </c>
      <c r="AC98" s="205">
        <f t="shared" si="52"/>
        <v>0</v>
      </c>
      <c r="AD98" s="210">
        <f t="shared" si="53"/>
        <v>3.015972222223354</v>
      </c>
      <c r="AE98" s="210">
        <f t="shared" si="54"/>
        <v>3.015972222223354</v>
      </c>
      <c r="AF98" s="210">
        <f t="shared" si="55"/>
        <v>0</v>
      </c>
      <c r="AG98" s="210">
        <f t="shared" si="56"/>
        <v>0</v>
      </c>
    </row>
    <row r="99" spans="2:33" ht="15" customHeight="1" x14ac:dyDescent="0.3">
      <c r="B99" s="196" t="s">
        <v>7</v>
      </c>
      <c r="C99" s="197" t="s">
        <v>13</v>
      </c>
      <c r="D99" s="198" t="str">
        <f t="shared" si="38"/>
        <v>C</v>
      </c>
      <c r="E99" s="199">
        <v>44721.447916666664</v>
      </c>
      <c r="F99" s="200" t="s">
        <v>115</v>
      </c>
      <c r="G99" s="201">
        <v>166.92699999999999</v>
      </c>
      <c r="H99" s="201">
        <v>167.47900000000001</v>
      </c>
      <c r="I99" s="202">
        <f t="shared" si="39"/>
        <v>0.55200000000002092</v>
      </c>
      <c r="J99" s="201">
        <v>165.35</v>
      </c>
      <c r="K99" s="199">
        <v>44721.486111111109</v>
      </c>
      <c r="L99" s="201">
        <v>167.40899999999999</v>
      </c>
      <c r="M99" s="203">
        <f t="shared" si="40"/>
        <v>-0.48199999999999998</v>
      </c>
      <c r="N99" s="204">
        <f t="shared" si="41"/>
        <v>-0.87</v>
      </c>
      <c r="O99" s="205">
        <f t="shared" si="42"/>
        <v>0</v>
      </c>
      <c r="P99" s="206">
        <f t="shared" si="43"/>
        <v>0</v>
      </c>
      <c r="Q99" s="206">
        <f t="shared" si="44"/>
        <v>-0.87</v>
      </c>
      <c r="R9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12378</v>
      </c>
      <c r="T9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12465</v>
      </c>
      <c r="U99" s="208">
        <f ca="1">IF(Tabla33610673486[[#This Row],[Equity]]&lt;Tabla33610673486[[#This Row],[Equity Peak]],(Tabla33610673486[[#This Row],[Equity Peak]]-Tabla33610673486[[#This Row],[Equity]])/Tabla33610673486[[#This Row],[Equity Peak]],"")</f>
        <v>6.9795427196149215E-3</v>
      </c>
      <c r="V99" s="209">
        <f t="shared" si="45"/>
        <v>-0.87</v>
      </c>
      <c r="W99" s="209">
        <f t="shared" si="46"/>
        <v>0</v>
      </c>
      <c r="X99" s="209">
        <f t="shared" si="47"/>
        <v>0</v>
      </c>
      <c r="Y99" s="209">
        <f t="shared" si="48"/>
        <v>0</v>
      </c>
      <c r="Z99" s="209">
        <f t="shared" si="49"/>
        <v>0</v>
      </c>
      <c r="AA99" s="205">
        <f t="shared" si="50"/>
        <v>0</v>
      </c>
      <c r="AB99" s="209">
        <f t="shared" si="51"/>
        <v>0</v>
      </c>
      <c r="AC99" s="205">
        <f t="shared" si="52"/>
        <v>0</v>
      </c>
      <c r="AD99" s="210">
        <f t="shared" si="53"/>
        <v>3.8194444445252884E-2</v>
      </c>
      <c r="AE99" s="210">
        <f t="shared" si="54"/>
        <v>0</v>
      </c>
      <c r="AF99" s="210">
        <f t="shared" si="55"/>
        <v>3.8194444445252884E-2</v>
      </c>
      <c r="AG99" s="210">
        <f t="shared" si="56"/>
        <v>0</v>
      </c>
    </row>
    <row r="100" spans="2:33" ht="15" customHeight="1" x14ac:dyDescent="0.3">
      <c r="B100" s="196" t="s">
        <v>7</v>
      </c>
      <c r="C100" s="197" t="s">
        <v>15</v>
      </c>
      <c r="D100" s="198" t="str">
        <f t="shared" si="38"/>
        <v>C</v>
      </c>
      <c r="E100" s="199">
        <v>44718.71875</v>
      </c>
      <c r="F100" s="200" t="s">
        <v>115</v>
      </c>
      <c r="G100" s="201">
        <v>164.51</v>
      </c>
      <c r="H100" s="201">
        <v>164.05</v>
      </c>
      <c r="I100" s="202">
        <f t="shared" si="39"/>
        <v>0.45999999999997954</v>
      </c>
      <c r="J100" s="201">
        <v>165.82300000000001</v>
      </c>
      <c r="K100" s="199">
        <v>44719.177777777775</v>
      </c>
      <c r="L100" s="201">
        <v>165.82300000000001</v>
      </c>
      <c r="M100" s="203">
        <f t="shared" si="40"/>
        <v>1.3129999999999999</v>
      </c>
      <c r="N100" s="204">
        <f t="shared" si="41"/>
        <v>2.85</v>
      </c>
      <c r="O100" s="205">
        <f t="shared" si="42"/>
        <v>0</v>
      </c>
      <c r="P100" s="206">
        <f t="shared" si="43"/>
        <v>2.85</v>
      </c>
      <c r="Q100" s="206">
        <f t="shared" si="44"/>
        <v>0</v>
      </c>
      <c r="R10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12465</v>
      </c>
      <c r="T10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12465</v>
      </c>
      <c r="U10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00" s="209">
        <f t="shared" si="45"/>
        <v>2.85</v>
      </c>
      <c r="W100" s="209">
        <f t="shared" si="46"/>
        <v>0</v>
      </c>
      <c r="X100" s="209">
        <f t="shared" si="47"/>
        <v>0</v>
      </c>
      <c r="Y100" s="209">
        <f t="shared" si="48"/>
        <v>0</v>
      </c>
      <c r="Z100" s="209">
        <f t="shared" si="49"/>
        <v>0</v>
      </c>
      <c r="AA100" s="205">
        <f t="shared" si="50"/>
        <v>0</v>
      </c>
      <c r="AB100" s="209">
        <f t="shared" si="51"/>
        <v>0</v>
      </c>
      <c r="AC100" s="205">
        <f t="shared" si="52"/>
        <v>0</v>
      </c>
      <c r="AD100" s="210">
        <f t="shared" si="53"/>
        <v>0.45902777777519077</v>
      </c>
      <c r="AE100" s="210">
        <f t="shared" si="54"/>
        <v>0.45902777777519077</v>
      </c>
      <c r="AF100" s="210">
        <f t="shared" si="55"/>
        <v>0</v>
      </c>
      <c r="AG100" s="210">
        <f t="shared" si="56"/>
        <v>0</v>
      </c>
    </row>
    <row r="101" spans="2:33" ht="15" customHeight="1" x14ac:dyDescent="0.3">
      <c r="B101" s="196" t="s">
        <v>7</v>
      </c>
      <c r="C101" s="197" t="s">
        <v>15</v>
      </c>
      <c r="D101" s="198" t="str">
        <f t="shared" si="38"/>
        <v>C</v>
      </c>
      <c r="E101" s="199">
        <v>44718.46875</v>
      </c>
      <c r="F101" s="200" t="s">
        <v>115</v>
      </c>
      <c r="G101" s="201">
        <v>164.441</v>
      </c>
      <c r="H101" s="201">
        <v>164.01900000000001</v>
      </c>
      <c r="I101" s="202">
        <f t="shared" si="39"/>
        <v>0.42199999999999704</v>
      </c>
      <c r="J101" s="201">
        <v>165.64599999999999</v>
      </c>
      <c r="K101" s="199">
        <v>44718.566666666666</v>
      </c>
      <c r="L101" s="201">
        <v>164.01900000000001</v>
      </c>
      <c r="M101" s="203">
        <f t="shared" si="40"/>
        <v>-0.42199999999999999</v>
      </c>
      <c r="N101" s="204">
        <f t="shared" si="41"/>
        <v>-1</v>
      </c>
      <c r="O101" s="205">
        <f t="shared" si="42"/>
        <v>0</v>
      </c>
      <c r="P101" s="206">
        <f t="shared" si="43"/>
        <v>0</v>
      </c>
      <c r="Q101" s="206">
        <f t="shared" si="44"/>
        <v>-1</v>
      </c>
      <c r="R10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12180</v>
      </c>
      <c r="T10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1" s="208">
        <f ca="1">IF(Tabla33610673486[[#This Row],[Equity]]&lt;Tabla33610673486[[#This Row],[Equity Peak]],(Tabla33610673486[[#This Row],[Equity Peak]]-Tabla33610673486[[#This Row],[Equity]])/Tabla33610673486[[#This Row],[Equity Peak]],"")</f>
        <v>1.9797199420569771E-2</v>
      </c>
      <c r="V101" s="209">
        <f t="shared" si="45"/>
        <v>-1</v>
      </c>
      <c r="W101" s="209">
        <f t="shared" si="46"/>
        <v>0</v>
      </c>
      <c r="X101" s="209">
        <f t="shared" si="47"/>
        <v>0</v>
      </c>
      <c r="Y101" s="209">
        <f t="shared" si="48"/>
        <v>0</v>
      </c>
      <c r="Z101" s="209">
        <f t="shared" si="49"/>
        <v>0</v>
      </c>
      <c r="AA101" s="205">
        <f t="shared" si="50"/>
        <v>0</v>
      </c>
      <c r="AB101" s="209">
        <f t="shared" si="51"/>
        <v>0</v>
      </c>
      <c r="AC101" s="205">
        <f t="shared" si="52"/>
        <v>0</v>
      </c>
      <c r="AD101" s="210">
        <f t="shared" si="53"/>
        <v>9.7916666665696539E-2</v>
      </c>
      <c r="AE101" s="210">
        <f t="shared" si="54"/>
        <v>0</v>
      </c>
      <c r="AF101" s="210">
        <f t="shared" si="55"/>
        <v>9.7916666665696539E-2</v>
      </c>
      <c r="AG101" s="210">
        <f t="shared" si="56"/>
        <v>0</v>
      </c>
    </row>
    <row r="102" spans="2:33" ht="15" customHeight="1" x14ac:dyDescent="0.3">
      <c r="B102" s="196" t="s">
        <v>7</v>
      </c>
      <c r="C102" s="197" t="s">
        <v>13</v>
      </c>
      <c r="D102" s="198" t="str">
        <f t="shared" si="38"/>
        <v>C</v>
      </c>
      <c r="E102" s="199">
        <v>44718.197916666664</v>
      </c>
      <c r="F102" s="200" t="s">
        <v>115</v>
      </c>
      <c r="G102" s="201">
        <v>163.03200000000001</v>
      </c>
      <c r="H102" s="201">
        <v>163.459</v>
      </c>
      <c r="I102" s="202">
        <f t="shared" si="39"/>
        <v>0.4269999999999925</v>
      </c>
      <c r="J102" s="201">
        <v>161.81299999999999</v>
      </c>
      <c r="K102" s="199">
        <v>44718.34375</v>
      </c>
      <c r="L102" s="201">
        <v>163.459</v>
      </c>
      <c r="M102" s="203">
        <f t="shared" si="40"/>
        <v>-0.42699999999999999</v>
      </c>
      <c r="N102" s="204">
        <f t="shared" si="41"/>
        <v>-1</v>
      </c>
      <c r="O102" s="205">
        <f t="shared" si="42"/>
        <v>0</v>
      </c>
      <c r="P102" s="206">
        <f t="shared" si="43"/>
        <v>0</v>
      </c>
      <c r="Q102" s="206">
        <f t="shared" si="44"/>
        <v>-1</v>
      </c>
      <c r="R10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12280</v>
      </c>
      <c r="T10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2" s="208">
        <f ca="1">IF(Tabla33610673486[[#This Row],[Equity]]&lt;Tabla33610673486[[#This Row],[Equity Peak]],(Tabla33610673486[[#This Row],[Equity Peak]]-Tabla33610673486[[#This Row],[Equity]])/Tabla33610673486[[#This Row],[Equity Peak]],"")</f>
        <v>1.1749557379687751E-2</v>
      </c>
      <c r="V102" s="209">
        <f t="shared" si="45"/>
        <v>-1</v>
      </c>
      <c r="W102" s="209">
        <f t="shared" si="46"/>
        <v>0</v>
      </c>
      <c r="X102" s="209">
        <f t="shared" si="47"/>
        <v>0</v>
      </c>
      <c r="Y102" s="209">
        <f t="shared" si="48"/>
        <v>0</v>
      </c>
      <c r="Z102" s="209">
        <f t="shared" si="49"/>
        <v>0</v>
      </c>
      <c r="AA102" s="205">
        <f t="shared" si="50"/>
        <v>0</v>
      </c>
      <c r="AB102" s="209">
        <f t="shared" si="51"/>
        <v>0</v>
      </c>
      <c r="AC102" s="205">
        <f t="shared" si="52"/>
        <v>0</v>
      </c>
      <c r="AD102" s="210">
        <f t="shared" si="53"/>
        <v>0.14583333333575865</v>
      </c>
      <c r="AE102" s="210">
        <f t="shared" si="54"/>
        <v>0</v>
      </c>
      <c r="AF102" s="210">
        <f t="shared" si="55"/>
        <v>0.14583333333575865</v>
      </c>
      <c r="AG102" s="210">
        <f t="shared" si="56"/>
        <v>0</v>
      </c>
    </row>
    <row r="103" spans="2:33" ht="15" customHeight="1" x14ac:dyDescent="0.3">
      <c r="B103" s="196" t="s">
        <v>7</v>
      </c>
      <c r="C103" s="197" t="s">
        <v>15</v>
      </c>
      <c r="D103" s="198" t="str">
        <f t="shared" si="38"/>
        <v>C</v>
      </c>
      <c r="E103" s="199">
        <v>44714.822916666664</v>
      </c>
      <c r="F103" s="200" t="s">
        <v>115</v>
      </c>
      <c r="G103" s="201">
        <v>163.26900000000001</v>
      </c>
      <c r="H103" s="201">
        <v>162.74199999999999</v>
      </c>
      <c r="I103" s="202">
        <f t="shared" si="39"/>
        <v>0.52700000000001523</v>
      </c>
      <c r="J103" s="201">
        <v>164.773</v>
      </c>
      <c r="K103" s="199">
        <v>44715.995138888888</v>
      </c>
      <c r="L103" s="201">
        <v>163.327</v>
      </c>
      <c r="M103" s="203">
        <f t="shared" si="40"/>
        <v>5.8000000000000003E-2</v>
      </c>
      <c r="N103" s="204">
        <f t="shared" si="41"/>
        <v>0.11</v>
      </c>
      <c r="O103" s="205">
        <f t="shared" si="42"/>
        <v>0</v>
      </c>
      <c r="P103" s="206">
        <f t="shared" si="43"/>
        <v>0.11</v>
      </c>
      <c r="Q103" s="206">
        <f t="shared" si="44"/>
        <v>0</v>
      </c>
      <c r="R10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12380</v>
      </c>
      <c r="T10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3" s="208">
        <f ca="1">IF(Tabla33610673486[[#This Row],[Equity]]&lt;Tabla33610673486[[#This Row],[Equity Peak]],(Tabla33610673486[[#This Row],[Equity Peak]]-Tabla33610673486[[#This Row],[Equity]])/Tabla33610673486[[#This Row],[Equity Peak]],"")</f>
        <v>3.7019153388057301E-3</v>
      </c>
      <c r="V103" s="209">
        <f t="shared" si="45"/>
        <v>0.11</v>
      </c>
      <c r="W103" s="209">
        <f t="shared" si="46"/>
        <v>0</v>
      </c>
      <c r="X103" s="209">
        <f t="shared" si="47"/>
        <v>0</v>
      </c>
      <c r="Y103" s="209">
        <f t="shared" si="48"/>
        <v>0</v>
      </c>
      <c r="Z103" s="209">
        <f t="shared" si="49"/>
        <v>0</v>
      </c>
      <c r="AA103" s="205">
        <f t="shared" si="50"/>
        <v>0</v>
      </c>
      <c r="AB103" s="209">
        <f t="shared" si="51"/>
        <v>0</v>
      </c>
      <c r="AC103" s="205">
        <f t="shared" si="52"/>
        <v>0</v>
      </c>
      <c r="AD103" s="210">
        <f t="shared" si="53"/>
        <v>1.172222222223354</v>
      </c>
      <c r="AE103" s="210">
        <f t="shared" si="54"/>
        <v>1.172222222223354</v>
      </c>
      <c r="AF103" s="210">
        <f t="shared" si="55"/>
        <v>0</v>
      </c>
      <c r="AG103" s="210">
        <f t="shared" si="56"/>
        <v>0</v>
      </c>
    </row>
    <row r="104" spans="2:33" ht="15" customHeight="1" x14ac:dyDescent="0.3">
      <c r="B104" s="196" t="s">
        <v>7</v>
      </c>
      <c r="C104" s="197" t="s">
        <v>15</v>
      </c>
      <c r="D104" s="198" t="str">
        <f t="shared" si="38"/>
        <v>C</v>
      </c>
      <c r="E104" s="199">
        <v>44712.708333333336</v>
      </c>
      <c r="F104" s="200" t="s">
        <v>115</v>
      </c>
      <c r="G104" s="201">
        <v>162.06299999999999</v>
      </c>
      <c r="H104" s="201">
        <v>161.59700000000001</v>
      </c>
      <c r="I104" s="202">
        <f t="shared" si="39"/>
        <v>0.46599999999997976</v>
      </c>
      <c r="J104" s="201">
        <v>163.39400000000001</v>
      </c>
      <c r="K104" s="199">
        <v>44713.691666666666</v>
      </c>
      <c r="L104" s="201">
        <v>162.399</v>
      </c>
      <c r="M104" s="203">
        <f t="shared" si="40"/>
        <v>0.33600000000000002</v>
      </c>
      <c r="N104" s="204">
        <f t="shared" si="41"/>
        <v>0.72</v>
      </c>
      <c r="O104" s="205">
        <f t="shared" si="42"/>
        <v>0</v>
      </c>
      <c r="P104" s="206">
        <f t="shared" si="43"/>
        <v>0.72</v>
      </c>
      <c r="Q104" s="206">
        <f t="shared" si="44"/>
        <v>0</v>
      </c>
      <c r="R10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12369</v>
      </c>
      <c r="T10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4" s="208">
        <f ca="1">IF(Tabla33610673486[[#This Row],[Equity]]&lt;Tabla33610673486[[#This Row],[Equity Peak]],(Tabla33610673486[[#This Row],[Equity Peak]]-Tabla33610673486[[#This Row],[Equity]])/Tabla33610673486[[#This Row],[Equity Peak]],"")</f>
        <v>4.5871559633027525E-3</v>
      </c>
      <c r="V104" s="209">
        <f t="shared" si="45"/>
        <v>0.72</v>
      </c>
      <c r="W104" s="209">
        <f t="shared" si="46"/>
        <v>0</v>
      </c>
      <c r="X104" s="209">
        <f t="shared" si="47"/>
        <v>0</v>
      </c>
      <c r="Y104" s="209">
        <f t="shared" si="48"/>
        <v>0</v>
      </c>
      <c r="Z104" s="209">
        <f t="shared" si="49"/>
        <v>0</v>
      </c>
      <c r="AA104" s="205">
        <f t="shared" si="50"/>
        <v>0</v>
      </c>
      <c r="AB104" s="209">
        <f t="shared" si="51"/>
        <v>0</v>
      </c>
      <c r="AC104" s="205">
        <f t="shared" si="52"/>
        <v>0</v>
      </c>
      <c r="AD104" s="210">
        <f t="shared" si="53"/>
        <v>0.98333333332993789</v>
      </c>
      <c r="AE104" s="210">
        <f t="shared" si="54"/>
        <v>0.98333333332993789</v>
      </c>
      <c r="AF104" s="210">
        <f t="shared" si="55"/>
        <v>0</v>
      </c>
      <c r="AG104" s="210">
        <f t="shared" si="56"/>
        <v>0</v>
      </c>
    </row>
    <row r="105" spans="2:33" ht="15" customHeight="1" x14ac:dyDescent="0.3">
      <c r="B105" s="196" t="s">
        <v>7</v>
      </c>
      <c r="C105" s="197" t="s">
        <v>15</v>
      </c>
      <c r="D105" s="198" t="str">
        <f t="shared" si="38"/>
        <v>C</v>
      </c>
      <c r="E105" s="199">
        <v>44711.114583333336</v>
      </c>
      <c r="F105" s="200" t="s">
        <v>115</v>
      </c>
      <c r="G105" s="201">
        <v>160.74299999999999</v>
      </c>
      <c r="H105" s="201">
        <v>160.16499999999999</v>
      </c>
      <c r="I105" s="202">
        <f t="shared" si="39"/>
        <v>0.57800000000000296</v>
      </c>
      <c r="J105" s="201">
        <v>162.39400000000001</v>
      </c>
      <c r="K105" s="199">
        <v>44712.364583333336</v>
      </c>
      <c r="L105" s="201">
        <v>161.27199999999999</v>
      </c>
      <c r="M105" s="203">
        <f t="shared" si="40"/>
        <v>0.52900000000000003</v>
      </c>
      <c r="N105" s="204">
        <f t="shared" si="41"/>
        <v>0.92</v>
      </c>
      <c r="O105" s="205">
        <f t="shared" si="42"/>
        <v>0</v>
      </c>
      <c r="P105" s="206">
        <f t="shared" si="43"/>
        <v>0.92</v>
      </c>
      <c r="Q105" s="206">
        <f t="shared" si="44"/>
        <v>0</v>
      </c>
      <c r="R10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12297</v>
      </c>
      <c r="T10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5" s="208">
        <f ca="1">IF(Tabla33610673486[[#This Row],[Equity]]&lt;Tabla33610673486[[#This Row],[Equity Peak]],(Tabla33610673486[[#This Row],[Equity Peak]]-Tabla33610673486[[#This Row],[Equity]])/Tabla33610673486[[#This Row],[Equity Peak]],"")</f>
        <v>1.0381458232737808E-2</v>
      </c>
      <c r="V105" s="209">
        <f t="shared" si="45"/>
        <v>0.92</v>
      </c>
      <c r="W105" s="209">
        <f t="shared" si="46"/>
        <v>0</v>
      </c>
      <c r="X105" s="209">
        <f t="shared" si="47"/>
        <v>0</v>
      </c>
      <c r="Y105" s="209">
        <f t="shared" si="48"/>
        <v>0</v>
      </c>
      <c r="Z105" s="209">
        <f t="shared" si="49"/>
        <v>0</v>
      </c>
      <c r="AA105" s="205">
        <f t="shared" si="50"/>
        <v>0</v>
      </c>
      <c r="AB105" s="209">
        <f t="shared" si="51"/>
        <v>0</v>
      </c>
      <c r="AC105" s="205">
        <f t="shared" si="52"/>
        <v>0</v>
      </c>
      <c r="AD105" s="210">
        <f t="shared" si="53"/>
        <v>1.25</v>
      </c>
      <c r="AE105" s="210">
        <f t="shared" si="54"/>
        <v>1.25</v>
      </c>
      <c r="AF105" s="210">
        <f t="shared" si="55"/>
        <v>0</v>
      </c>
      <c r="AG105" s="210">
        <f t="shared" si="56"/>
        <v>0</v>
      </c>
    </row>
    <row r="106" spans="2:33" ht="15" customHeight="1" x14ac:dyDescent="0.3">
      <c r="B106" s="196" t="s">
        <v>7</v>
      </c>
      <c r="C106" s="197" t="s">
        <v>15</v>
      </c>
      <c r="D106" s="198" t="str">
        <f t="shared" si="38"/>
        <v>C</v>
      </c>
      <c r="E106" s="199">
        <v>44706.875</v>
      </c>
      <c r="F106" s="200" t="s">
        <v>115</v>
      </c>
      <c r="G106" s="201">
        <v>159.96899999999999</v>
      </c>
      <c r="H106" s="201">
        <v>159.25</v>
      </c>
      <c r="I106" s="202">
        <f t="shared" si="39"/>
        <v>0.71899999999999409</v>
      </c>
      <c r="J106" s="201">
        <v>162.02199999999999</v>
      </c>
      <c r="K106" s="199">
        <v>44707.373611111114</v>
      </c>
      <c r="L106" s="201">
        <v>159.85</v>
      </c>
      <c r="M106" s="203">
        <f t="shared" si="40"/>
        <v>-0.11899999999999999</v>
      </c>
      <c r="N106" s="204">
        <f t="shared" si="41"/>
        <v>-0.17</v>
      </c>
      <c r="O106" s="205">
        <f t="shared" si="42"/>
        <v>0</v>
      </c>
      <c r="P106" s="206">
        <f t="shared" si="43"/>
        <v>0</v>
      </c>
      <c r="Q106" s="206">
        <f t="shared" si="44"/>
        <v>-0.17</v>
      </c>
      <c r="R10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12205</v>
      </c>
      <c r="T10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6" s="208">
        <f ca="1">IF(Tabla33610673486[[#This Row],[Equity]]&lt;Tabla33610673486[[#This Row],[Equity Peak]],(Tabla33610673486[[#This Row],[Equity Peak]]-Tabla33610673486[[#This Row],[Equity]])/Tabla33610673486[[#This Row],[Equity Peak]],"")</f>
        <v>1.7785288910349268E-2</v>
      </c>
      <c r="V106" s="209">
        <f t="shared" si="45"/>
        <v>-0.17</v>
      </c>
      <c r="W106" s="209">
        <f t="shared" si="46"/>
        <v>0</v>
      </c>
      <c r="X106" s="209">
        <f t="shared" si="47"/>
        <v>0</v>
      </c>
      <c r="Y106" s="209">
        <f t="shared" si="48"/>
        <v>0</v>
      </c>
      <c r="Z106" s="209">
        <f t="shared" si="49"/>
        <v>0</v>
      </c>
      <c r="AA106" s="205">
        <f t="shared" si="50"/>
        <v>0</v>
      </c>
      <c r="AB106" s="209">
        <f t="shared" si="51"/>
        <v>0</v>
      </c>
      <c r="AC106" s="205">
        <f t="shared" si="52"/>
        <v>0</v>
      </c>
      <c r="AD106" s="210">
        <f t="shared" si="53"/>
        <v>0.49861111111385981</v>
      </c>
      <c r="AE106" s="210">
        <f t="shared" si="54"/>
        <v>0</v>
      </c>
      <c r="AF106" s="210">
        <f t="shared" si="55"/>
        <v>0.49861111111385981</v>
      </c>
      <c r="AG106" s="210">
        <f t="shared" si="56"/>
        <v>0</v>
      </c>
    </row>
    <row r="107" spans="2:33" ht="15" customHeight="1" x14ac:dyDescent="0.3">
      <c r="B107" s="196" t="s">
        <v>7</v>
      </c>
      <c r="C107" s="197" t="s">
        <v>13</v>
      </c>
      <c r="D107" s="198" t="str">
        <f t="shared" si="38"/>
        <v>C</v>
      </c>
      <c r="E107" s="199">
        <v>44705.489583333336</v>
      </c>
      <c r="F107" s="200" t="s">
        <v>115</v>
      </c>
      <c r="G107" s="201">
        <v>159.048</v>
      </c>
      <c r="H107" s="201">
        <v>159.71700000000001</v>
      </c>
      <c r="I107" s="202">
        <f t="shared" si="39"/>
        <v>0.66900000000001114</v>
      </c>
      <c r="J107" s="201">
        <v>157.136</v>
      </c>
      <c r="K107" s="199">
        <v>44706.053472222222</v>
      </c>
      <c r="L107" s="201">
        <v>159.08500000000001</v>
      </c>
      <c r="M107" s="203">
        <f t="shared" si="40"/>
        <v>-3.6999999999999998E-2</v>
      </c>
      <c r="N107" s="204">
        <f t="shared" si="41"/>
        <v>-0.06</v>
      </c>
      <c r="O107" s="205">
        <f t="shared" si="42"/>
        <v>0</v>
      </c>
      <c r="P107" s="206">
        <f t="shared" si="43"/>
        <v>0</v>
      </c>
      <c r="Q107" s="206">
        <f t="shared" si="44"/>
        <v>-0.06</v>
      </c>
      <c r="R10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12222</v>
      </c>
      <c r="T10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7" s="208">
        <f ca="1">IF(Tabla33610673486[[#This Row],[Equity]]&lt;Tabla33610673486[[#This Row],[Equity Peak]],(Tabla33610673486[[#This Row],[Equity Peak]]-Tabla33610673486[[#This Row],[Equity]])/Tabla33610673486[[#This Row],[Equity Peak]],"")</f>
        <v>1.6417189763399325E-2</v>
      </c>
      <c r="V107" s="209">
        <f t="shared" si="45"/>
        <v>-0.06</v>
      </c>
      <c r="W107" s="209">
        <f t="shared" si="46"/>
        <v>0</v>
      </c>
      <c r="X107" s="209">
        <f t="shared" si="47"/>
        <v>0</v>
      </c>
      <c r="Y107" s="209">
        <f t="shared" si="48"/>
        <v>0</v>
      </c>
      <c r="Z107" s="209">
        <f t="shared" si="49"/>
        <v>0</v>
      </c>
      <c r="AA107" s="205">
        <f t="shared" si="50"/>
        <v>0</v>
      </c>
      <c r="AB107" s="209">
        <f t="shared" si="51"/>
        <v>0</v>
      </c>
      <c r="AC107" s="205">
        <f t="shared" si="52"/>
        <v>0</v>
      </c>
      <c r="AD107" s="210">
        <f t="shared" si="53"/>
        <v>0.56388888888614019</v>
      </c>
      <c r="AE107" s="210">
        <f t="shared" si="54"/>
        <v>0</v>
      </c>
      <c r="AF107" s="210">
        <f t="shared" si="55"/>
        <v>0.56388888888614019</v>
      </c>
      <c r="AG107" s="210">
        <f t="shared" si="56"/>
        <v>0</v>
      </c>
    </row>
    <row r="108" spans="2:33" ht="15" customHeight="1" x14ac:dyDescent="0.3">
      <c r="B108" s="196" t="s">
        <v>7</v>
      </c>
      <c r="C108" s="197" t="s">
        <v>15</v>
      </c>
      <c r="D108" s="198" t="str">
        <f t="shared" si="38"/>
        <v>C</v>
      </c>
      <c r="E108" s="199">
        <v>44704.375</v>
      </c>
      <c r="F108" s="200" t="s">
        <v>115</v>
      </c>
      <c r="G108" s="201">
        <v>160.453</v>
      </c>
      <c r="H108" s="201">
        <v>159.66499999999999</v>
      </c>
      <c r="I108" s="202">
        <f t="shared" si="39"/>
        <v>0.78800000000001091</v>
      </c>
      <c r="J108" s="201">
        <v>162.70400000000001</v>
      </c>
      <c r="K108" s="199">
        <v>44705.453472222223</v>
      </c>
      <c r="L108" s="201">
        <v>160.14599999999999</v>
      </c>
      <c r="M108" s="203">
        <f t="shared" si="40"/>
        <v>-0.307</v>
      </c>
      <c r="N108" s="204">
        <f t="shared" si="41"/>
        <v>-0.39</v>
      </c>
      <c r="O108" s="205">
        <f t="shared" si="42"/>
        <v>0</v>
      </c>
      <c r="P108" s="206">
        <f t="shared" si="43"/>
        <v>0</v>
      </c>
      <c r="Q108" s="206">
        <f t="shared" si="44"/>
        <v>-0.39</v>
      </c>
      <c r="R10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12228</v>
      </c>
      <c r="T10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8" s="208">
        <f ca="1">IF(Tabla33610673486[[#This Row],[Equity]]&lt;Tabla33610673486[[#This Row],[Equity Peak]],(Tabla33610673486[[#This Row],[Equity Peak]]-Tabla33610673486[[#This Row],[Equity]])/Tabla33610673486[[#This Row],[Equity Peak]],"")</f>
        <v>1.5934331240946401E-2</v>
      </c>
      <c r="V108" s="209">
        <f t="shared" si="45"/>
        <v>-0.39</v>
      </c>
      <c r="W108" s="209">
        <f t="shared" si="46"/>
        <v>0</v>
      </c>
      <c r="X108" s="209">
        <f t="shared" si="47"/>
        <v>0</v>
      </c>
      <c r="Y108" s="209">
        <f t="shared" si="48"/>
        <v>0</v>
      </c>
      <c r="Z108" s="209">
        <f t="shared" si="49"/>
        <v>0</v>
      </c>
      <c r="AA108" s="205">
        <f t="shared" si="50"/>
        <v>0</v>
      </c>
      <c r="AB108" s="209">
        <f t="shared" si="51"/>
        <v>0</v>
      </c>
      <c r="AC108" s="205">
        <f t="shared" si="52"/>
        <v>0</v>
      </c>
      <c r="AD108" s="210">
        <f t="shared" si="53"/>
        <v>1.078472222223354</v>
      </c>
      <c r="AE108" s="210">
        <f t="shared" si="54"/>
        <v>0</v>
      </c>
      <c r="AF108" s="210">
        <f t="shared" si="55"/>
        <v>1.078472222223354</v>
      </c>
      <c r="AG108" s="210">
        <f t="shared" si="56"/>
        <v>0</v>
      </c>
    </row>
    <row r="109" spans="2:33" ht="15" customHeight="1" x14ac:dyDescent="0.3">
      <c r="B109" s="196" t="s">
        <v>7</v>
      </c>
      <c r="C109" s="197" t="s">
        <v>15</v>
      </c>
      <c r="D109" s="198" t="str">
        <f t="shared" si="38"/>
        <v>C</v>
      </c>
      <c r="E109" s="199">
        <v>44701.510416666664</v>
      </c>
      <c r="F109" s="200" t="s">
        <v>115</v>
      </c>
      <c r="G109" s="201">
        <v>160.148</v>
      </c>
      <c r="H109" s="201">
        <v>159.27099999999999</v>
      </c>
      <c r="I109" s="202">
        <f t="shared" si="39"/>
        <v>0.87700000000000955</v>
      </c>
      <c r="J109" s="201">
        <v>162.65299999999999</v>
      </c>
      <c r="K109" s="199">
        <v>44701.756944444445</v>
      </c>
      <c r="L109" s="201">
        <v>159.27099999999999</v>
      </c>
      <c r="M109" s="203">
        <f t="shared" si="40"/>
        <v>-0.877</v>
      </c>
      <c r="N109" s="204">
        <f t="shared" si="41"/>
        <v>-1</v>
      </c>
      <c r="O109" s="205">
        <f t="shared" si="42"/>
        <v>0</v>
      </c>
      <c r="P109" s="206">
        <f t="shared" si="43"/>
        <v>0</v>
      </c>
      <c r="Q109" s="206">
        <f t="shared" si="44"/>
        <v>-1</v>
      </c>
      <c r="R10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12267</v>
      </c>
      <c r="T10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09" s="208">
        <f ca="1">IF(Tabla33610673486[[#This Row],[Equity]]&lt;Tabla33610673486[[#This Row],[Equity Peak]],(Tabla33610673486[[#This Row],[Equity Peak]]-Tabla33610673486[[#This Row],[Equity]])/Tabla33610673486[[#This Row],[Equity Peak]],"")</f>
        <v>1.2795750845002415E-2</v>
      </c>
      <c r="V109" s="209">
        <f t="shared" si="45"/>
        <v>-1</v>
      </c>
      <c r="W109" s="209">
        <f t="shared" si="46"/>
        <v>0</v>
      </c>
      <c r="X109" s="209">
        <f t="shared" si="47"/>
        <v>0</v>
      </c>
      <c r="Y109" s="209">
        <f t="shared" si="48"/>
        <v>0</v>
      </c>
      <c r="Z109" s="209">
        <f t="shared" si="49"/>
        <v>0</v>
      </c>
      <c r="AA109" s="205">
        <f t="shared" si="50"/>
        <v>0</v>
      </c>
      <c r="AB109" s="209">
        <f t="shared" si="51"/>
        <v>0</v>
      </c>
      <c r="AC109" s="205">
        <f t="shared" si="52"/>
        <v>0</v>
      </c>
      <c r="AD109" s="210">
        <f t="shared" si="53"/>
        <v>0.24652777778101154</v>
      </c>
      <c r="AE109" s="210">
        <f t="shared" si="54"/>
        <v>0</v>
      </c>
      <c r="AF109" s="210">
        <f t="shared" si="55"/>
        <v>0.24652777778101154</v>
      </c>
      <c r="AG109" s="210">
        <f t="shared" si="56"/>
        <v>0</v>
      </c>
    </row>
    <row r="110" spans="2:33" ht="15" customHeight="1" x14ac:dyDescent="0.3">
      <c r="B110" s="196" t="s">
        <v>7</v>
      </c>
      <c r="C110" s="197" t="s">
        <v>13</v>
      </c>
      <c r="D110" s="198" t="str">
        <f t="shared" si="38"/>
        <v>C</v>
      </c>
      <c r="E110" s="199">
        <v>44699.708333333336</v>
      </c>
      <c r="F110" s="200" t="s">
        <v>115</v>
      </c>
      <c r="G110" s="201">
        <v>159.36500000000001</v>
      </c>
      <c r="H110" s="201">
        <v>160.06899999999999</v>
      </c>
      <c r="I110" s="202">
        <f t="shared" si="39"/>
        <v>0.70399999999997931</v>
      </c>
      <c r="J110" s="201">
        <v>157.352</v>
      </c>
      <c r="K110" s="199">
        <v>44700.238194444442</v>
      </c>
      <c r="L110" s="201">
        <v>159.059</v>
      </c>
      <c r="M110" s="203">
        <f t="shared" si="40"/>
        <v>0.30599999999999999</v>
      </c>
      <c r="N110" s="204">
        <f t="shared" si="41"/>
        <v>0.43</v>
      </c>
      <c r="O110" s="205">
        <f t="shared" si="42"/>
        <v>0</v>
      </c>
      <c r="P110" s="206">
        <f t="shared" si="43"/>
        <v>0.43</v>
      </c>
      <c r="Q110" s="206">
        <f t="shared" si="44"/>
        <v>0</v>
      </c>
      <c r="R11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12367</v>
      </c>
      <c r="T11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0" s="208">
        <f ca="1">IF(Tabla33610673486[[#This Row],[Equity]]&lt;Tabla33610673486[[#This Row],[Equity Peak]],(Tabla33610673486[[#This Row],[Equity Peak]]-Tabla33610673486[[#This Row],[Equity]])/Tabla33610673486[[#This Row],[Equity Peak]],"")</f>
        <v>4.7481088041203927E-3</v>
      </c>
      <c r="V110" s="209">
        <f t="shared" si="45"/>
        <v>0.43</v>
      </c>
      <c r="W110" s="209">
        <f t="shared" si="46"/>
        <v>0</v>
      </c>
      <c r="X110" s="209">
        <f t="shared" si="47"/>
        <v>0</v>
      </c>
      <c r="Y110" s="209">
        <f t="shared" si="48"/>
        <v>0</v>
      </c>
      <c r="Z110" s="209">
        <f t="shared" si="49"/>
        <v>0</v>
      </c>
      <c r="AA110" s="205">
        <f t="shared" si="50"/>
        <v>0</v>
      </c>
      <c r="AB110" s="209">
        <f t="shared" si="51"/>
        <v>0</v>
      </c>
      <c r="AC110" s="205">
        <f t="shared" si="52"/>
        <v>0</v>
      </c>
      <c r="AD110" s="210">
        <f t="shared" si="53"/>
        <v>0.52986111110658385</v>
      </c>
      <c r="AE110" s="210">
        <f t="shared" si="54"/>
        <v>0.52986111110658385</v>
      </c>
      <c r="AF110" s="210">
        <f t="shared" si="55"/>
        <v>0</v>
      </c>
      <c r="AG110" s="210">
        <f t="shared" si="56"/>
        <v>0</v>
      </c>
    </row>
    <row r="111" spans="2:33" ht="15" customHeight="1" x14ac:dyDescent="0.3">
      <c r="B111" s="196" t="s">
        <v>7</v>
      </c>
      <c r="C111" s="197" t="s">
        <v>15</v>
      </c>
      <c r="D111" s="198" t="str">
        <f t="shared" si="38"/>
        <v>C</v>
      </c>
      <c r="E111" s="199">
        <v>44698.15625</v>
      </c>
      <c r="F111" s="200" t="s">
        <v>115</v>
      </c>
      <c r="G111" s="201">
        <v>159.32</v>
      </c>
      <c r="H111" s="201">
        <v>158.64099999999999</v>
      </c>
      <c r="I111" s="202">
        <f t="shared" si="39"/>
        <v>0.67900000000000205</v>
      </c>
      <c r="J111" s="201">
        <v>161.26</v>
      </c>
      <c r="K111" s="199">
        <v>44698.467361111114</v>
      </c>
      <c r="L111" s="201">
        <v>161.26</v>
      </c>
      <c r="M111" s="203">
        <f t="shared" si="40"/>
        <v>1.94</v>
      </c>
      <c r="N111" s="204">
        <f t="shared" si="41"/>
        <v>2.86</v>
      </c>
      <c r="O111" s="205">
        <f t="shared" si="42"/>
        <v>0</v>
      </c>
      <c r="P111" s="206">
        <f t="shared" si="43"/>
        <v>2.86</v>
      </c>
      <c r="Q111" s="206">
        <f t="shared" si="44"/>
        <v>0</v>
      </c>
      <c r="R11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12324</v>
      </c>
      <c r="T11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1" s="208">
        <f ca="1">IF(Tabla33610673486[[#This Row],[Equity]]&lt;Tabla33610673486[[#This Row],[Equity Peak]],(Tabla33610673486[[#This Row],[Equity Peak]]-Tabla33610673486[[#This Row],[Equity]])/Tabla33610673486[[#This Row],[Equity Peak]],"")</f>
        <v>8.2085948816996625E-3</v>
      </c>
      <c r="V111" s="209">
        <f t="shared" si="45"/>
        <v>2.86</v>
      </c>
      <c r="W111" s="209">
        <f t="shared" si="46"/>
        <v>0</v>
      </c>
      <c r="X111" s="209">
        <f t="shared" si="47"/>
        <v>0</v>
      </c>
      <c r="Y111" s="209">
        <f t="shared" si="48"/>
        <v>0</v>
      </c>
      <c r="Z111" s="209">
        <f t="shared" si="49"/>
        <v>0</v>
      </c>
      <c r="AA111" s="205">
        <f t="shared" si="50"/>
        <v>0</v>
      </c>
      <c r="AB111" s="209">
        <f t="shared" si="51"/>
        <v>0</v>
      </c>
      <c r="AC111" s="205">
        <f t="shared" si="52"/>
        <v>0</v>
      </c>
      <c r="AD111" s="210">
        <f t="shared" si="53"/>
        <v>0.31111111111385981</v>
      </c>
      <c r="AE111" s="210">
        <f t="shared" si="54"/>
        <v>0.31111111111385981</v>
      </c>
      <c r="AF111" s="210">
        <f t="shared" si="55"/>
        <v>0</v>
      </c>
      <c r="AG111" s="210">
        <f t="shared" si="56"/>
        <v>0</v>
      </c>
    </row>
    <row r="112" spans="2:33" ht="15" customHeight="1" x14ac:dyDescent="0.3">
      <c r="B112" s="196" t="s">
        <v>7</v>
      </c>
      <c r="C112" s="197" t="s">
        <v>15</v>
      </c>
      <c r="D112" s="198" t="str">
        <f t="shared" si="38"/>
        <v>C</v>
      </c>
      <c r="E112" s="199">
        <v>44694.802083333336</v>
      </c>
      <c r="F112" s="200" t="s">
        <v>115</v>
      </c>
      <c r="G112" s="201">
        <v>158.44499999999999</v>
      </c>
      <c r="H112" s="201">
        <v>157.56700000000001</v>
      </c>
      <c r="I112" s="202">
        <f t="shared" si="39"/>
        <v>0.8779999999999859</v>
      </c>
      <c r="J112" s="201">
        <v>160.95400000000001</v>
      </c>
      <c r="K112" s="199">
        <v>44697.209722222222</v>
      </c>
      <c r="L112" s="201">
        <v>158.066</v>
      </c>
      <c r="M112" s="203">
        <f t="shared" si="40"/>
        <v>-0.379</v>
      </c>
      <c r="N112" s="204">
        <f t="shared" si="41"/>
        <v>-0.43</v>
      </c>
      <c r="O112" s="205">
        <f t="shared" si="42"/>
        <v>0</v>
      </c>
      <c r="P112" s="206">
        <f t="shared" si="43"/>
        <v>0</v>
      </c>
      <c r="Q112" s="206">
        <f t="shared" si="44"/>
        <v>-0.43</v>
      </c>
      <c r="R11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12038</v>
      </c>
      <c r="T11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2" s="208">
        <f ca="1">IF(Tabla33610673486[[#This Row],[Equity]]&lt;Tabla33610673486[[#This Row],[Equity Peak]],(Tabla33610673486[[#This Row],[Equity Peak]]-Tabla33610673486[[#This Row],[Equity]])/Tabla33610673486[[#This Row],[Equity Peak]],"")</f>
        <v>3.1224851118622245E-2</v>
      </c>
      <c r="V112" s="209">
        <f t="shared" si="45"/>
        <v>-0.43</v>
      </c>
      <c r="W112" s="209">
        <f t="shared" si="46"/>
        <v>0</v>
      </c>
      <c r="X112" s="209">
        <f t="shared" si="47"/>
        <v>0</v>
      </c>
      <c r="Y112" s="209">
        <f t="shared" si="48"/>
        <v>0</v>
      </c>
      <c r="Z112" s="209">
        <f t="shared" si="49"/>
        <v>0</v>
      </c>
      <c r="AA112" s="205">
        <f t="shared" si="50"/>
        <v>0</v>
      </c>
      <c r="AB112" s="209">
        <f t="shared" si="51"/>
        <v>0</v>
      </c>
      <c r="AC112" s="205">
        <f t="shared" si="52"/>
        <v>0</v>
      </c>
      <c r="AD112" s="210">
        <f t="shared" si="53"/>
        <v>2.4076388888861402</v>
      </c>
      <c r="AE112" s="210">
        <f t="shared" si="54"/>
        <v>0</v>
      </c>
      <c r="AF112" s="210">
        <f t="shared" si="55"/>
        <v>2.4076388888861402</v>
      </c>
      <c r="AG112" s="210">
        <f t="shared" si="56"/>
        <v>0</v>
      </c>
    </row>
    <row r="113" spans="2:33" ht="15" customHeight="1" x14ac:dyDescent="0.3">
      <c r="B113" s="196" t="s">
        <v>7</v>
      </c>
      <c r="C113" s="197" t="s">
        <v>13</v>
      </c>
      <c r="D113" s="198" t="str">
        <f t="shared" si="38"/>
        <v>C</v>
      </c>
      <c r="E113" s="199">
        <v>44692.822916666664</v>
      </c>
      <c r="F113" s="200" t="s">
        <v>115</v>
      </c>
      <c r="G113" s="201">
        <v>159.72499999999999</v>
      </c>
      <c r="H113" s="201">
        <v>160.38399999999999</v>
      </c>
      <c r="I113" s="202">
        <f t="shared" si="39"/>
        <v>0.65899999999999181</v>
      </c>
      <c r="J113" s="201">
        <v>157.84200000000001</v>
      </c>
      <c r="K113" s="199">
        <v>44693.38958333333</v>
      </c>
      <c r="L113" s="201">
        <v>157.84200000000001</v>
      </c>
      <c r="M113" s="203">
        <f t="shared" si="40"/>
        <v>1.883</v>
      </c>
      <c r="N113" s="204">
        <f t="shared" si="41"/>
        <v>2.86</v>
      </c>
      <c r="O113" s="205">
        <f t="shared" si="42"/>
        <v>0</v>
      </c>
      <c r="P113" s="206">
        <f t="shared" si="43"/>
        <v>2.86</v>
      </c>
      <c r="Q113" s="206">
        <f t="shared" si="44"/>
        <v>0</v>
      </c>
      <c r="R11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12081</v>
      </c>
      <c r="T11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3" s="208">
        <f ca="1">IF(Tabla33610673486[[#This Row],[Equity]]&lt;Tabla33610673486[[#This Row],[Equity Peak]],(Tabla33610673486[[#This Row],[Equity Peak]]-Tabla33610673486[[#This Row],[Equity]])/Tabla33610673486[[#This Row],[Equity Peak]],"")</f>
        <v>2.7764365041042974E-2</v>
      </c>
      <c r="V113" s="209">
        <f t="shared" si="45"/>
        <v>2.86</v>
      </c>
      <c r="W113" s="209">
        <f t="shared" si="46"/>
        <v>0</v>
      </c>
      <c r="X113" s="209">
        <f t="shared" si="47"/>
        <v>0</v>
      </c>
      <c r="Y113" s="209">
        <f t="shared" si="48"/>
        <v>0</v>
      </c>
      <c r="Z113" s="209">
        <f t="shared" si="49"/>
        <v>0</v>
      </c>
      <c r="AA113" s="205">
        <f t="shared" si="50"/>
        <v>0</v>
      </c>
      <c r="AB113" s="209">
        <f t="shared" si="51"/>
        <v>0</v>
      </c>
      <c r="AC113" s="205">
        <f t="shared" si="52"/>
        <v>0</v>
      </c>
      <c r="AD113" s="210">
        <f t="shared" si="53"/>
        <v>0.56666666666569654</v>
      </c>
      <c r="AE113" s="210">
        <f t="shared" si="54"/>
        <v>0.56666666666569654</v>
      </c>
      <c r="AF113" s="210">
        <f t="shared" si="55"/>
        <v>0</v>
      </c>
      <c r="AG113" s="210">
        <f t="shared" si="56"/>
        <v>0</v>
      </c>
    </row>
    <row r="114" spans="2:33" ht="15" customHeight="1" x14ac:dyDescent="0.3">
      <c r="B114" s="196" t="s">
        <v>7</v>
      </c>
      <c r="C114" s="197" t="s">
        <v>13</v>
      </c>
      <c r="D114" s="198" t="str">
        <f t="shared" si="38"/>
        <v>C</v>
      </c>
      <c r="E114" s="199">
        <v>44690.770833333336</v>
      </c>
      <c r="F114" s="200" t="s">
        <v>115</v>
      </c>
      <c r="G114" s="201">
        <v>160.28399999999999</v>
      </c>
      <c r="H114" s="201">
        <v>160.941</v>
      </c>
      <c r="I114" s="202">
        <f t="shared" si="39"/>
        <v>0.65700000000001069</v>
      </c>
      <c r="J114" s="201">
        <v>158.40700000000001</v>
      </c>
      <c r="K114" s="199">
        <v>44690.799305555556</v>
      </c>
      <c r="L114" s="201">
        <v>160.941</v>
      </c>
      <c r="M114" s="203">
        <f t="shared" si="40"/>
        <v>-0.65700000000000003</v>
      </c>
      <c r="N114" s="204">
        <f t="shared" si="41"/>
        <v>-1</v>
      </c>
      <c r="O114" s="205">
        <f t="shared" si="42"/>
        <v>0</v>
      </c>
      <c r="P114" s="206">
        <f t="shared" si="43"/>
        <v>0</v>
      </c>
      <c r="Q114" s="206">
        <f t="shared" si="44"/>
        <v>-1</v>
      </c>
      <c r="R11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11795</v>
      </c>
      <c r="T11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4" s="208">
        <f ca="1">IF(Tabla33610673486[[#This Row],[Equity]]&lt;Tabla33610673486[[#This Row],[Equity Peak]],(Tabla33610673486[[#This Row],[Equity Peak]]-Tabla33610673486[[#This Row],[Equity]])/Tabla33610673486[[#This Row],[Equity Peak]],"")</f>
        <v>5.0780621277965558E-2</v>
      </c>
      <c r="V114" s="209">
        <f t="shared" si="45"/>
        <v>-1</v>
      </c>
      <c r="W114" s="209">
        <f t="shared" si="46"/>
        <v>0</v>
      </c>
      <c r="X114" s="209">
        <f t="shared" si="47"/>
        <v>0</v>
      </c>
      <c r="Y114" s="209">
        <f t="shared" si="48"/>
        <v>0</v>
      </c>
      <c r="Z114" s="209">
        <f t="shared" si="49"/>
        <v>0</v>
      </c>
      <c r="AA114" s="205">
        <f t="shared" si="50"/>
        <v>0</v>
      </c>
      <c r="AB114" s="209">
        <f t="shared" si="51"/>
        <v>0</v>
      </c>
      <c r="AC114" s="205">
        <f t="shared" si="52"/>
        <v>0</v>
      </c>
      <c r="AD114" s="210">
        <f t="shared" si="53"/>
        <v>2.8472222220443655E-2</v>
      </c>
      <c r="AE114" s="210">
        <f t="shared" si="54"/>
        <v>0</v>
      </c>
      <c r="AF114" s="210">
        <f t="shared" si="55"/>
        <v>2.8472222220443655E-2</v>
      </c>
      <c r="AG114" s="210">
        <f t="shared" si="56"/>
        <v>0</v>
      </c>
    </row>
    <row r="115" spans="2:33" ht="15" customHeight="1" x14ac:dyDescent="0.3">
      <c r="B115" s="196" t="s">
        <v>7</v>
      </c>
      <c r="C115" s="197" t="s">
        <v>15</v>
      </c>
      <c r="D115" s="198" t="str">
        <f t="shared" si="38"/>
        <v>C</v>
      </c>
      <c r="E115" s="199">
        <v>44690.5625</v>
      </c>
      <c r="F115" s="200" t="s">
        <v>115</v>
      </c>
      <c r="G115" s="201">
        <v>161.63399999999999</v>
      </c>
      <c r="H115" s="201">
        <v>161.036</v>
      </c>
      <c r="I115" s="202">
        <f t="shared" si="39"/>
        <v>0.59799999999998477</v>
      </c>
      <c r="J115" s="201">
        <v>163.34299999999999</v>
      </c>
      <c r="K115" s="199">
        <v>44690.689583333333</v>
      </c>
      <c r="L115" s="201">
        <v>161.328</v>
      </c>
      <c r="M115" s="203">
        <f t="shared" si="40"/>
        <v>-0.30599999999999999</v>
      </c>
      <c r="N115" s="204">
        <f t="shared" si="41"/>
        <v>-0.51</v>
      </c>
      <c r="O115" s="205">
        <f t="shared" si="42"/>
        <v>0</v>
      </c>
      <c r="P115" s="206">
        <f t="shared" si="43"/>
        <v>0</v>
      </c>
      <c r="Q115" s="206">
        <f t="shared" si="44"/>
        <v>-0.51</v>
      </c>
      <c r="R11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11895</v>
      </c>
      <c r="T11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5" s="208">
        <f ca="1">IF(Tabla33610673486[[#This Row],[Equity]]&lt;Tabla33610673486[[#This Row],[Equity Peak]],(Tabla33610673486[[#This Row],[Equity Peak]]-Tabla33610673486[[#This Row],[Equity]])/Tabla33610673486[[#This Row],[Equity Peak]],"")</f>
        <v>4.2732979237083538E-2</v>
      </c>
      <c r="V115" s="209">
        <f t="shared" si="45"/>
        <v>-0.51</v>
      </c>
      <c r="W115" s="209">
        <f t="shared" si="46"/>
        <v>0</v>
      </c>
      <c r="X115" s="209">
        <f t="shared" si="47"/>
        <v>0</v>
      </c>
      <c r="Y115" s="209">
        <f t="shared" si="48"/>
        <v>0</v>
      </c>
      <c r="Z115" s="209">
        <f t="shared" si="49"/>
        <v>0</v>
      </c>
      <c r="AA115" s="205">
        <f t="shared" si="50"/>
        <v>0</v>
      </c>
      <c r="AB115" s="209">
        <f t="shared" si="51"/>
        <v>0</v>
      </c>
      <c r="AC115" s="205">
        <f t="shared" si="52"/>
        <v>0</v>
      </c>
      <c r="AD115" s="210">
        <f t="shared" si="53"/>
        <v>0.12708333333284827</v>
      </c>
      <c r="AE115" s="210">
        <f t="shared" si="54"/>
        <v>0</v>
      </c>
      <c r="AF115" s="210">
        <f t="shared" si="55"/>
        <v>0.12708333333284827</v>
      </c>
      <c r="AG115" s="210">
        <f t="shared" si="56"/>
        <v>0</v>
      </c>
    </row>
    <row r="116" spans="2:33" ht="15" customHeight="1" x14ac:dyDescent="0.3">
      <c r="B116" s="196" t="s">
        <v>7</v>
      </c>
      <c r="C116" s="197" t="s">
        <v>13</v>
      </c>
      <c r="D116" s="198" t="str">
        <f t="shared" si="38"/>
        <v>C</v>
      </c>
      <c r="E116" s="199">
        <v>44687.416666666664</v>
      </c>
      <c r="F116" s="200" t="s">
        <v>115</v>
      </c>
      <c r="G116" s="201">
        <v>160.38300000000001</v>
      </c>
      <c r="H116" s="201">
        <v>161.05600000000001</v>
      </c>
      <c r="I116" s="202">
        <f t="shared" si="39"/>
        <v>0.67300000000000182</v>
      </c>
      <c r="J116" s="201">
        <v>158.46100000000001</v>
      </c>
      <c r="K116" s="199">
        <v>44687.470833333333</v>
      </c>
      <c r="L116" s="201">
        <v>161.05600000000001</v>
      </c>
      <c r="M116" s="203">
        <f t="shared" si="40"/>
        <v>-0.67300000000000004</v>
      </c>
      <c r="N116" s="204">
        <f t="shared" si="41"/>
        <v>-1</v>
      </c>
      <c r="O116" s="205">
        <f t="shared" si="42"/>
        <v>0</v>
      </c>
      <c r="P116" s="206">
        <f t="shared" si="43"/>
        <v>0</v>
      </c>
      <c r="Q116" s="206">
        <f t="shared" si="44"/>
        <v>-1</v>
      </c>
      <c r="R11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11946</v>
      </c>
      <c r="T11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6" s="208">
        <f ca="1">IF(Tabla33610673486[[#This Row],[Equity]]&lt;Tabla33610673486[[#This Row],[Equity Peak]],(Tabla33610673486[[#This Row],[Equity Peak]]-Tabla33610673486[[#This Row],[Equity]])/Tabla33610673486[[#This Row],[Equity Peak]],"")</f>
        <v>3.8628681796233702E-2</v>
      </c>
      <c r="V116" s="209">
        <f t="shared" si="45"/>
        <v>-1</v>
      </c>
      <c r="W116" s="209">
        <f t="shared" si="46"/>
        <v>0</v>
      </c>
      <c r="X116" s="209">
        <f t="shared" si="47"/>
        <v>0</v>
      </c>
      <c r="Y116" s="209">
        <f t="shared" si="48"/>
        <v>0</v>
      </c>
      <c r="Z116" s="209">
        <f t="shared" si="49"/>
        <v>0</v>
      </c>
      <c r="AA116" s="205">
        <f t="shared" si="50"/>
        <v>0</v>
      </c>
      <c r="AB116" s="209">
        <f t="shared" si="51"/>
        <v>0</v>
      </c>
      <c r="AC116" s="205">
        <f t="shared" si="52"/>
        <v>0</v>
      </c>
      <c r="AD116" s="210">
        <f t="shared" si="53"/>
        <v>5.4166666668606922E-2</v>
      </c>
      <c r="AE116" s="210">
        <f t="shared" si="54"/>
        <v>0</v>
      </c>
      <c r="AF116" s="210">
        <f t="shared" si="55"/>
        <v>5.4166666668606922E-2</v>
      </c>
      <c r="AG116" s="210">
        <f t="shared" si="56"/>
        <v>0</v>
      </c>
    </row>
    <row r="117" spans="2:33" ht="15" customHeight="1" x14ac:dyDescent="0.3">
      <c r="B117" s="196" t="s">
        <v>7</v>
      </c>
      <c r="C117" s="197" t="s">
        <v>13</v>
      </c>
      <c r="D117" s="198" t="str">
        <f t="shared" si="38"/>
        <v>C</v>
      </c>
      <c r="E117" s="199">
        <v>44686.59375</v>
      </c>
      <c r="F117" s="200" t="s">
        <v>115</v>
      </c>
      <c r="G117" s="201">
        <v>161.61199999999999</v>
      </c>
      <c r="H117" s="201">
        <v>162.16200000000001</v>
      </c>
      <c r="I117" s="202">
        <f t="shared" si="39"/>
        <v>0.55000000000001137</v>
      </c>
      <c r="J117" s="201">
        <v>160.042</v>
      </c>
      <c r="K117" s="199">
        <v>44687.27847222222</v>
      </c>
      <c r="L117" s="201">
        <v>161.501</v>
      </c>
      <c r="M117" s="203">
        <f t="shared" si="40"/>
        <v>0.111</v>
      </c>
      <c r="N117" s="204">
        <f t="shared" si="41"/>
        <v>0.2</v>
      </c>
      <c r="O117" s="205">
        <f t="shared" si="42"/>
        <v>0</v>
      </c>
      <c r="P117" s="206">
        <f t="shared" si="43"/>
        <v>0.2</v>
      </c>
      <c r="Q117" s="206">
        <f t="shared" si="44"/>
        <v>0</v>
      </c>
      <c r="R11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12046</v>
      </c>
      <c r="T11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7" s="208">
        <f ca="1">IF(Tabla33610673486[[#This Row],[Equity]]&lt;Tabla33610673486[[#This Row],[Equity Peak]],(Tabla33610673486[[#This Row],[Equity Peak]]-Tabla33610673486[[#This Row],[Equity]])/Tabla33610673486[[#This Row],[Equity Peak]],"")</f>
        <v>3.0581039755351681E-2</v>
      </c>
      <c r="V117" s="209">
        <f t="shared" si="45"/>
        <v>0.2</v>
      </c>
      <c r="W117" s="209">
        <f t="shared" si="46"/>
        <v>0</v>
      </c>
      <c r="X117" s="209">
        <f t="shared" si="47"/>
        <v>0</v>
      </c>
      <c r="Y117" s="209">
        <f t="shared" si="48"/>
        <v>0</v>
      </c>
      <c r="Z117" s="209">
        <f t="shared" si="49"/>
        <v>0</v>
      </c>
      <c r="AA117" s="205">
        <f t="shared" si="50"/>
        <v>0</v>
      </c>
      <c r="AB117" s="209">
        <f t="shared" si="51"/>
        <v>0</v>
      </c>
      <c r="AC117" s="205">
        <f t="shared" si="52"/>
        <v>0</v>
      </c>
      <c r="AD117" s="210">
        <f t="shared" si="53"/>
        <v>0.68472222222044365</v>
      </c>
      <c r="AE117" s="210">
        <f t="shared" si="54"/>
        <v>0.68472222222044365</v>
      </c>
      <c r="AF117" s="210">
        <f t="shared" si="55"/>
        <v>0</v>
      </c>
      <c r="AG117" s="210">
        <f t="shared" si="56"/>
        <v>0</v>
      </c>
    </row>
    <row r="118" spans="2:33" ht="15" customHeight="1" x14ac:dyDescent="0.3">
      <c r="B118" s="196" t="s">
        <v>7</v>
      </c>
      <c r="C118" s="197" t="s">
        <v>15</v>
      </c>
      <c r="D118" s="198" t="str">
        <f t="shared" ref="D118:D149" si="57">IF(E118&lt;&gt;"",IF(K118&lt;&gt;"","C","O"),"")</f>
        <v>C</v>
      </c>
      <c r="E118" s="199">
        <v>44686.052083333336</v>
      </c>
      <c r="F118" s="200" t="s">
        <v>115</v>
      </c>
      <c r="G118" s="201">
        <v>163.298</v>
      </c>
      <c r="H118" s="201">
        <v>162.76599999999999</v>
      </c>
      <c r="I118" s="202">
        <f t="shared" ref="I118:I149" si="58">ABS(G118-H118)</f>
        <v>0.53200000000001069</v>
      </c>
      <c r="J118" s="201">
        <v>164.81899999999999</v>
      </c>
      <c r="K118" s="199">
        <v>44686.165277777778</v>
      </c>
      <c r="L118" s="201">
        <v>162.76599999999999</v>
      </c>
      <c r="M118" s="203">
        <f t="shared" ref="M118:M149" si="59">ROUND(IF(C118="L",(L118-G118),(G118-L118)),4)</f>
        <v>-0.53200000000000003</v>
      </c>
      <c r="N118" s="204">
        <f t="shared" ref="N118:N149" si="60">IFERROR(ROUND((M118/I118),2),"")</f>
        <v>-1</v>
      </c>
      <c r="O118" s="205">
        <f t="shared" ref="O118:O149" si="61">IF(D118="O",IF(N118&lt;0,N118,0),0)</f>
        <v>0</v>
      </c>
      <c r="P118" s="206">
        <f t="shared" ref="P118:P149" si="62">IF(N118&gt;= 0,N118,0)</f>
        <v>0</v>
      </c>
      <c r="Q118" s="206">
        <f t="shared" ref="Q118:Q149" si="63">IF(N118&lt;0,N118,0)</f>
        <v>-1</v>
      </c>
      <c r="R11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12026</v>
      </c>
      <c r="T11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8" s="208">
        <f ca="1">IF(Tabla33610673486[[#This Row],[Equity]]&lt;Tabla33610673486[[#This Row],[Equity Peak]],(Tabla33610673486[[#This Row],[Equity Peak]]-Tabla33610673486[[#This Row],[Equity]])/Tabla33610673486[[#This Row],[Equity Peak]],"")</f>
        <v>3.219056816352809E-2</v>
      </c>
      <c r="V118" s="209">
        <f t="shared" ref="V118:V149" si="64">IF(B118="FX",N118,0)</f>
        <v>-1</v>
      </c>
      <c r="W118" s="209">
        <f t="shared" ref="W118:W149" si="65">IF(D118="O",IF(V118&lt;0,V118,0),0)</f>
        <v>0</v>
      </c>
      <c r="X118" s="209">
        <f t="shared" ref="X118:X149" si="66">IF(B118="COM",N118,0)</f>
        <v>0</v>
      </c>
      <c r="Y118" s="209">
        <f t="shared" ref="Y118:Y149" si="67">IF(D118="O",IF(X118&lt;0,X118,0),0)</f>
        <v>0</v>
      </c>
      <c r="Z118" s="209">
        <f t="shared" ref="Z118:Z149" si="68">IF(B118="IND",N118,0)</f>
        <v>0</v>
      </c>
      <c r="AA118" s="205">
        <f t="shared" ref="AA118:AA149" si="69">IF(D118="O",IF(Z118&lt;0,Z118,0),0)</f>
        <v>0</v>
      </c>
      <c r="AB118" s="209">
        <f t="shared" ref="AB118:AB149" si="70">IF(B118="CRYPTO",N118,0)</f>
        <v>0</v>
      </c>
      <c r="AC118" s="205">
        <f t="shared" ref="AC118:AC149" si="71">IF(D118="O",IF(AB118&lt;0,AB118,0),0)</f>
        <v>0</v>
      </c>
      <c r="AD118" s="210">
        <f t="shared" ref="AD118:AD149" si="72">IF(K118&lt;&gt;"",K118-E118,0)</f>
        <v>0.1131944444423425</v>
      </c>
      <c r="AE118" s="210">
        <f t="shared" ref="AE118:AE149" si="73">IF(N118&gt;0,AD118,0)</f>
        <v>0</v>
      </c>
      <c r="AF118" s="210">
        <f t="shared" ref="AF118:AF149" si="74">IF(N118&lt;0,AD118,0)</f>
        <v>0.1131944444423425</v>
      </c>
      <c r="AG118" s="210">
        <f t="shared" ref="AG118:AG149" si="75">IF(N118=0,AD118,0)</f>
        <v>0</v>
      </c>
    </row>
    <row r="119" spans="2:33" ht="15" customHeight="1" x14ac:dyDescent="0.3">
      <c r="B119" s="196" t="s">
        <v>7</v>
      </c>
      <c r="C119" s="197" t="s">
        <v>13</v>
      </c>
      <c r="D119" s="198" t="str">
        <f t="shared" si="57"/>
        <v>C</v>
      </c>
      <c r="E119" s="199">
        <v>44685.916666666664</v>
      </c>
      <c r="F119" s="200" t="s">
        <v>115</v>
      </c>
      <c r="G119" s="201">
        <v>161.94</v>
      </c>
      <c r="H119" s="201">
        <v>162.43899999999999</v>
      </c>
      <c r="I119" s="202">
        <f t="shared" si="58"/>
        <v>0.49899999999999523</v>
      </c>
      <c r="J119" s="201">
        <v>160.51300000000001</v>
      </c>
      <c r="K119" s="199">
        <v>44685.929166666669</v>
      </c>
      <c r="L119" s="201">
        <v>162.43899999999999</v>
      </c>
      <c r="M119" s="203">
        <f t="shared" si="59"/>
        <v>-0.499</v>
      </c>
      <c r="N119" s="204">
        <f t="shared" si="60"/>
        <v>-1</v>
      </c>
      <c r="O119" s="205">
        <f t="shared" si="61"/>
        <v>0</v>
      </c>
      <c r="P119" s="206">
        <f t="shared" si="62"/>
        <v>0</v>
      </c>
      <c r="Q119" s="206">
        <f t="shared" si="63"/>
        <v>-1</v>
      </c>
      <c r="R11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12126</v>
      </c>
      <c r="T11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19" s="208">
        <f ca="1">IF(Tabla33610673486[[#This Row],[Equity]]&lt;Tabla33610673486[[#This Row],[Equity Peak]],(Tabla33610673486[[#This Row],[Equity Peak]]-Tabla33610673486[[#This Row],[Equity]])/Tabla33610673486[[#This Row],[Equity Peak]],"")</f>
        <v>2.4142926122646065E-2</v>
      </c>
      <c r="V119" s="209">
        <f t="shared" si="64"/>
        <v>-1</v>
      </c>
      <c r="W119" s="209">
        <f t="shared" si="65"/>
        <v>0</v>
      </c>
      <c r="X119" s="209">
        <f t="shared" si="66"/>
        <v>0</v>
      </c>
      <c r="Y119" s="209">
        <f t="shared" si="67"/>
        <v>0</v>
      </c>
      <c r="Z119" s="209">
        <f t="shared" si="68"/>
        <v>0</v>
      </c>
      <c r="AA119" s="205">
        <f t="shared" si="69"/>
        <v>0</v>
      </c>
      <c r="AB119" s="209">
        <f t="shared" si="70"/>
        <v>0</v>
      </c>
      <c r="AC119" s="205">
        <f t="shared" si="71"/>
        <v>0</v>
      </c>
      <c r="AD119" s="210">
        <f t="shared" si="72"/>
        <v>1.2500000004365575E-2</v>
      </c>
      <c r="AE119" s="210">
        <f t="shared" si="73"/>
        <v>0</v>
      </c>
      <c r="AF119" s="210">
        <f t="shared" si="74"/>
        <v>1.2500000004365575E-2</v>
      </c>
      <c r="AG119" s="210">
        <f t="shared" si="75"/>
        <v>0</v>
      </c>
    </row>
    <row r="120" spans="2:33" ht="15" customHeight="1" x14ac:dyDescent="0.3">
      <c r="B120" s="196" t="s">
        <v>7</v>
      </c>
      <c r="C120" s="197" t="s">
        <v>13</v>
      </c>
      <c r="D120" s="198" t="str">
        <f t="shared" si="57"/>
        <v>C</v>
      </c>
      <c r="E120" s="199">
        <v>44685.354166666664</v>
      </c>
      <c r="F120" s="200" t="s">
        <v>115</v>
      </c>
      <c r="G120" s="201">
        <v>162.33199999999999</v>
      </c>
      <c r="H120" s="201">
        <v>162.798</v>
      </c>
      <c r="I120" s="202">
        <f t="shared" si="58"/>
        <v>0.46600000000000819</v>
      </c>
      <c r="J120" s="201">
        <v>161.00200000000001</v>
      </c>
      <c r="K120" s="199">
        <v>44685.456944444442</v>
      </c>
      <c r="L120" s="201">
        <v>162.798</v>
      </c>
      <c r="M120" s="203">
        <f t="shared" si="59"/>
        <v>-0.46600000000000003</v>
      </c>
      <c r="N120" s="204">
        <f t="shared" si="60"/>
        <v>-1</v>
      </c>
      <c r="O120" s="205">
        <f t="shared" si="61"/>
        <v>0</v>
      </c>
      <c r="P120" s="206">
        <f t="shared" si="62"/>
        <v>0</v>
      </c>
      <c r="Q120" s="206">
        <f t="shared" si="63"/>
        <v>-1</v>
      </c>
      <c r="R12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12226</v>
      </c>
      <c r="T12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20" s="208">
        <f ca="1">IF(Tabla33610673486[[#This Row],[Equity]]&lt;Tabla33610673486[[#This Row],[Equity Peak]],(Tabla33610673486[[#This Row],[Equity Peak]]-Tabla33610673486[[#This Row],[Equity]])/Tabla33610673486[[#This Row],[Equity Peak]],"")</f>
        <v>1.6095284081764045E-2</v>
      </c>
      <c r="V120" s="209">
        <f t="shared" si="64"/>
        <v>-1</v>
      </c>
      <c r="W120" s="209">
        <f t="shared" si="65"/>
        <v>0</v>
      </c>
      <c r="X120" s="209">
        <f t="shared" si="66"/>
        <v>0</v>
      </c>
      <c r="Y120" s="209">
        <f t="shared" si="67"/>
        <v>0</v>
      </c>
      <c r="Z120" s="209">
        <f t="shared" si="68"/>
        <v>0</v>
      </c>
      <c r="AA120" s="205">
        <f t="shared" si="69"/>
        <v>0</v>
      </c>
      <c r="AB120" s="209">
        <f t="shared" si="70"/>
        <v>0</v>
      </c>
      <c r="AC120" s="205">
        <f t="shared" si="71"/>
        <v>0</v>
      </c>
      <c r="AD120" s="210">
        <f t="shared" si="72"/>
        <v>0.10277777777810115</v>
      </c>
      <c r="AE120" s="210">
        <f t="shared" si="73"/>
        <v>0</v>
      </c>
      <c r="AF120" s="210">
        <f t="shared" si="74"/>
        <v>0.10277777777810115</v>
      </c>
      <c r="AG120" s="210">
        <f t="shared" si="75"/>
        <v>0</v>
      </c>
    </row>
    <row r="121" spans="2:33" ht="15" customHeight="1" x14ac:dyDescent="0.3">
      <c r="B121" s="196" t="s">
        <v>7</v>
      </c>
      <c r="C121" s="197" t="s">
        <v>13</v>
      </c>
      <c r="D121" s="198" t="str">
        <f t="shared" si="57"/>
        <v>C</v>
      </c>
      <c r="E121" s="199">
        <v>44683.90625</v>
      </c>
      <c r="F121" s="200" t="s">
        <v>115</v>
      </c>
      <c r="G121" s="201">
        <v>162.35499999999999</v>
      </c>
      <c r="H121" s="201">
        <v>162.988</v>
      </c>
      <c r="I121" s="202">
        <f t="shared" si="58"/>
        <v>0.63300000000000978</v>
      </c>
      <c r="J121" s="201">
        <v>160.54599999999999</v>
      </c>
      <c r="K121" s="199">
        <v>44684.313888888886</v>
      </c>
      <c r="L121" s="201">
        <v>162.988</v>
      </c>
      <c r="M121" s="203">
        <f t="shared" si="59"/>
        <v>-0.63300000000000001</v>
      </c>
      <c r="N121" s="204">
        <f t="shared" si="60"/>
        <v>-1</v>
      </c>
      <c r="O121" s="205">
        <f t="shared" si="61"/>
        <v>0</v>
      </c>
      <c r="P121" s="206">
        <f t="shared" si="62"/>
        <v>0</v>
      </c>
      <c r="Q121" s="206">
        <f t="shared" si="63"/>
        <v>-1</v>
      </c>
      <c r="R12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12326</v>
      </c>
      <c r="T12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21" s="208">
        <f ca="1">IF(Tabla33610673486[[#This Row],[Equity]]&lt;Tabla33610673486[[#This Row],[Equity Peak]],(Tabla33610673486[[#This Row],[Equity Peak]]-Tabla33610673486[[#This Row],[Equity]])/Tabla33610673486[[#This Row],[Equity Peak]],"")</f>
        <v>8.0476420408820224E-3</v>
      </c>
      <c r="V121" s="209">
        <f t="shared" si="64"/>
        <v>-1</v>
      </c>
      <c r="W121" s="209">
        <f t="shared" si="65"/>
        <v>0</v>
      </c>
      <c r="X121" s="209">
        <f t="shared" si="66"/>
        <v>0</v>
      </c>
      <c r="Y121" s="209">
        <f t="shared" si="67"/>
        <v>0</v>
      </c>
      <c r="Z121" s="209">
        <f t="shared" si="68"/>
        <v>0</v>
      </c>
      <c r="AA121" s="205">
        <f t="shared" si="69"/>
        <v>0</v>
      </c>
      <c r="AB121" s="209">
        <f t="shared" si="70"/>
        <v>0</v>
      </c>
      <c r="AC121" s="205">
        <f t="shared" si="71"/>
        <v>0</v>
      </c>
      <c r="AD121" s="210">
        <f t="shared" si="72"/>
        <v>0.40763888888614019</v>
      </c>
      <c r="AE121" s="210">
        <f t="shared" si="73"/>
        <v>0</v>
      </c>
      <c r="AF121" s="210">
        <f t="shared" si="74"/>
        <v>0.40763888888614019</v>
      </c>
      <c r="AG121" s="210">
        <f t="shared" si="75"/>
        <v>0</v>
      </c>
    </row>
    <row r="122" spans="2:33" ht="15" customHeight="1" x14ac:dyDescent="0.3">
      <c r="B122" s="196" t="s">
        <v>7</v>
      </c>
      <c r="C122" s="197" t="s">
        <v>15</v>
      </c>
      <c r="D122" s="198" t="str">
        <f t="shared" si="57"/>
        <v>C</v>
      </c>
      <c r="E122" s="199">
        <v>44679.166666666664</v>
      </c>
      <c r="F122" s="200" t="s">
        <v>115</v>
      </c>
      <c r="G122" s="201">
        <v>161.441</v>
      </c>
      <c r="H122" s="201">
        <v>160.76400000000001</v>
      </c>
      <c r="I122" s="202">
        <f t="shared" si="58"/>
        <v>0.6769999999999925</v>
      </c>
      <c r="J122" s="201">
        <v>163.376</v>
      </c>
      <c r="K122" s="199">
        <v>44679.411111111112</v>
      </c>
      <c r="L122" s="201">
        <v>163.376</v>
      </c>
      <c r="M122" s="203">
        <f t="shared" si="59"/>
        <v>1.9350000000000001</v>
      </c>
      <c r="N122" s="204">
        <f t="shared" si="60"/>
        <v>2.86</v>
      </c>
      <c r="O122" s="205">
        <f t="shared" si="61"/>
        <v>0</v>
      </c>
      <c r="P122" s="206">
        <f t="shared" si="62"/>
        <v>2.86</v>
      </c>
      <c r="Q122" s="206">
        <f t="shared" si="63"/>
        <v>0</v>
      </c>
      <c r="R12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12426</v>
      </c>
      <c r="T12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12426</v>
      </c>
      <c r="U122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2" s="209">
        <f t="shared" si="64"/>
        <v>2.86</v>
      </c>
      <c r="W122" s="209">
        <f t="shared" si="65"/>
        <v>0</v>
      </c>
      <c r="X122" s="209">
        <f t="shared" si="66"/>
        <v>0</v>
      </c>
      <c r="Y122" s="209">
        <f t="shared" si="67"/>
        <v>0</v>
      </c>
      <c r="Z122" s="209">
        <f t="shared" si="68"/>
        <v>0</v>
      </c>
      <c r="AA122" s="205">
        <f t="shared" si="69"/>
        <v>0</v>
      </c>
      <c r="AB122" s="209">
        <f t="shared" si="70"/>
        <v>0</v>
      </c>
      <c r="AC122" s="205">
        <f t="shared" si="71"/>
        <v>0</v>
      </c>
      <c r="AD122" s="210">
        <f t="shared" si="72"/>
        <v>0.24444444444816327</v>
      </c>
      <c r="AE122" s="210">
        <f t="shared" si="73"/>
        <v>0.24444444444816327</v>
      </c>
      <c r="AF122" s="210">
        <f t="shared" si="74"/>
        <v>0</v>
      </c>
      <c r="AG122" s="210">
        <f t="shared" si="75"/>
        <v>0</v>
      </c>
    </row>
    <row r="123" spans="2:33" ht="15" customHeight="1" x14ac:dyDescent="0.3">
      <c r="B123" s="196" t="s">
        <v>7</v>
      </c>
      <c r="C123" s="197" t="s">
        <v>13</v>
      </c>
      <c r="D123" s="198" t="str">
        <f t="shared" si="57"/>
        <v>C</v>
      </c>
      <c r="E123" s="199">
        <v>44677.604166666664</v>
      </c>
      <c r="F123" s="200" t="s">
        <v>115</v>
      </c>
      <c r="G123" s="201">
        <v>161.97900000000001</v>
      </c>
      <c r="H123" s="201">
        <v>162.721</v>
      </c>
      <c r="I123" s="202">
        <f t="shared" si="58"/>
        <v>0.74199999999999022</v>
      </c>
      <c r="J123" s="201">
        <v>159.86000000000001</v>
      </c>
      <c r="K123" s="199">
        <v>44678.042361111111</v>
      </c>
      <c r="L123" s="201">
        <v>159.86000000000001</v>
      </c>
      <c r="M123" s="203">
        <f t="shared" si="59"/>
        <v>2.1190000000000002</v>
      </c>
      <c r="N123" s="204">
        <f t="shared" si="60"/>
        <v>2.86</v>
      </c>
      <c r="O123" s="205">
        <f t="shared" si="61"/>
        <v>0</v>
      </c>
      <c r="P123" s="206">
        <f t="shared" si="62"/>
        <v>2.86</v>
      </c>
      <c r="Q123" s="206">
        <f t="shared" si="63"/>
        <v>0</v>
      </c>
      <c r="R12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12140</v>
      </c>
      <c r="T12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12140</v>
      </c>
      <c r="U123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3" s="209">
        <f t="shared" si="64"/>
        <v>2.86</v>
      </c>
      <c r="W123" s="209">
        <f t="shared" si="65"/>
        <v>0</v>
      </c>
      <c r="X123" s="209">
        <f t="shared" si="66"/>
        <v>0</v>
      </c>
      <c r="Y123" s="209">
        <f t="shared" si="67"/>
        <v>0</v>
      </c>
      <c r="Z123" s="209">
        <f t="shared" si="68"/>
        <v>0</v>
      </c>
      <c r="AA123" s="205">
        <f t="shared" si="69"/>
        <v>0</v>
      </c>
      <c r="AB123" s="209">
        <f t="shared" si="70"/>
        <v>0</v>
      </c>
      <c r="AC123" s="205">
        <f t="shared" si="71"/>
        <v>0</v>
      </c>
      <c r="AD123" s="210">
        <f t="shared" si="72"/>
        <v>0.43819444444670808</v>
      </c>
      <c r="AE123" s="210">
        <f t="shared" si="73"/>
        <v>0.43819444444670808</v>
      </c>
      <c r="AF123" s="210">
        <f t="shared" si="74"/>
        <v>0</v>
      </c>
      <c r="AG123" s="210">
        <f t="shared" si="75"/>
        <v>0</v>
      </c>
    </row>
    <row r="124" spans="2:33" ht="15" customHeight="1" x14ac:dyDescent="0.3">
      <c r="B124" s="196" t="s">
        <v>7</v>
      </c>
      <c r="C124" s="197" t="s">
        <v>13</v>
      </c>
      <c r="D124" s="198" t="str">
        <f t="shared" si="57"/>
        <v>C</v>
      </c>
      <c r="E124" s="199">
        <v>44673.385416666664</v>
      </c>
      <c r="F124" s="200" t="s">
        <v>115</v>
      </c>
      <c r="G124" s="201">
        <v>166.57</v>
      </c>
      <c r="H124" s="201">
        <v>167.125</v>
      </c>
      <c r="I124" s="202">
        <f t="shared" si="58"/>
        <v>0.55500000000000682</v>
      </c>
      <c r="J124" s="201">
        <v>164.98500000000001</v>
      </c>
      <c r="K124" s="199">
        <v>44673.696527777778</v>
      </c>
      <c r="L124" s="201">
        <v>164.98500000000001</v>
      </c>
      <c r="M124" s="203">
        <f t="shared" si="59"/>
        <v>1.585</v>
      </c>
      <c r="N124" s="204">
        <f t="shared" si="60"/>
        <v>2.86</v>
      </c>
      <c r="O124" s="205">
        <f t="shared" si="61"/>
        <v>0</v>
      </c>
      <c r="P124" s="206">
        <f t="shared" si="62"/>
        <v>2.86</v>
      </c>
      <c r="Q124" s="206">
        <f t="shared" si="63"/>
        <v>0</v>
      </c>
      <c r="R12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11854</v>
      </c>
      <c r="T12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11854</v>
      </c>
      <c r="U124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4" s="209">
        <f t="shared" si="64"/>
        <v>2.86</v>
      </c>
      <c r="W124" s="209">
        <f t="shared" si="65"/>
        <v>0</v>
      </c>
      <c r="X124" s="209">
        <f t="shared" si="66"/>
        <v>0</v>
      </c>
      <c r="Y124" s="209">
        <f t="shared" si="67"/>
        <v>0</v>
      </c>
      <c r="Z124" s="209">
        <f t="shared" si="68"/>
        <v>0</v>
      </c>
      <c r="AA124" s="205">
        <f t="shared" si="69"/>
        <v>0</v>
      </c>
      <c r="AB124" s="209">
        <f t="shared" si="70"/>
        <v>0</v>
      </c>
      <c r="AC124" s="205">
        <f t="shared" si="71"/>
        <v>0</v>
      </c>
      <c r="AD124" s="210">
        <f t="shared" si="72"/>
        <v>0.31111111111385981</v>
      </c>
      <c r="AE124" s="210">
        <f t="shared" si="73"/>
        <v>0.31111111111385981</v>
      </c>
      <c r="AF124" s="210">
        <f t="shared" si="74"/>
        <v>0</v>
      </c>
      <c r="AG124" s="210">
        <f t="shared" si="75"/>
        <v>0</v>
      </c>
    </row>
    <row r="125" spans="2:33" ht="15" customHeight="1" x14ac:dyDescent="0.3">
      <c r="B125" s="196" t="s">
        <v>7</v>
      </c>
      <c r="C125" s="197" t="s">
        <v>15</v>
      </c>
      <c r="D125" s="198" t="str">
        <f t="shared" si="57"/>
        <v>C</v>
      </c>
      <c r="E125" s="199">
        <v>44672.78125</v>
      </c>
      <c r="F125" s="200" t="s">
        <v>115</v>
      </c>
      <c r="G125" s="201">
        <v>167.89</v>
      </c>
      <c r="H125" s="201">
        <v>167.208</v>
      </c>
      <c r="I125" s="202">
        <f t="shared" si="58"/>
        <v>0.68199999999998795</v>
      </c>
      <c r="J125" s="201">
        <v>169.83799999999999</v>
      </c>
      <c r="K125" s="199">
        <v>44672.87222222222</v>
      </c>
      <c r="L125" s="201">
        <v>167.208</v>
      </c>
      <c r="M125" s="203">
        <f t="shared" si="59"/>
        <v>-0.68200000000000005</v>
      </c>
      <c r="N125" s="204">
        <f t="shared" si="60"/>
        <v>-1</v>
      </c>
      <c r="O125" s="205">
        <f t="shared" si="61"/>
        <v>0</v>
      </c>
      <c r="P125" s="206">
        <f t="shared" si="62"/>
        <v>0</v>
      </c>
      <c r="Q125" s="206">
        <f t="shared" si="63"/>
        <v>-1</v>
      </c>
      <c r="R12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11568</v>
      </c>
      <c r="T12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11668</v>
      </c>
      <c r="U125" s="208">
        <f ca="1">IF(Tabla33610673486[[#This Row],[Equity]]&lt;Tabla33610673486[[#This Row],[Equity Peak]],(Tabla33610673486[[#This Row],[Equity Peak]]-Tabla33610673486[[#This Row],[Equity]])/Tabla33610673486[[#This Row],[Equity Peak]],"")</f>
        <v>8.5704490915323971E-3</v>
      </c>
      <c r="V125" s="209">
        <f t="shared" si="64"/>
        <v>-1</v>
      </c>
      <c r="W125" s="209">
        <f t="shared" si="65"/>
        <v>0</v>
      </c>
      <c r="X125" s="209">
        <f t="shared" si="66"/>
        <v>0</v>
      </c>
      <c r="Y125" s="209">
        <f t="shared" si="67"/>
        <v>0</v>
      </c>
      <c r="Z125" s="209">
        <f t="shared" si="68"/>
        <v>0</v>
      </c>
      <c r="AA125" s="205">
        <f t="shared" si="69"/>
        <v>0</v>
      </c>
      <c r="AB125" s="209">
        <f t="shared" si="70"/>
        <v>0</v>
      </c>
      <c r="AC125" s="205">
        <f t="shared" si="71"/>
        <v>0</v>
      </c>
      <c r="AD125" s="210">
        <f t="shared" si="72"/>
        <v>9.0972222220443655E-2</v>
      </c>
      <c r="AE125" s="210">
        <f t="shared" si="73"/>
        <v>0</v>
      </c>
      <c r="AF125" s="210">
        <f t="shared" si="74"/>
        <v>9.0972222220443655E-2</v>
      </c>
      <c r="AG125" s="210">
        <f t="shared" si="75"/>
        <v>0</v>
      </c>
    </row>
    <row r="126" spans="2:33" ht="15" customHeight="1" x14ac:dyDescent="0.3">
      <c r="B126" s="196" t="s">
        <v>7</v>
      </c>
      <c r="C126" s="197" t="s">
        <v>15</v>
      </c>
      <c r="D126" s="198" t="str">
        <f t="shared" si="57"/>
        <v>C</v>
      </c>
      <c r="E126" s="199">
        <v>44670.135416666664</v>
      </c>
      <c r="F126" s="200" t="s">
        <v>115</v>
      </c>
      <c r="G126" s="201">
        <v>165.42500000000001</v>
      </c>
      <c r="H126" s="201">
        <v>165.09800000000001</v>
      </c>
      <c r="I126" s="202">
        <f t="shared" si="58"/>
        <v>0.32699999999999818</v>
      </c>
      <c r="J126" s="201">
        <v>166.358</v>
      </c>
      <c r="K126" s="199">
        <v>44670.276388888888</v>
      </c>
      <c r="L126" s="201">
        <v>166.358</v>
      </c>
      <c r="M126" s="203">
        <f t="shared" si="59"/>
        <v>0.93300000000000005</v>
      </c>
      <c r="N126" s="204">
        <f t="shared" si="60"/>
        <v>2.85</v>
      </c>
      <c r="O126" s="205">
        <f t="shared" si="61"/>
        <v>0</v>
      </c>
      <c r="P126" s="206">
        <f t="shared" si="62"/>
        <v>2.85</v>
      </c>
      <c r="Q126" s="206">
        <f t="shared" si="63"/>
        <v>0</v>
      </c>
      <c r="R12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11668</v>
      </c>
      <c r="T12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11668</v>
      </c>
      <c r="U126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6" s="209">
        <f t="shared" si="64"/>
        <v>2.85</v>
      </c>
      <c r="W126" s="209">
        <f t="shared" si="65"/>
        <v>0</v>
      </c>
      <c r="X126" s="209">
        <f t="shared" si="66"/>
        <v>0</v>
      </c>
      <c r="Y126" s="209">
        <f t="shared" si="67"/>
        <v>0</v>
      </c>
      <c r="Z126" s="209">
        <f t="shared" si="68"/>
        <v>0</v>
      </c>
      <c r="AA126" s="205">
        <f t="shared" si="69"/>
        <v>0</v>
      </c>
      <c r="AB126" s="209">
        <f t="shared" si="70"/>
        <v>0</v>
      </c>
      <c r="AC126" s="205">
        <f t="shared" si="71"/>
        <v>0</v>
      </c>
      <c r="AD126" s="210">
        <f t="shared" si="72"/>
        <v>0.14097222222335404</v>
      </c>
      <c r="AE126" s="210">
        <f t="shared" si="73"/>
        <v>0.14097222222335404</v>
      </c>
      <c r="AF126" s="210">
        <f t="shared" si="74"/>
        <v>0</v>
      </c>
      <c r="AG126" s="210">
        <f t="shared" si="75"/>
        <v>0</v>
      </c>
    </row>
    <row r="127" spans="2:33" ht="15" customHeight="1" x14ac:dyDescent="0.3">
      <c r="B127" s="196" t="s">
        <v>7</v>
      </c>
      <c r="C127" s="197" t="s">
        <v>15</v>
      </c>
      <c r="D127" s="198" t="str">
        <f t="shared" si="57"/>
        <v>C</v>
      </c>
      <c r="E127" s="199">
        <v>44666.114583333336</v>
      </c>
      <c r="F127" s="200" t="s">
        <v>115</v>
      </c>
      <c r="G127" s="201">
        <v>164.87700000000001</v>
      </c>
      <c r="H127" s="201">
        <v>164.42699999999999</v>
      </c>
      <c r="I127" s="202">
        <f t="shared" si="58"/>
        <v>0.45000000000001705</v>
      </c>
      <c r="J127" s="201">
        <v>166.16200000000001</v>
      </c>
      <c r="K127" s="199">
        <v>44669.182638888888</v>
      </c>
      <c r="L127" s="201">
        <v>164.875</v>
      </c>
      <c r="M127" s="203">
        <f t="shared" si="59"/>
        <v>-2E-3</v>
      </c>
      <c r="N127" s="204">
        <f t="shared" si="60"/>
        <v>0</v>
      </c>
      <c r="O127" s="205">
        <f t="shared" si="61"/>
        <v>0</v>
      </c>
      <c r="P127" s="206">
        <f t="shared" si="62"/>
        <v>0</v>
      </c>
      <c r="Q127" s="206">
        <f t="shared" si="63"/>
        <v>0</v>
      </c>
      <c r="R12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11383</v>
      </c>
      <c r="T12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11474</v>
      </c>
      <c r="U127" s="208">
        <f ca="1">IF(Tabla33610673486[[#This Row],[Equity]]&lt;Tabla33610673486[[#This Row],[Equity Peak]],(Tabla33610673486[[#This Row],[Equity Peak]]-Tabla33610673486[[#This Row],[Equity]])/Tabla33610673486[[#This Row],[Equity Peak]],"")</f>
        <v>7.9309743768520135E-3</v>
      </c>
      <c r="V127" s="209">
        <f t="shared" si="64"/>
        <v>0</v>
      </c>
      <c r="W127" s="209">
        <f t="shared" si="65"/>
        <v>0</v>
      </c>
      <c r="X127" s="209">
        <f t="shared" si="66"/>
        <v>0</v>
      </c>
      <c r="Y127" s="209">
        <f t="shared" si="67"/>
        <v>0</v>
      </c>
      <c r="Z127" s="209">
        <f t="shared" si="68"/>
        <v>0</v>
      </c>
      <c r="AA127" s="205">
        <f t="shared" si="69"/>
        <v>0</v>
      </c>
      <c r="AB127" s="209">
        <f t="shared" si="70"/>
        <v>0</v>
      </c>
      <c r="AC127" s="205">
        <f t="shared" si="71"/>
        <v>0</v>
      </c>
      <c r="AD127" s="210">
        <f t="shared" si="72"/>
        <v>3.0680555555518367</v>
      </c>
      <c r="AE127" s="210">
        <f t="shared" si="73"/>
        <v>0</v>
      </c>
      <c r="AF127" s="210">
        <f t="shared" si="74"/>
        <v>0</v>
      </c>
      <c r="AG127" s="210">
        <f t="shared" si="75"/>
        <v>3.0680555555518367</v>
      </c>
    </row>
    <row r="128" spans="2:33" ht="15" customHeight="1" x14ac:dyDescent="0.3">
      <c r="B128" s="196" t="s">
        <v>7</v>
      </c>
      <c r="C128" s="197" t="s">
        <v>15</v>
      </c>
      <c r="D128" s="198" t="str">
        <f t="shared" si="57"/>
        <v>C</v>
      </c>
      <c r="E128" s="199">
        <v>44664.78125</v>
      </c>
      <c r="F128" s="200" t="s">
        <v>115</v>
      </c>
      <c r="G128" s="201">
        <v>164.16399999999999</v>
      </c>
      <c r="H128" s="201">
        <v>163.71100000000001</v>
      </c>
      <c r="I128" s="202">
        <f t="shared" si="58"/>
        <v>0.45299999999997453</v>
      </c>
      <c r="J128" s="201">
        <v>165.46</v>
      </c>
      <c r="K128" s="199">
        <v>44665.713888888888</v>
      </c>
      <c r="L128" s="201">
        <v>164.16200000000001</v>
      </c>
      <c r="M128" s="203">
        <f t="shared" si="59"/>
        <v>-2E-3</v>
      </c>
      <c r="N128" s="204">
        <f t="shared" si="60"/>
        <v>0</v>
      </c>
      <c r="O128" s="205">
        <f t="shared" si="61"/>
        <v>0</v>
      </c>
      <c r="P128" s="206">
        <f t="shared" si="62"/>
        <v>0</v>
      </c>
      <c r="Q128" s="206">
        <f t="shared" si="63"/>
        <v>0</v>
      </c>
      <c r="R12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11383</v>
      </c>
      <c r="T12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11474</v>
      </c>
      <c r="U128" s="208">
        <f ca="1">IF(Tabla33610673486[[#This Row],[Equity]]&lt;Tabla33610673486[[#This Row],[Equity Peak]],(Tabla33610673486[[#This Row],[Equity Peak]]-Tabla33610673486[[#This Row],[Equity]])/Tabla33610673486[[#This Row],[Equity Peak]],"")</f>
        <v>7.9309743768520135E-3</v>
      </c>
      <c r="V128" s="209">
        <f t="shared" si="64"/>
        <v>0</v>
      </c>
      <c r="W128" s="209">
        <f t="shared" si="65"/>
        <v>0</v>
      </c>
      <c r="X128" s="209">
        <f t="shared" si="66"/>
        <v>0</v>
      </c>
      <c r="Y128" s="209">
        <f t="shared" si="67"/>
        <v>0</v>
      </c>
      <c r="Z128" s="209">
        <f t="shared" si="68"/>
        <v>0</v>
      </c>
      <c r="AA128" s="205">
        <f t="shared" si="69"/>
        <v>0</v>
      </c>
      <c r="AB128" s="209">
        <f t="shared" si="70"/>
        <v>0</v>
      </c>
      <c r="AC128" s="205">
        <f t="shared" si="71"/>
        <v>0</v>
      </c>
      <c r="AD128" s="210">
        <f t="shared" si="72"/>
        <v>0.93263888888759539</v>
      </c>
      <c r="AE128" s="210">
        <f t="shared" si="73"/>
        <v>0</v>
      </c>
      <c r="AF128" s="210">
        <f t="shared" si="74"/>
        <v>0</v>
      </c>
      <c r="AG128" s="210">
        <f t="shared" si="75"/>
        <v>0.93263888888759539</v>
      </c>
    </row>
    <row r="129" spans="2:33" ht="15" customHeight="1" x14ac:dyDescent="0.3">
      <c r="B129" s="196" t="s">
        <v>7</v>
      </c>
      <c r="C129" s="197" t="s">
        <v>15</v>
      </c>
      <c r="D129" s="198" t="str">
        <f t="shared" si="57"/>
        <v>C</v>
      </c>
      <c r="E129" s="199">
        <v>44664.395833333336</v>
      </c>
      <c r="F129" s="200" t="s">
        <v>115</v>
      </c>
      <c r="G129" s="201">
        <v>163.90199999999999</v>
      </c>
      <c r="H129" s="201">
        <v>163.51400000000001</v>
      </c>
      <c r="I129" s="202">
        <f t="shared" si="58"/>
        <v>0.38799999999997681</v>
      </c>
      <c r="J129" s="201">
        <v>165.011</v>
      </c>
      <c r="K129" s="199">
        <v>44664.619444444441</v>
      </c>
      <c r="L129" s="201">
        <v>163.547</v>
      </c>
      <c r="M129" s="203">
        <f t="shared" si="59"/>
        <v>-0.35499999999999998</v>
      </c>
      <c r="N129" s="204">
        <f t="shared" si="60"/>
        <v>-0.91</v>
      </c>
      <c r="O129" s="205">
        <f t="shared" si="61"/>
        <v>0</v>
      </c>
      <c r="P129" s="206">
        <f t="shared" si="62"/>
        <v>0</v>
      </c>
      <c r="Q129" s="206">
        <f t="shared" si="63"/>
        <v>-0.91</v>
      </c>
      <c r="R12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11383</v>
      </c>
      <c r="T12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11474</v>
      </c>
      <c r="U129" s="208">
        <f ca="1">IF(Tabla33610673486[[#This Row],[Equity]]&lt;Tabla33610673486[[#This Row],[Equity Peak]],(Tabla33610673486[[#This Row],[Equity Peak]]-Tabla33610673486[[#This Row],[Equity]])/Tabla33610673486[[#This Row],[Equity Peak]],"")</f>
        <v>7.9309743768520135E-3</v>
      </c>
      <c r="V129" s="209">
        <f t="shared" si="64"/>
        <v>-0.91</v>
      </c>
      <c r="W129" s="209">
        <f t="shared" si="65"/>
        <v>0</v>
      </c>
      <c r="X129" s="209">
        <f t="shared" si="66"/>
        <v>0</v>
      </c>
      <c r="Y129" s="209">
        <f t="shared" si="67"/>
        <v>0</v>
      </c>
      <c r="Z129" s="209">
        <f t="shared" si="68"/>
        <v>0</v>
      </c>
      <c r="AA129" s="205">
        <f t="shared" si="69"/>
        <v>0</v>
      </c>
      <c r="AB129" s="209">
        <f t="shared" si="70"/>
        <v>0</v>
      </c>
      <c r="AC129" s="205">
        <f t="shared" si="71"/>
        <v>0</v>
      </c>
      <c r="AD129" s="210">
        <f t="shared" si="72"/>
        <v>0.22361111110512866</v>
      </c>
      <c r="AE129" s="210">
        <f t="shared" si="73"/>
        <v>0</v>
      </c>
      <c r="AF129" s="210">
        <f t="shared" si="74"/>
        <v>0.22361111110512866</v>
      </c>
      <c r="AG129" s="210">
        <f t="shared" si="75"/>
        <v>0</v>
      </c>
    </row>
    <row r="130" spans="2:33" ht="15" customHeight="1" x14ac:dyDescent="0.3">
      <c r="B130" s="196" t="s">
        <v>7</v>
      </c>
      <c r="C130" s="197" t="s">
        <v>15</v>
      </c>
      <c r="D130" s="198" t="str">
        <f t="shared" si="57"/>
        <v>C</v>
      </c>
      <c r="E130" s="199">
        <v>44662.1875</v>
      </c>
      <c r="F130" s="200" t="s">
        <v>115</v>
      </c>
      <c r="G130" s="201">
        <v>162.47300000000001</v>
      </c>
      <c r="H130" s="201">
        <v>162.06899999999999</v>
      </c>
      <c r="I130" s="202">
        <f t="shared" si="58"/>
        <v>0.40400000000002478</v>
      </c>
      <c r="J130" s="201">
        <v>163.62700000000001</v>
      </c>
      <c r="K130" s="199">
        <v>44662.540277777778</v>
      </c>
      <c r="L130" s="201">
        <v>163.62700000000001</v>
      </c>
      <c r="M130" s="203">
        <f t="shared" si="59"/>
        <v>1.1539999999999999</v>
      </c>
      <c r="N130" s="204">
        <f t="shared" si="60"/>
        <v>2.86</v>
      </c>
      <c r="O130" s="205">
        <f t="shared" si="61"/>
        <v>0</v>
      </c>
      <c r="P130" s="206">
        <f t="shared" si="62"/>
        <v>2.86</v>
      </c>
      <c r="Q130" s="206">
        <f t="shared" si="63"/>
        <v>0</v>
      </c>
      <c r="R13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11474</v>
      </c>
      <c r="T13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11474</v>
      </c>
      <c r="U13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30" s="209">
        <f t="shared" si="64"/>
        <v>2.86</v>
      </c>
      <c r="W130" s="209">
        <f t="shared" si="65"/>
        <v>0</v>
      </c>
      <c r="X130" s="209">
        <f t="shared" si="66"/>
        <v>0</v>
      </c>
      <c r="Y130" s="209">
        <f t="shared" si="67"/>
        <v>0</v>
      </c>
      <c r="Z130" s="209">
        <f t="shared" si="68"/>
        <v>0</v>
      </c>
      <c r="AA130" s="205">
        <f t="shared" si="69"/>
        <v>0</v>
      </c>
      <c r="AB130" s="209">
        <f t="shared" si="70"/>
        <v>0</v>
      </c>
      <c r="AC130" s="205">
        <f t="shared" si="71"/>
        <v>0</v>
      </c>
      <c r="AD130" s="210">
        <f t="shared" si="72"/>
        <v>0.35277777777810115</v>
      </c>
      <c r="AE130" s="210">
        <f t="shared" si="73"/>
        <v>0.35277777777810115</v>
      </c>
      <c r="AF130" s="210">
        <f t="shared" si="74"/>
        <v>0</v>
      </c>
      <c r="AG130" s="210">
        <f t="shared" si="75"/>
        <v>0</v>
      </c>
    </row>
    <row r="131" spans="2:33" ht="15" customHeight="1" x14ac:dyDescent="0.3">
      <c r="B131" s="196" t="s">
        <v>7</v>
      </c>
      <c r="C131" s="197" t="s">
        <v>15</v>
      </c>
      <c r="D131" s="198" t="str">
        <f t="shared" si="57"/>
        <v>C</v>
      </c>
      <c r="E131" s="199">
        <v>44659.072916666664</v>
      </c>
      <c r="F131" s="200" t="s">
        <v>115</v>
      </c>
      <c r="G131" s="201">
        <v>162.28299999999999</v>
      </c>
      <c r="H131" s="201">
        <v>161.84700000000001</v>
      </c>
      <c r="I131" s="202">
        <f t="shared" si="58"/>
        <v>0.43599999999997863</v>
      </c>
      <c r="J131" s="201">
        <v>163.52799999999999</v>
      </c>
      <c r="K131" s="199">
        <v>44659.144444444442</v>
      </c>
      <c r="L131" s="201">
        <v>161.84700000000001</v>
      </c>
      <c r="M131" s="203">
        <f t="shared" si="59"/>
        <v>-0.436</v>
      </c>
      <c r="N131" s="204">
        <f t="shared" si="60"/>
        <v>-1</v>
      </c>
      <c r="O131" s="205">
        <f t="shared" si="61"/>
        <v>0</v>
      </c>
      <c r="P131" s="206">
        <f t="shared" si="62"/>
        <v>0</v>
      </c>
      <c r="Q131" s="206">
        <f t="shared" si="63"/>
        <v>-1</v>
      </c>
      <c r="R13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11188</v>
      </c>
      <c r="T13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11423</v>
      </c>
      <c r="U131" s="208">
        <f ca="1">IF(Tabla33610673486[[#This Row],[Equity]]&lt;Tabla33610673486[[#This Row],[Equity Peak]],(Tabla33610673486[[#This Row],[Equity Peak]]-Tabla33610673486[[#This Row],[Equity]])/Tabla33610673486[[#This Row],[Equity Peak]],"")</f>
        <v>2.0572529107940121E-2</v>
      </c>
      <c r="V131" s="209">
        <f t="shared" si="64"/>
        <v>-1</v>
      </c>
      <c r="W131" s="209">
        <f t="shared" si="65"/>
        <v>0</v>
      </c>
      <c r="X131" s="209">
        <f t="shared" si="66"/>
        <v>0</v>
      </c>
      <c r="Y131" s="209">
        <f t="shared" si="67"/>
        <v>0</v>
      </c>
      <c r="Z131" s="209">
        <f t="shared" si="68"/>
        <v>0</v>
      </c>
      <c r="AA131" s="205">
        <f t="shared" si="69"/>
        <v>0</v>
      </c>
      <c r="AB131" s="209">
        <f t="shared" si="70"/>
        <v>0</v>
      </c>
      <c r="AC131" s="205">
        <f t="shared" si="71"/>
        <v>0</v>
      </c>
      <c r="AD131" s="210">
        <f t="shared" si="72"/>
        <v>7.1527777778101154E-2</v>
      </c>
      <c r="AE131" s="210">
        <f t="shared" si="73"/>
        <v>0</v>
      </c>
      <c r="AF131" s="210">
        <f t="shared" si="74"/>
        <v>7.1527777778101154E-2</v>
      </c>
      <c r="AG131" s="210">
        <f t="shared" si="75"/>
        <v>0</v>
      </c>
    </row>
    <row r="132" spans="2:33" ht="15" customHeight="1" x14ac:dyDescent="0.3">
      <c r="B132" s="196" t="s">
        <v>7</v>
      </c>
      <c r="C132" s="197" t="s">
        <v>15</v>
      </c>
      <c r="D132" s="198" t="str">
        <f t="shared" si="57"/>
        <v>C</v>
      </c>
      <c r="E132" s="199">
        <v>44656.4375</v>
      </c>
      <c r="F132" s="200" t="s">
        <v>115</v>
      </c>
      <c r="G132" s="201">
        <v>161.32</v>
      </c>
      <c r="H132" s="201">
        <v>160.911</v>
      </c>
      <c r="I132" s="202">
        <f t="shared" si="58"/>
        <v>0.40899999999999181</v>
      </c>
      <c r="J132" s="201">
        <v>162.488</v>
      </c>
      <c r="K132" s="199">
        <v>44658.009027777778</v>
      </c>
      <c r="L132" s="201">
        <v>161.58799999999999</v>
      </c>
      <c r="M132" s="203">
        <f t="shared" si="59"/>
        <v>0.26800000000000002</v>
      </c>
      <c r="N132" s="204">
        <f t="shared" si="60"/>
        <v>0.66</v>
      </c>
      <c r="O132" s="205">
        <f t="shared" si="61"/>
        <v>0</v>
      </c>
      <c r="P132" s="206">
        <f t="shared" si="62"/>
        <v>0.66</v>
      </c>
      <c r="Q132" s="206">
        <f t="shared" si="63"/>
        <v>0</v>
      </c>
      <c r="R13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11288</v>
      </c>
      <c r="T13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11423</v>
      </c>
      <c r="U132" s="208">
        <f ca="1">IF(Tabla33610673486[[#This Row],[Equity]]&lt;Tabla33610673486[[#This Row],[Equity Peak]],(Tabla33610673486[[#This Row],[Equity Peak]]-Tabla33610673486[[#This Row],[Equity]])/Tabla33610673486[[#This Row],[Equity Peak]],"")</f>
        <v>1.1818261402433687E-2</v>
      </c>
      <c r="V132" s="209">
        <f t="shared" si="64"/>
        <v>0.66</v>
      </c>
      <c r="W132" s="209">
        <f t="shared" si="65"/>
        <v>0</v>
      </c>
      <c r="X132" s="209">
        <f t="shared" si="66"/>
        <v>0</v>
      </c>
      <c r="Y132" s="209">
        <f t="shared" si="67"/>
        <v>0</v>
      </c>
      <c r="Z132" s="209">
        <f t="shared" si="68"/>
        <v>0</v>
      </c>
      <c r="AA132" s="205">
        <f t="shared" si="69"/>
        <v>0</v>
      </c>
      <c r="AB132" s="209">
        <f t="shared" si="70"/>
        <v>0</v>
      </c>
      <c r="AC132" s="205">
        <f t="shared" si="71"/>
        <v>0</v>
      </c>
      <c r="AD132" s="210">
        <f t="shared" si="72"/>
        <v>1.5715277777781012</v>
      </c>
      <c r="AE132" s="210">
        <f t="shared" si="73"/>
        <v>1.5715277777781012</v>
      </c>
      <c r="AF132" s="210">
        <f t="shared" si="74"/>
        <v>0</v>
      </c>
      <c r="AG132" s="210">
        <f t="shared" si="75"/>
        <v>0</v>
      </c>
    </row>
    <row r="133" spans="2:33" ht="15" customHeight="1" x14ac:dyDescent="0.3">
      <c r="B133" s="196" t="s">
        <v>7</v>
      </c>
      <c r="C133" s="197" t="s">
        <v>15</v>
      </c>
      <c r="D133" s="198" t="str">
        <f t="shared" si="57"/>
        <v>C</v>
      </c>
      <c r="E133" s="199">
        <v>44655.71875</v>
      </c>
      <c r="F133" s="200" t="s">
        <v>115</v>
      </c>
      <c r="G133" s="201">
        <v>161.215</v>
      </c>
      <c r="H133" s="201">
        <v>160.708</v>
      </c>
      <c r="I133" s="202">
        <f t="shared" si="58"/>
        <v>0.507000000000005</v>
      </c>
      <c r="J133" s="201">
        <v>162.66300000000001</v>
      </c>
      <c r="K133" s="199">
        <v>44656.156944444447</v>
      </c>
      <c r="L133" s="201">
        <v>160.708</v>
      </c>
      <c r="M133" s="203">
        <f t="shared" si="59"/>
        <v>-0.50700000000000001</v>
      </c>
      <c r="N133" s="204">
        <f t="shared" si="60"/>
        <v>-1</v>
      </c>
      <c r="O133" s="205">
        <f t="shared" si="61"/>
        <v>0</v>
      </c>
      <c r="P133" s="206">
        <f t="shared" si="62"/>
        <v>0</v>
      </c>
      <c r="Q133" s="206">
        <f t="shared" si="63"/>
        <v>-1</v>
      </c>
      <c r="R13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11222</v>
      </c>
      <c r="T13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11423</v>
      </c>
      <c r="U133" s="208">
        <f ca="1">IF(Tabla33610673486[[#This Row],[Equity]]&lt;Tabla33610673486[[#This Row],[Equity Peak]],(Tabla33610673486[[#This Row],[Equity Peak]]-Tabla33610673486[[#This Row],[Equity]])/Tabla33610673486[[#This Row],[Equity Peak]],"")</f>
        <v>1.7596078088067933E-2</v>
      </c>
      <c r="V133" s="209">
        <f t="shared" si="64"/>
        <v>-1</v>
      </c>
      <c r="W133" s="209">
        <f t="shared" si="65"/>
        <v>0</v>
      </c>
      <c r="X133" s="209">
        <f t="shared" si="66"/>
        <v>0</v>
      </c>
      <c r="Y133" s="209">
        <f t="shared" si="67"/>
        <v>0</v>
      </c>
      <c r="Z133" s="209">
        <f t="shared" si="68"/>
        <v>0</v>
      </c>
      <c r="AA133" s="205">
        <f t="shared" si="69"/>
        <v>0</v>
      </c>
      <c r="AB133" s="209">
        <f t="shared" si="70"/>
        <v>0</v>
      </c>
      <c r="AC133" s="205">
        <f t="shared" si="71"/>
        <v>0</v>
      </c>
      <c r="AD133" s="210">
        <f t="shared" si="72"/>
        <v>0.43819444444670808</v>
      </c>
      <c r="AE133" s="210">
        <f t="shared" si="73"/>
        <v>0</v>
      </c>
      <c r="AF133" s="210">
        <f t="shared" si="74"/>
        <v>0.43819444444670808</v>
      </c>
      <c r="AG133" s="210">
        <f t="shared" si="75"/>
        <v>0</v>
      </c>
    </row>
    <row r="134" spans="2:33" ht="15" customHeight="1" x14ac:dyDescent="0.3">
      <c r="B134" s="196" t="s">
        <v>7</v>
      </c>
      <c r="C134" s="197" t="s">
        <v>15</v>
      </c>
      <c r="D134" s="198" t="str">
        <f t="shared" si="57"/>
        <v>C</v>
      </c>
      <c r="E134" s="199">
        <v>44652.25</v>
      </c>
      <c r="F134" s="200" t="s">
        <v>115</v>
      </c>
      <c r="G134" s="201">
        <v>160.983</v>
      </c>
      <c r="H134" s="201">
        <v>160.375</v>
      </c>
      <c r="I134" s="202">
        <f t="shared" si="58"/>
        <v>0.60800000000000409</v>
      </c>
      <c r="J134" s="201">
        <v>162.71899999999999</v>
      </c>
      <c r="K134" s="199">
        <v>44652.850694444445</v>
      </c>
      <c r="L134" s="201">
        <v>160.39699999999999</v>
      </c>
      <c r="M134" s="203">
        <f t="shared" si="59"/>
        <v>-0.58599999999999997</v>
      </c>
      <c r="N134" s="204">
        <f t="shared" si="60"/>
        <v>-0.96</v>
      </c>
      <c r="O134" s="205">
        <f t="shared" si="61"/>
        <v>0</v>
      </c>
      <c r="P134" s="206">
        <f t="shared" si="62"/>
        <v>0</v>
      </c>
      <c r="Q134" s="206">
        <f t="shared" si="63"/>
        <v>-0.96</v>
      </c>
      <c r="R13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11322</v>
      </c>
      <c r="T13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11423</v>
      </c>
      <c r="U134" s="208">
        <f ca="1">IF(Tabla33610673486[[#This Row],[Equity]]&lt;Tabla33610673486[[#This Row],[Equity Peak]],(Tabla33610673486[[#This Row],[Equity Peak]]-Tabla33610673486[[#This Row],[Equity]])/Tabla33610673486[[#This Row],[Equity Peak]],"")</f>
        <v>8.8418103825614984E-3</v>
      </c>
      <c r="V134" s="209">
        <f t="shared" si="64"/>
        <v>-0.96</v>
      </c>
      <c r="W134" s="209">
        <f t="shared" si="65"/>
        <v>0</v>
      </c>
      <c r="X134" s="209">
        <f t="shared" si="66"/>
        <v>0</v>
      </c>
      <c r="Y134" s="209">
        <f t="shared" si="67"/>
        <v>0</v>
      </c>
      <c r="Z134" s="209">
        <f t="shared" si="68"/>
        <v>0</v>
      </c>
      <c r="AA134" s="205">
        <f t="shared" si="69"/>
        <v>0</v>
      </c>
      <c r="AB134" s="209">
        <f t="shared" si="70"/>
        <v>0</v>
      </c>
      <c r="AC134" s="205">
        <f t="shared" si="71"/>
        <v>0</v>
      </c>
      <c r="AD134" s="210">
        <f t="shared" si="72"/>
        <v>0.60069444444525288</v>
      </c>
      <c r="AE134" s="210">
        <f t="shared" si="73"/>
        <v>0</v>
      </c>
      <c r="AF134" s="210">
        <f t="shared" si="74"/>
        <v>0.60069444444525288</v>
      </c>
      <c r="AG134" s="210">
        <f t="shared" si="75"/>
        <v>0</v>
      </c>
    </row>
    <row r="135" spans="2:33" ht="15" customHeight="1" x14ac:dyDescent="0.3">
      <c r="B135" s="196" t="s">
        <v>7</v>
      </c>
      <c r="C135" s="197" t="s">
        <v>13</v>
      </c>
      <c r="D135" s="198" t="str">
        <f t="shared" si="57"/>
        <v>C</v>
      </c>
      <c r="E135" s="199">
        <v>44649.708333333336</v>
      </c>
      <c r="F135" s="200" t="s">
        <v>115</v>
      </c>
      <c r="G135" s="201">
        <v>160.577</v>
      </c>
      <c r="H135" s="201">
        <v>161.524</v>
      </c>
      <c r="I135" s="202">
        <f t="shared" si="58"/>
        <v>0.94700000000000273</v>
      </c>
      <c r="J135" s="201">
        <v>157.87200000000001</v>
      </c>
      <c r="K135" s="199">
        <v>44650.681250000001</v>
      </c>
      <c r="L135" s="201">
        <v>160.62700000000001</v>
      </c>
      <c r="M135" s="203">
        <f t="shared" si="59"/>
        <v>-0.05</v>
      </c>
      <c r="N135" s="204">
        <f t="shared" si="60"/>
        <v>-0.05</v>
      </c>
      <c r="O135" s="205">
        <f t="shared" si="61"/>
        <v>0</v>
      </c>
      <c r="P135" s="206">
        <f t="shared" si="62"/>
        <v>0</v>
      </c>
      <c r="Q135" s="206">
        <f t="shared" si="63"/>
        <v>-0.05</v>
      </c>
      <c r="R13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11418</v>
      </c>
      <c r="T13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11423</v>
      </c>
      <c r="U135" s="208">
        <f ca="1">IF(Tabla33610673486[[#This Row],[Equity]]&lt;Tabla33610673486[[#This Row],[Equity Peak]],(Tabla33610673486[[#This Row],[Equity Peak]]-Tabla33610673486[[#This Row],[Equity]])/Tabla33610673486[[#This Row],[Equity Peak]],"")</f>
        <v>4.3771338527532174E-4</v>
      </c>
      <c r="V135" s="209">
        <f t="shared" si="64"/>
        <v>-0.05</v>
      </c>
      <c r="W135" s="209">
        <f t="shared" si="65"/>
        <v>0</v>
      </c>
      <c r="X135" s="209">
        <f t="shared" si="66"/>
        <v>0</v>
      </c>
      <c r="Y135" s="209">
        <f t="shared" si="67"/>
        <v>0</v>
      </c>
      <c r="Z135" s="209">
        <f t="shared" si="68"/>
        <v>0</v>
      </c>
      <c r="AA135" s="205">
        <f t="shared" si="69"/>
        <v>0</v>
      </c>
      <c r="AB135" s="209">
        <f t="shared" si="70"/>
        <v>0</v>
      </c>
      <c r="AC135" s="205">
        <f t="shared" si="71"/>
        <v>0</v>
      </c>
      <c r="AD135" s="210">
        <f t="shared" si="72"/>
        <v>0.97291666666569654</v>
      </c>
      <c r="AE135" s="210">
        <f t="shared" si="73"/>
        <v>0</v>
      </c>
      <c r="AF135" s="210">
        <f t="shared" si="74"/>
        <v>0.97291666666569654</v>
      </c>
      <c r="AG135" s="210">
        <f t="shared" si="75"/>
        <v>0</v>
      </c>
    </row>
    <row r="136" spans="2:33" ht="15" customHeight="1" x14ac:dyDescent="0.3">
      <c r="B136" s="196" t="s">
        <v>7</v>
      </c>
      <c r="C136" s="197" t="s">
        <v>15</v>
      </c>
      <c r="D136" s="198" t="str">
        <f t="shared" si="57"/>
        <v>C</v>
      </c>
      <c r="E136" s="199">
        <v>44648.1875</v>
      </c>
      <c r="F136" s="200" t="s">
        <v>115</v>
      </c>
      <c r="G136" s="201">
        <v>161.53700000000001</v>
      </c>
      <c r="H136" s="201">
        <v>160.94900000000001</v>
      </c>
      <c r="I136" s="202">
        <f t="shared" si="58"/>
        <v>0.58799999999999386</v>
      </c>
      <c r="J136" s="201">
        <v>163.21799999999999</v>
      </c>
      <c r="K136" s="199">
        <v>44648.474305555559</v>
      </c>
      <c r="L136" s="201">
        <v>163.21799999999999</v>
      </c>
      <c r="M136" s="203">
        <f t="shared" si="59"/>
        <v>1.681</v>
      </c>
      <c r="N136" s="204">
        <f t="shared" si="60"/>
        <v>2.86</v>
      </c>
      <c r="O136" s="205">
        <f t="shared" si="61"/>
        <v>0</v>
      </c>
      <c r="P136" s="206">
        <f t="shared" si="62"/>
        <v>2.86</v>
      </c>
      <c r="Q136" s="206">
        <f t="shared" si="63"/>
        <v>0</v>
      </c>
      <c r="R13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11423</v>
      </c>
      <c r="T13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11423</v>
      </c>
      <c r="U136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36" s="209">
        <f t="shared" si="64"/>
        <v>2.86</v>
      </c>
      <c r="W136" s="209">
        <f t="shared" si="65"/>
        <v>0</v>
      </c>
      <c r="X136" s="209">
        <f t="shared" si="66"/>
        <v>0</v>
      </c>
      <c r="Y136" s="209">
        <f t="shared" si="67"/>
        <v>0</v>
      </c>
      <c r="Z136" s="209">
        <f t="shared" si="68"/>
        <v>0</v>
      </c>
      <c r="AA136" s="205">
        <f t="shared" si="69"/>
        <v>0</v>
      </c>
      <c r="AB136" s="209">
        <f t="shared" si="70"/>
        <v>0</v>
      </c>
      <c r="AC136" s="205">
        <f t="shared" si="71"/>
        <v>0</v>
      </c>
      <c r="AD136" s="210">
        <f t="shared" si="72"/>
        <v>0.28680555555911269</v>
      </c>
      <c r="AE136" s="210">
        <f t="shared" si="73"/>
        <v>0.28680555555911269</v>
      </c>
      <c r="AF136" s="210">
        <f t="shared" si="74"/>
        <v>0</v>
      </c>
      <c r="AG136" s="210">
        <f t="shared" si="75"/>
        <v>0</v>
      </c>
    </row>
    <row r="137" spans="2:33" ht="15" customHeight="1" x14ac:dyDescent="0.3">
      <c r="B137" s="196" t="s">
        <v>7</v>
      </c>
      <c r="C137" s="197" t="s">
        <v>15</v>
      </c>
      <c r="D137" s="198" t="str">
        <f t="shared" si="57"/>
        <v>C</v>
      </c>
      <c r="E137" s="199">
        <v>44644.8125</v>
      </c>
      <c r="F137" s="200" t="s">
        <v>115</v>
      </c>
      <c r="G137" s="201">
        <v>161.09299999999999</v>
      </c>
      <c r="H137" s="201">
        <v>160.559</v>
      </c>
      <c r="I137" s="202">
        <f t="shared" si="58"/>
        <v>0.53399999999999181</v>
      </c>
      <c r="J137" s="201">
        <v>162.62</v>
      </c>
      <c r="K137" s="199">
        <v>44645.181250000001</v>
      </c>
      <c r="L137" s="201">
        <v>160.858</v>
      </c>
      <c r="M137" s="203">
        <f t="shared" si="59"/>
        <v>-0.23499999999999999</v>
      </c>
      <c r="N137" s="204">
        <f t="shared" si="60"/>
        <v>-0.44</v>
      </c>
      <c r="O137" s="205">
        <f t="shared" si="61"/>
        <v>0</v>
      </c>
      <c r="P137" s="206">
        <f t="shared" si="62"/>
        <v>0</v>
      </c>
      <c r="Q137" s="206">
        <f t="shared" si="63"/>
        <v>-0.44</v>
      </c>
      <c r="R13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11137</v>
      </c>
      <c r="T13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11181</v>
      </c>
      <c r="U137" s="208">
        <f ca="1">IF(Tabla33610673486[[#This Row],[Equity]]&lt;Tabla33610673486[[#This Row],[Equity Peak]],(Tabla33610673486[[#This Row],[Equity Peak]]-Tabla33610673486[[#This Row],[Equity]])/Tabla33610673486[[#This Row],[Equity Peak]],"")</f>
        <v>3.9352472945174853E-3</v>
      </c>
      <c r="V137" s="209">
        <f t="shared" si="64"/>
        <v>-0.44</v>
      </c>
      <c r="W137" s="209">
        <f t="shared" si="65"/>
        <v>0</v>
      </c>
      <c r="X137" s="209">
        <f t="shared" si="66"/>
        <v>0</v>
      </c>
      <c r="Y137" s="209">
        <f t="shared" si="67"/>
        <v>0</v>
      </c>
      <c r="Z137" s="209">
        <f t="shared" si="68"/>
        <v>0</v>
      </c>
      <c r="AA137" s="205">
        <f t="shared" si="69"/>
        <v>0</v>
      </c>
      <c r="AB137" s="209">
        <f t="shared" si="70"/>
        <v>0</v>
      </c>
      <c r="AC137" s="205">
        <f t="shared" si="71"/>
        <v>0</v>
      </c>
      <c r="AD137" s="210">
        <f t="shared" si="72"/>
        <v>0.36875000000145519</v>
      </c>
      <c r="AE137" s="210">
        <f t="shared" si="73"/>
        <v>0</v>
      </c>
      <c r="AF137" s="210">
        <f t="shared" si="74"/>
        <v>0.36875000000145519</v>
      </c>
      <c r="AG137" s="210">
        <f t="shared" si="75"/>
        <v>0</v>
      </c>
    </row>
    <row r="138" spans="2:33" ht="15" customHeight="1" x14ac:dyDescent="0.3">
      <c r="B138" s="196" t="s">
        <v>7</v>
      </c>
      <c r="C138" s="197" t="s">
        <v>15</v>
      </c>
      <c r="D138" s="198" t="str">
        <f t="shared" si="57"/>
        <v>C</v>
      </c>
      <c r="E138" s="199">
        <v>44641.760416666664</v>
      </c>
      <c r="F138" s="200" t="s">
        <v>115</v>
      </c>
      <c r="G138" s="201">
        <v>157.29599999999999</v>
      </c>
      <c r="H138" s="201">
        <v>156.92099999999999</v>
      </c>
      <c r="I138" s="202">
        <f t="shared" si="58"/>
        <v>0.375</v>
      </c>
      <c r="J138" s="201">
        <v>158.369</v>
      </c>
      <c r="K138" s="199">
        <v>44642.466666666667</v>
      </c>
      <c r="L138" s="201">
        <v>158.369</v>
      </c>
      <c r="M138" s="203">
        <f t="shared" si="59"/>
        <v>1.073</v>
      </c>
      <c r="N138" s="204">
        <f t="shared" si="60"/>
        <v>2.86</v>
      </c>
      <c r="O138" s="205">
        <f t="shared" si="61"/>
        <v>0</v>
      </c>
      <c r="P138" s="206">
        <f t="shared" si="62"/>
        <v>2.86</v>
      </c>
      <c r="Q138" s="206">
        <f t="shared" si="63"/>
        <v>0</v>
      </c>
      <c r="R13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11181</v>
      </c>
      <c r="T13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11181</v>
      </c>
      <c r="U138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38" s="209">
        <f t="shared" si="64"/>
        <v>2.86</v>
      </c>
      <c r="W138" s="209">
        <f t="shared" si="65"/>
        <v>0</v>
      </c>
      <c r="X138" s="209">
        <f t="shared" si="66"/>
        <v>0</v>
      </c>
      <c r="Y138" s="209">
        <f t="shared" si="67"/>
        <v>0</v>
      </c>
      <c r="Z138" s="209">
        <f t="shared" si="68"/>
        <v>0</v>
      </c>
      <c r="AA138" s="205">
        <f t="shared" si="69"/>
        <v>0</v>
      </c>
      <c r="AB138" s="209">
        <f t="shared" si="70"/>
        <v>0</v>
      </c>
      <c r="AC138" s="205">
        <f t="shared" si="71"/>
        <v>0</v>
      </c>
      <c r="AD138" s="210">
        <f t="shared" si="72"/>
        <v>0.70625000000291038</v>
      </c>
      <c r="AE138" s="210">
        <f t="shared" si="73"/>
        <v>0.70625000000291038</v>
      </c>
      <c r="AF138" s="210">
        <f t="shared" si="74"/>
        <v>0</v>
      </c>
      <c r="AG138" s="210">
        <f t="shared" si="75"/>
        <v>0</v>
      </c>
    </row>
    <row r="139" spans="2:33" ht="15" customHeight="1" x14ac:dyDescent="0.3">
      <c r="B139" s="196" t="s">
        <v>7</v>
      </c>
      <c r="C139" s="197" t="s">
        <v>15</v>
      </c>
      <c r="D139" s="198" t="str">
        <f t="shared" si="57"/>
        <v>C</v>
      </c>
      <c r="E139" s="199">
        <v>44638.71875</v>
      </c>
      <c r="F139" s="200" t="s">
        <v>115</v>
      </c>
      <c r="G139" s="201">
        <v>156.804</v>
      </c>
      <c r="H139" s="201">
        <v>156.351</v>
      </c>
      <c r="I139" s="202">
        <f t="shared" si="58"/>
        <v>0.45300000000000296</v>
      </c>
      <c r="J139" s="201">
        <v>158.09800000000001</v>
      </c>
      <c r="K139" s="199">
        <v>44641.560416666667</v>
      </c>
      <c r="L139" s="201">
        <v>156.65899999999999</v>
      </c>
      <c r="M139" s="203">
        <f t="shared" si="59"/>
        <v>-0.14499999999999999</v>
      </c>
      <c r="N139" s="204">
        <f t="shared" si="60"/>
        <v>-0.32</v>
      </c>
      <c r="O139" s="205">
        <f t="shared" si="61"/>
        <v>0</v>
      </c>
      <c r="P139" s="206">
        <f t="shared" si="62"/>
        <v>0</v>
      </c>
      <c r="Q139" s="206">
        <f t="shared" si="63"/>
        <v>-0.32</v>
      </c>
      <c r="R13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10895</v>
      </c>
      <c r="T13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10927</v>
      </c>
      <c r="U139" s="208">
        <f ca="1">IF(Tabla33610673486[[#This Row],[Equity]]&lt;Tabla33610673486[[#This Row],[Equity Peak]],(Tabla33610673486[[#This Row],[Equity Peak]]-Tabla33610673486[[#This Row],[Equity]])/Tabla33610673486[[#This Row],[Equity Peak]],"")</f>
        <v>2.9285256703578291E-3</v>
      </c>
      <c r="V139" s="209">
        <f t="shared" si="64"/>
        <v>-0.32</v>
      </c>
      <c r="W139" s="209">
        <f t="shared" si="65"/>
        <v>0</v>
      </c>
      <c r="X139" s="209">
        <f t="shared" si="66"/>
        <v>0</v>
      </c>
      <c r="Y139" s="209">
        <f t="shared" si="67"/>
        <v>0</v>
      </c>
      <c r="Z139" s="209">
        <f t="shared" si="68"/>
        <v>0</v>
      </c>
      <c r="AA139" s="205">
        <f t="shared" si="69"/>
        <v>0</v>
      </c>
      <c r="AB139" s="209">
        <f t="shared" si="70"/>
        <v>0</v>
      </c>
      <c r="AC139" s="205">
        <f t="shared" si="71"/>
        <v>0</v>
      </c>
      <c r="AD139" s="210">
        <f t="shared" si="72"/>
        <v>2.8416666666671517</v>
      </c>
      <c r="AE139" s="210">
        <f t="shared" si="73"/>
        <v>0</v>
      </c>
      <c r="AF139" s="210">
        <f t="shared" si="74"/>
        <v>2.8416666666671517</v>
      </c>
      <c r="AG139" s="210">
        <f t="shared" si="75"/>
        <v>0</v>
      </c>
    </row>
    <row r="140" spans="2:33" ht="15" customHeight="1" x14ac:dyDescent="0.3">
      <c r="B140" s="196" t="s">
        <v>7</v>
      </c>
      <c r="C140" s="197" t="s">
        <v>15</v>
      </c>
      <c r="D140" s="198" t="str">
        <f t="shared" si="57"/>
        <v>C</v>
      </c>
      <c r="E140" s="199">
        <v>44635.78125</v>
      </c>
      <c r="F140" s="200" t="s">
        <v>115</v>
      </c>
      <c r="G140" s="201">
        <v>154.517</v>
      </c>
      <c r="H140" s="201">
        <v>154.066</v>
      </c>
      <c r="I140" s="202">
        <f t="shared" si="58"/>
        <v>0.45099999999999341</v>
      </c>
      <c r="J140" s="201">
        <v>155.80500000000001</v>
      </c>
      <c r="K140" s="199">
        <v>44636.929166666669</v>
      </c>
      <c r="L140" s="201">
        <v>155.80500000000001</v>
      </c>
      <c r="M140" s="203">
        <f t="shared" si="59"/>
        <v>1.288</v>
      </c>
      <c r="N140" s="204">
        <f t="shared" si="60"/>
        <v>2.86</v>
      </c>
      <c r="O140" s="205">
        <f t="shared" si="61"/>
        <v>0</v>
      </c>
      <c r="P140" s="206">
        <f t="shared" si="62"/>
        <v>2.86</v>
      </c>
      <c r="Q140" s="206">
        <f t="shared" si="63"/>
        <v>0</v>
      </c>
      <c r="R14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10927</v>
      </c>
      <c r="T14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10927</v>
      </c>
      <c r="U14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40" s="209">
        <f t="shared" si="64"/>
        <v>2.86</v>
      </c>
      <c r="W140" s="209">
        <f t="shared" si="65"/>
        <v>0</v>
      </c>
      <c r="X140" s="209">
        <f t="shared" si="66"/>
        <v>0</v>
      </c>
      <c r="Y140" s="209">
        <f t="shared" si="67"/>
        <v>0</v>
      </c>
      <c r="Z140" s="209">
        <f t="shared" si="68"/>
        <v>0</v>
      </c>
      <c r="AA140" s="205">
        <f t="shared" si="69"/>
        <v>0</v>
      </c>
      <c r="AB140" s="209">
        <f t="shared" si="70"/>
        <v>0</v>
      </c>
      <c r="AC140" s="205">
        <f t="shared" si="71"/>
        <v>0</v>
      </c>
      <c r="AD140" s="210">
        <f t="shared" si="72"/>
        <v>1.1479166666686069</v>
      </c>
      <c r="AE140" s="210">
        <f t="shared" si="73"/>
        <v>1.1479166666686069</v>
      </c>
      <c r="AF140" s="210">
        <f t="shared" si="74"/>
        <v>0</v>
      </c>
      <c r="AG140" s="210">
        <f t="shared" si="75"/>
        <v>0</v>
      </c>
    </row>
    <row r="141" spans="2:33" ht="15" customHeight="1" x14ac:dyDescent="0.3">
      <c r="B141" s="196" t="s">
        <v>7</v>
      </c>
      <c r="C141" s="197" t="s">
        <v>15</v>
      </c>
      <c r="D141" s="198" t="str">
        <f t="shared" si="57"/>
        <v>C</v>
      </c>
      <c r="E141" s="199">
        <v>44634.104166666664</v>
      </c>
      <c r="F141" s="200" t="s">
        <v>115</v>
      </c>
      <c r="G141" s="201">
        <v>153.411</v>
      </c>
      <c r="H141" s="201">
        <v>152.96199999999999</v>
      </c>
      <c r="I141" s="202">
        <f t="shared" si="58"/>
        <v>0.44900000000001228</v>
      </c>
      <c r="J141" s="201">
        <v>154.69300000000001</v>
      </c>
      <c r="K141" s="199">
        <v>44635.425000000003</v>
      </c>
      <c r="L141" s="201">
        <v>153.797</v>
      </c>
      <c r="M141" s="203">
        <f t="shared" si="59"/>
        <v>0.38600000000000001</v>
      </c>
      <c r="N141" s="204">
        <f t="shared" si="60"/>
        <v>0.86</v>
      </c>
      <c r="O141" s="205">
        <f t="shared" si="61"/>
        <v>0</v>
      </c>
      <c r="P141" s="206">
        <f t="shared" si="62"/>
        <v>0.86</v>
      </c>
      <c r="Q141" s="206">
        <f t="shared" si="63"/>
        <v>0</v>
      </c>
      <c r="R14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10641</v>
      </c>
      <c r="T14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1" s="208">
        <f ca="1">IF(Tabla33610673486[[#This Row],[Equity]]&lt;Tabla33610673486[[#This Row],[Equity Peak]],(Tabla33610673486[[#This Row],[Equity Peak]]-Tabla33610673486[[#This Row],[Equity]])/Tabla33610673486[[#This Row],[Equity Peak]],"")</f>
        <v>1.28026718619538E-2</v>
      </c>
      <c r="V141" s="209">
        <f t="shared" si="64"/>
        <v>0.86</v>
      </c>
      <c r="W141" s="209">
        <f t="shared" si="65"/>
        <v>0</v>
      </c>
      <c r="X141" s="209">
        <f t="shared" si="66"/>
        <v>0</v>
      </c>
      <c r="Y141" s="209">
        <f t="shared" si="67"/>
        <v>0</v>
      </c>
      <c r="Z141" s="209">
        <f t="shared" si="68"/>
        <v>0</v>
      </c>
      <c r="AA141" s="205">
        <f t="shared" si="69"/>
        <v>0</v>
      </c>
      <c r="AB141" s="209">
        <f t="shared" si="70"/>
        <v>0</v>
      </c>
      <c r="AC141" s="205">
        <f t="shared" si="71"/>
        <v>0</v>
      </c>
      <c r="AD141" s="210">
        <f t="shared" si="72"/>
        <v>1.320833333338669</v>
      </c>
      <c r="AE141" s="210">
        <f t="shared" si="73"/>
        <v>1.320833333338669</v>
      </c>
      <c r="AF141" s="210">
        <f t="shared" si="74"/>
        <v>0</v>
      </c>
      <c r="AG141" s="210">
        <f t="shared" si="75"/>
        <v>0</v>
      </c>
    </row>
    <row r="142" spans="2:33" ht="15" customHeight="1" x14ac:dyDescent="0.3">
      <c r="B142" s="196" t="s">
        <v>7</v>
      </c>
      <c r="C142" s="197" t="s">
        <v>15</v>
      </c>
      <c r="D142" s="198" t="str">
        <f t="shared" si="57"/>
        <v>C</v>
      </c>
      <c r="E142" s="199">
        <v>44631.552083333336</v>
      </c>
      <c r="F142" s="200" t="s">
        <v>115</v>
      </c>
      <c r="G142" s="201">
        <v>153.06700000000001</v>
      </c>
      <c r="H142" s="201">
        <v>152.65</v>
      </c>
      <c r="I142" s="202">
        <f t="shared" si="58"/>
        <v>0.41700000000000159</v>
      </c>
      <c r="J142" s="201">
        <v>154.25899999999999</v>
      </c>
      <c r="K142" s="199">
        <v>44631.693055555559</v>
      </c>
      <c r="L142" s="201">
        <v>152.85300000000001</v>
      </c>
      <c r="M142" s="203">
        <f t="shared" si="59"/>
        <v>-0.214</v>
      </c>
      <c r="N142" s="204">
        <f t="shared" si="60"/>
        <v>-0.51</v>
      </c>
      <c r="O142" s="205">
        <f t="shared" si="61"/>
        <v>0</v>
      </c>
      <c r="P142" s="206">
        <f t="shared" si="62"/>
        <v>0</v>
      </c>
      <c r="Q142" s="206">
        <f t="shared" si="63"/>
        <v>-0.51</v>
      </c>
      <c r="R14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10555</v>
      </c>
      <c r="T14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2" s="208">
        <f ca="1">IF(Tabla33610673486[[#This Row],[Equity]]&lt;Tabla33610673486[[#This Row],[Equity Peak]],(Tabla33610673486[[#This Row],[Equity Peak]]-Tabla33610673486[[#This Row],[Equity]])/Tabla33610673486[[#This Row],[Equity Peak]],"")</f>
        <v>2.0781148529548196E-2</v>
      </c>
      <c r="V142" s="209">
        <f t="shared" si="64"/>
        <v>-0.51</v>
      </c>
      <c r="W142" s="209">
        <f t="shared" si="65"/>
        <v>0</v>
      </c>
      <c r="X142" s="209">
        <f t="shared" si="66"/>
        <v>0</v>
      </c>
      <c r="Y142" s="209">
        <f t="shared" si="67"/>
        <v>0</v>
      </c>
      <c r="Z142" s="209">
        <f t="shared" si="68"/>
        <v>0</v>
      </c>
      <c r="AA142" s="205">
        <f t="shared" si="69"/>
        <v>0</v>
      </c>
      <c r="AB142" s="209">
        <f t="shared" si="70"/>
        <v>0</v>
      </c>
      <c r="AC142" s="205">
        <f t="shared" si="71"/>
        <v>0</v>
      </c>
      <c r="AD142" s="210">
        <f t="shared" si="72"/>
        <v>0.14097222222335404</v>
      </c>
      <c r="AE142" s="210">
        <f t="shared" si="73"/>
        <v>0</v>
      </c>
      <c r="AF142" s="210">
        <f t="shared" si="74"/>
        <v>0.14097222222335404</v>
      </c>
      <c r="AG142" s="210">
        <f t="shared" si="75"/>
        <v>0</v>
      </c>
    </row>
    <row r="143" spans="2:33" ht="15" customHeight="1" x14ac:dyDescent="0.3">
      <c r="B143" s="196" t="s">
        <v>7</v>
      </c>
      <c r="C143" s="197" t="s">
        <v>13</v>
      </c>
      <c r="D143" s="198" t="str">
        <f t="shared" si="57"/>
        <v>C</v>
      </c>
      <c r="E143" s="199">
        <v>44630.927083333336</v>
      </c>
      <c r="F143" s="200" t="s">
        <v>115</v>
      </c>
      <c r="G143" s="201">
        <v>151.994</v>
      </c>
      <c r="H143" s="201">
        <v>152.44999999999999</v>
      </c>
      <c r="I143" s="202">
        <f t="shared" si="58"/>
        <v>0.45599999999998886</v>
      </c>
      <c r="J143" s="201">
        <v>150.69</v>
      </c>
      <c r="K143" s="199">
        <v>44631.240277777775</v>
      </c>
      <c r="L143" s="201">
        <v>152.428</v>
      </c>
      <c r="M143" s="203">
        <f t="shared" si="59"/>
        <v>-0.434</v>
      </c>
      <c r="N143" s="204">
        <f t="shared" si="60"/>
        <v>-0.95</v>
      </c>
      <c r="O143" s="205">
        <f t="shared" si="61"/>
        <v>0</v>
      </c>
      <c r="P143" s="206">
        <f t="shared" si="62"/>
        <v>0</v>
      </c>
      <c r="Q143" s="206">
        <f t="shared" si="63"/>
        <v>-0.95</v>
      </c>
      <c r="R14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10606</v>
      </c>
      <c r="T14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3" s="208">
        <f ca="1">IF(Tabla33610673486[[#This Row],[Equity]]&lt;Tabla33610673486[[#This Row],[Equity Peak]],(Tabla33610673486[[#This Row],[Equity Peak]]-Tabla33610673486[[#This Row],[Equity]])/Tabla33610673486[[#This Row],[Equity Peak]],"")</f>
        <v>1.6049726319695704E-2</v>
      </c>
      <c r="V143" s="209">
        <f t="shared" si="64"/>
        <v>-0.95</v>
      </c>
      <c r="W143" s="209">
        <f t="shared" si="65"/>
        <v>0</v>
      </c>
      <c r="X143" s="209">
        <f t="shared" si="66"/>
        <v>0</v>
      </c>
      <c r="Y143" s="209">
        <f t="shared" si="67"/>
        <v>0</v>
      </c>
      <c r="Z143" s="209">
        <f t="shared" si="68"/>
        <v>0</v>
      </c>
      <c r="AA143" s="205">
        <f t="shared" si="69"/>
        <v>0</v>
      </c>
      <c r="AB143" s="209">
        <f t="shared" si="70"/>
        <v>0</v>
      </c>
      <c r="AC143" s="205">
        <f t="shared" si="71"/>
        <v>0</v>
      </c>
      <c r="AD143" s="210">
        <f t="shared" si="72"/>
        <v>0.31319444443943212</v>
      </c>
      <c r="AE143" s="210">
        <f t="shared" si="73"/>
        <v>0</v>
      </c>
      <c r="AF143" s="210">
        <f t="shared" si="74"/>
        <v>0.31319444443943212</v>
      </c>
      <c r="AG143" s="210">
        <f t="shared" si="75"/>
        <v>0</v>
      </c>
    </row>
    <row r="144" spans="2:33" ht="15" customHeight="1" x14ac:dyDescent="0.3">
      <c r="B144" s="196" t="s">
        <v>7</v>
      </c>
      <c r="C144" s="197" t="s">
        <v>15</v>
      </c>
      <c r="D144" s="198" t="str">
        <f t="shared" si="57"/>
        <v>C</v>
      </c>
      <c r="E144" s="199">
        <v>44629.427083333336</v>
      </c>
      <c r="F144" s="200" t="s">
        <v>115</v>
      </c>
      <c r="G144" s="201">
        <v>152.08099999999999</v>
      </c>
      <c r="H144" s="201">
        <v>151.61199999999999</v>
      </c>
      <c r="I144" s="202">
        <f t="shared" si="58"/>
        <v>0.46899999999999409</v>
      </c>
      <c r="J144" s="201">
        <v>153.42099999999999</v>
      </c>
      <c r="K144" s="199">
        <v>44630.439583333333</v>
      </c>
      <c r="L144" s="201">
        <v>152.31100000000001</v>
      </c>
      <c r="M144" s="203">
        <f t="shared" si="59"/>
        <v>0.23</v>
      </c>
      <c r="N144" s="204">
        <f t="shared" si="60"/>
        <v>0.49</v>
      </c>
      <c r="O144" s="205">
        <f t="shared" si="61"/>
        <v>0</v>
      </c>
      <c r="P144" s="206">
        <f t="shared" si="62"/>
        <v>0.49</v>
      </c>
      <c r="Q144" s="206">
        <f t="shared" si="63"/>
        <v>0</v>
      </c>
      <c r="R14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10701</v>
      </c>
      <c r="T14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4" s="208">
        <f ca="1">IF(Tabla33610673486[[#This Row],[Equity]]&lt;Tabla33610673486[[#This Row],[Equity Peak]],(Tabla33610673486[[#This Row],[Equity Peak]]-Tabla33610673486[[#This Row],[Equity]])/Tabla33610673486[[#This Row],[Equity Peak]],"")</f>
        <v>7.2362927915391034E-3</v>
      </c>
      <c r="V144" s="209">
        <f t="shared" si="64"/>
        <v>0.49</v>
      </c>
      <c r="W144" s="209">
        <f t="shared" si="65"/>
        <v>0</v>
      </c>
      <c r="X144" s="209">
        <f t="shared" si="66"/>
        <v>0</v>
      </c>
      <c r="Y144" s="209">
        <f t="shared" si="67"/>
        <v>0</v>
      </c>
      <c r="Z144" s="209">
        <f t="shared" si="68"/>
        <v>0</v>
      </c>
      <c r="AA144" s="205">
        <f t="shared" si="69"/>
        <v>0</v>
      </c>
      <c r="AB144" s="209">
        <f t="shared" si="70"/>
        <v>0</v>
      </c>
      <c r="AC144" s="205">
        <f t="shared" si="71"/>
        <v>0</v>
      </c>
      <c r="AD144" s="210">
        <f t="shared" si="72"/>
        <v>1.0124999999970896</v>
      </c>
      <c r="AE144" s="210">
        <f t="shared" si="73"/>
        <v>1.0124999999970896</v>
      </c>
      <c r="AF144" s="210">
        <f t="shared" si="74"/>
        <v>0</v>
      </c>
      <c r="AG144" s="210">
        <f t="shared" si="75"/>
        <v>0</v>
      </c>
    </row>
    <row r="145" spans="2:33" ht="15" customHeight="1" x14ac:dyDescent="0.3">
      <c r="B145" s="196" t="s">
        <v>7</v>
      </c>
      <c r="C145" s="197" t="s">
        <v>13</v>
      </c>
      <c r="D145" s="198" t="str">
        <f t="shared" si="57"/>
        <v>C</v>
      </c>
      <c r="E145" s="199">
        <v>44627.90625</v>
      </c>
      <c r="F145" s="200" t="s">
        <v>115</v>
      </c>
      <c r="G145" s="201">
        <v>151.14099999999999</v>
      </c>
      <c r="H145" s="201">
        <v>151.72900000000001</v>
      </c>
      <c r="I145" s="202">
        <f t="shared" si="58"/>
        <v>0.58800000000002228</v>
      </c>
      <c r="J145" s="201">
        <v>149.46100000000001</v>
      </c>
      <c r="K145" s="199">
        <v>44628.459027777775</v>
      </c>
      <c r="L145" s="201">
        <v>151.66200000000001</v>
      </c>
      <c r="M145" s="203">
        <f t="shared" si="59"/>
        <v>-0.52100000000000002</v>
      </c>
      <c r="N145" s="204">
        <f t="shared" si="60"/>
        <v>-0.89</v>
      </c>
      <c r="O145" s="205">
        <f t="shared" si="61"/>
        <v>0</v>
      </c>
      <c r="P145" s="206">
        <f t="shared" si="62"/>
        <v>0</v>
      </c>
      <c r="Q145" s="206">
        <f t="shared" si="63"/>
        <v>-0.89</v>
      </c>
      <c r="R14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10652</v>
      </c>
      <c r="T14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5" s="208">
        <f ca="1">IF(Tabla33610673486[[#This Row],[Equity]]&lt;Tabla33610673486[[#This Row],[Equity Peak]],(Tabla33610673486[[#This Row],[Equity Peak]]-Tabla33610673486[[#This Row],[Equity]])/Tabla33610673486[[#This Row],[Equity Peak]],"")</f>
        <v>1.1782169032377771E-2</v>
      </c>
      <c r="V145" s="209">
        <f t="shared" si="64"/>
        <v>-0.89</v>
      </c>
      <c r="W145" s="209">
        <f t="shared" si="65"/>
        <v>0</v>
      </c>
      <c r="X145" s="209">
        <f t="shared" si="66"/>
        <v>0</v>
      </c>
      <c r="Y145" s="209">
        <f t="shared" si="67"/>
        <v>0</v>
      </c>
      <c r="Z145" s="209">
        <f t="shared" si="68"/>
        <v>0</v>
      </c>
      <c r="AA145" s="205">
        <f t="shared" si="69"/>
        <v>0</v>
      </c>
      <c r="AB145" s="209">
        <f t="shared" si="70"/>
        <v>0</v>
      </c>
      <c r="AC145" s="205">
        <f t="shared" si="71"/>
        <v>0</v>
      </c>
      <c r="AD145" s="210">
        <f t="shared" si="72"/>
        <v>0.55277777777519077</v>
      </c>
      <c r="AE145" s="210">
        <f t="shared" si="73"/>
        <v>0</v>
      </c>
      <c r="AF145" s="210">
        <f t="shared" si="74"/>
        <v>0.55277777777519077</v>
      </c>
      <c r="AG145" s="210">
        <f t="shared" si="75"/>
        <v>0</v>
      </c>
    </row>
    <row r="146" spans="2:33" ht="15" customHeight="1" x14ac:dyDescent="0.3">
      <c r="B146" s="196" t="s">
        <v>7</v>
      </c>
      <c r="C146" s="197" t="s">
        <v>13</v>
      </c>
      <c r="D146" s="198" t="str">
        <f t="shared" si="57"/>
        <v>C</v>
      </c>
      <c r="E146" s="199">
        <v>44624.552083333336</v>
      </c>
      <c r="F146" s="200" t="s">
        <v>115</v>
      </c>
      <c r="G146" s="201">
        <v>153.422</v>
      </c>
      <c r="H146" s="201">
        <v>153.846</v>
      </c>
      <c r="I146" s="202">
        <f t="shared" si="58"/>
        <v>0.42400000000000659</v>
      </c>
      <c r="J146" s="201">
        <v>152.21199999999999</v>
      </c>
      <c r="K146" s="199">
        <v>44624.710416666669</v>
      </c>
      <c r="L146" s="201">
        <v>152.21199999999999</v>
      </c>
      <c r="M146" s="203">
        <f t="shared" si="59"/>
        <v>1.21</v>
      </c>
      <c r="N146" s="204">
        <f t="shared" si="60"/>
        <v>2.85</v>
      </c>
      <c r="O146" s="205">
        <f t="shared" si="61"/>
        <v>0</v>
      </c>
      <c r="P146" s="206">
        <f t="shared" si="62"/>
        <v>2.85</v>
      </c>
      <c r="Q146" s="206">
        <f t="shared" si="63"/>
        <v>0</v>
      </c>
      <c r="R14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10741</v>
      </c>
      <c r="T14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6" s="208">
        <f ca="1">IF(Tabla33610673486[[#This Row],[Equity]]&lt;Tabla33610673486[[#This Row],[Equity Peak]],(Tabla33610673486[[#This Row],[Equity Peak]]-Tabla33610673486[[#This Row],[Equity]])/Tabla33610673486[[#This Row],[Equity Peak]],"")</f>
        <v>3.5253734112626403E-3</v>
      </c>
      <c r="V146" s="209">
        <f t="shared" si="64"/>
        <v>2.85</v>
      </c>
      <c r="W146" s="209">
        <f t="shared" si="65"/>
        <v>0</v>
      </c>
      <c r="X146" s="209">
        <f t="shared" si="66"/>
        <v>0</v>
      </c>
      <c r="Y146" s="209">
        <f t="shared" si="67"/>
        <v>0</v>
      </c>
      <c r="Z146" s="209">
        <f t="shared" si="68"/>
        <v>0</v>
      </c>
      <c r="AA146" s="205">
        <f t="shared" si="69"/>
        <v>0</v>
      </c>
      <c r="AB146" s="209">
        <f t="shared" si="70"/>
        <v>0</v>
      </c>
      <c r="AC146" s="205">
        <f t="shared" si="71"/>
        <v>0</v>
      </c>
      <c r="AD146" s="210">
        <f t="shared" si="72"/>
        <v>0.15833333333284827</v>
      </c>
      <c r="AE146" s="210">
        <f t="shared" si="73"/>
        <v>0.15833333333284827</v>
      </c>
      <c r="AF146" s="210">
        <f t="shared" si="74"/>
        <v>0</v>
      </c>
      <c r="AG146" s="210">
        <f t="shared" si="75"/>
        <v>0</v>
      </c>
    </row>
    <row r="147" spans="2:33" ht="15" customHeight="1" x14ac:dyDescent="0.3">
      <c r="B147" s="196" t="s">
        <v>7</v>
      </c>
      <c r="C147" s="197" t="s">
        <v>13</v>
      </c>
      <c r="D147" s="198" t="str">
        <f t="shared" si="57"/>
        <v>C</v>
      </c>
      <c r="E147" s="199">
        <v>44624.114583333336</v>
      </c>
      <c r="F147" s="200" t="s">
        <v>115</v>
      </c>
      <c r="G147" s="201">
        <v>153.601</v>
      </c>
      <c r="H147" s="201">
        <v>154.06299999999999</v>
      </c>
      <c r="I147" s="202">
        <f t="shared" si="58"/>
        <v>0.46199999999998909</v>
      </c>
      <c r="J147" s="201">
        <v>152.28200000000001</v>
      </c>
      <c r="K147" s="199">
        <v>44624.160416666666</v>
      </c>
      <c r="L147" s="201">
        <v>154.06299999999999</v>
      </c>
      <c r="M147" s="203">
        <f t="shared" si="59"/>
        <v>-0.46200000000000002</v>
      </c>
      <c r="N147" s="204">
        <f t="shared" si="60"/>
        <v>-1</v>
      </c>
      <c r="O147" s="205">
        <f t="shared" si="61"/>
        <v>0</v>
      </c>
      <c r="P147" s="206">
        <f t="shared" si="62"/>
        <v>0</v>
      </c>
      <c r="Q147" s="206">
        <f t="shared" si="63"/>
        <v>-1</v>
      </c>
      <c r="R14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10456</v>
      </c>
      <c r="T14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7" s="208">
        <f ca="1">IF(Tabla33610673486[[#This Row],[Equity]]&lt;Tabla33610673486[[#This Row],[Equity Peak]],(Tabla33610673486[[#This Row],[Equity Peak]]-Tabla33610673486[[#This Row],[Equity]])/Tabla33610673486[[#This Row],[Equity Peak]],"")</f>
        <v>2.9965673995732443E-2</v>
      </c>
      <c r="V147" s="209">
        <f t="shared" si="64"/>
        <v>-1</v>
      </c>
      <c r="W147" s="209">
        <f t="shared" si="65"/>
        <v>0</v>
      </c>
      <c r="X147" s="209">
        <f t="shared" si="66"/>
        <v>0</v>
      </c>
      <c r="Y147" s="209">
        <f t="shared" si="67"/>
        <v>0</v>
      </c>
      <c r="Z147" s="209">
        <f t="shared" si="68"/>
        <v>0</v>
      </c>
      <c r="AA147" s="205">
        <f t="shared" si="69"/>
        <v>0</v>
      </c>
      <c r="AB147" s="209">
        <f t="shared" si="70"/>
        <v>0</v>
      </c>
      <c r="AC147" s="205">
        <f t="shared" si="71"/>
        <v>0</v>
      </c>
      <c r="AD147" s="210">
        <f t="shared" si="72"/>
        <v>4.5833333329937886E-2</v>
      </c>
      <c r="AE147" s="210">
        <f t="shared" si="73"/>
        <v>0</v>
      </c>
      <c r="AF147" s="210">
        <f t="shared" si="74"/>
        <v>4.5833333329937886E-2</v>
      </c>
      <c r="AG147" s="210">
        <f t="shared" si="75"/>
        <v>0</v>
      </c>
    </row>
    <row r="148" spans="2:33" ht="15" customHeight="1" x14ac:dyDescent="0.3">
      <c r="B148" s="196" t="s">
        <v>7</v>
      </c>
      <c r="C148" s="197" t="s">
        <v>15</v>
      </c>
      <c r="D148" s="198" t="str">
        <f t="shared" si="57"/>
        <v>C</v>
      </c>
      <c r="E148" s="199">
        <v>44622.864583333336</v>
      </c>
      <c r="F148" s="200" t="s">
        <v>115</v>
      </c>
      <c r="G148" s="201">
        <v>154.607</v>
      </c>
      <c r="H148" s="201">
        <v>154.11000000000001</v>
      </c>
      <c r="I148" s="202">
        <f t="shared" si="58"/>
        <v>0.49699999999998568</v>
      </c>
      <c r="J148" s="201">
        <v>156.02799999999999</v>
      </c>
      <c r="K148" s="199">
        <v>44623.7</v>
      </c>
      <c r="L148" s="201">
        <v>154.60300000000001</v>
      </c>
      <c r="M148" s="203">
        <f t="shared" si="59"/>
        <v>-4.0000000000000001E-3</v>
      </c>
      <c r="N148" s="204">
        <f t="shared" si="60"/>
        <v>-0.01</v>
      </c>
      <c r="O148" s="205">
        <f t="shared" si="61"/>
        <v>0</v>
      </c>
      <c r="P148" s="206">
        <f t="shared" si="62"/>
        <v>0</v>
      </c>
      <c r="Q148" s="206">
        <f t="shared" si="63"/>
        <v>-0.01</v>
      </c>
      <c r="R14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10556</v>
      </c>
      <c r="T14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8" s="208">
        <f ca="1">IF(Tabla33610673486[[#This Row],[Equity]]&lt;Tabla33610673486[[#This Row],[Equity Peak]],(Tabla33610673486[[#This Row],[Equity Peak]]-Tabla33610673486[[#This Row],[Equity]])/Tabla33610673486[[#This Row],[Equity Peak]],"")</f>
        <v>2.0688375545041285E-2</v>
      </c>
      <c r="V148" s="209">
        <f t="shared" si="64"/>
        <v>-0.01</v>
      </c>
      <c r="W148" s="209">
        <f t="shared" si="65"/>
        <v>0</v>
      </c>
      <c r="X148" s="209">
        <f t="shared" si="66"/>
        <v>0</v>
      </c>
      <c r="Y148" s="209">
        <f t="shared" si="67"/>
        <v>0</v>
      </c>
      <c r="Z148" s="209">
        <f t="shared" si="68"/>
        <v>0</v>
      </c>
      <c r="AA148" s="205">
        <f t="shared" si="69"/>
        <v>0</v>
      </c>
      <c r="AB148" s="209">
        <f t="shared" si="70"/>
        <v>0</v>
      </c>
      <c r="AC148" s="205">
        <f t="shared" si="71"/>
        <v>0</v>
      </c>
      <c r="AD148" s="210">
        <f t="shared" si="72"/>
        <v>0.83541666666133096</v>
      </c>
      <c r="AE148" s="210">
        <f t="shared" si="73"/>
        <v>0</v>
      </c>
      <c r="AF148" s="210">
        <f t="shared" si="74"/>
        <v>0.83541666666133096</v>
      </c>
      <c r="AG148" s="210">
        <f t="shared" si="75"/>
        <v>0</v>
      </c>
    </row>
    <row r="149" spans="2:33" ht="15" customHeight="1" x14ac:dyDescent="0.3">
      <c r="B149" s="196" t="s">
        <v>7</v>
      </c>
      <c r="C149" s="197" t="s">
        <v>13</v>
      </c>
      <c r="D149" s="198" t="str">
        <f t="shared" si="57"/>
        <v>C</v>
      </c>
      <c r="E149" s="199">
        <v>44621.510416666664</v>
      </c>
      <c r="F149" s="200" t="s">
        <v>115</v>
      </c>
      <c r="G149" s="201">
        <v>153.93700000000001</v>
      </c>
      <c r="H149" s="201">
        <v>154.42599999999999</v>
      </c>
      <c r="I149" s="202">
        <f t="shared" si="58"/>
        <v>0.4889999999999759</v>
      </c>
      <c r="J149" s="201">
        <v>152.54</v>
      </c>
      <c r="K149" s="199">
        <v>44622.149305555555</v>
      </c>
      <c r="L149" s="201">
        <v>153.423</v>
      </c>
      <c r="M149" s="203">
        <f t="shared" si="59"/>
        <v>0.51400000000000001</v>
      </c>
      <c r="N149" s="204">
        <f t="shared" si="60"/>
        <v>1.05</v>
      </c>
      <c r="O149" s="205">
        <f t="shared" si="61"/>
        <v>0</v>
      </c>
      <c r="P149" s="206">
        <f t="shared" si="62"/>
        <v>1.05</v>
      </c>
      <c r="Q149" s="206">
        <f t="shared" si="63"/>
        <v>0</v>
      </c>
      <c r="R14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4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10557</v>
      </c>
      <c r="T14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49" s="208">
        <f ca="1">IF(Tabla33610673486[[#This Row],[Equity]]&lt;Tabla33610673486[[#This Row],[Equity Peak]],(Tabla33610673486[[#This Row],[Equity Peak]]-Tabla33610673486[[#This Row],[Equity]])/Tabla33610673486[[#This Row],[Equity Peak]],"")</f>
        <v>2.0595602560534373E-2</v>
      </c>
      <c r="V149" s="209">
        <f t="shared" si="64"/>
        <v>1.05</v>
      </c>
      <c r="W149" s="209">
        <f t="shared" si="65"/>
        <v>0</v>
      </c>
      <c r="X149" s="209">
        <f t="shared" si="66"/>
        <v>0</v>
      </c>
      <c r="Y149" s="209">
        <f t="shared" si="67"/>
        <v>0</v>
      </c>
      <c r="Z149" s="209">
        <f t="shared" si="68"/>
        <v>0</v>
      </c>
      <c r="AA149" s="205">
        <f t="shared" si="69"/>
        <v>0</v>
      </c>
      <c r="AB149" s="209">
        <f t="shared" si="70"/>
        <v>0</v>
      </c>
      <c r="AC149" s="205">
        <f t="shared" si="71"/>
        <v>0</v>
      </c>
      <c r="AD149" s="210">
        <f t="shared" si="72"/>
        <v>0.63888888889050577</v>
      </c>
      <c r="AE149" s="210">
        <f t="shared" si="73"/>
        <v>0.63888888889050577</v>
      </c>
      <c r="AF149" s="210">
        <f t="shared" si="74"/>
        <v>0</v>
      </c>
      <c r="AG149" s="210">
        <f t="shared" si="75"/>
        <v>0</v>
      </c>
    </row>
    <row r="150" spans="2:33" ht="15" customHeight="1" x14ac:dyDescent="0.3">
      <c r="B150" s="196" t="s">
        <v>7</v>
      </c>
      <c r="C150" s="197" t="s">
        <v>15</v>
      </c>
      <c r="D150" s="198" t="str">
        <f t="shared" ref="D150:D180" si="76">IF(E150&lt;&gt;"",IF(K150&lt;&gt;"","C","O"),"")</f>
        <v>C</v>
      </c>
      <c r="E150" s="199">
        <v>44617.75</v>
      </c>
      <c r="F150" s="200" t="s">
        <v>115</v>
      </c>
      <c r="G150" s="201">
        <v>155.06100000000001</v>
      </c>
      <c r="H150" s="201">
        <v>154.41999999999999</v>
      </c>
      <c r="I150" s="202">
        <f t="shared" ref="I150:I180" si="77">ABS(G150-H150)</f>
        <v>0.64100000000001955</v>
      </c>
      <c r="J150" s="201">
        <v>156.893</v>
      </c>
      <c r="K150" s="199">
        <v>44620</v>
      </c>
      <c r="L150" s="201">
        <v>154.41999999999999</v>
      </c>
      <c r="M150" s="203">
        <f t="shared" ref="M150:M180" si="78">ROUND(IF(C150="L",(L150-G150),(G150-L150)),4)</f>
        <v>-0.64100000000000001</v>
      </c>
      <c r="N150" s="204">
        <f t="shared" ref="N150:N180" si="79">IFERROR(ROUND((M150/I150),2),"")</f>
        <v>-1</v>
      </c>
      <c r="O150" s="205">
        <f t="shared" ref="O150:O180" si="80">IF(D150="O",IF(N150&lt;0,N150,0),0)</f>
        <v>0</v>
      </c>
      <c r="P150" s="206">
        <f t="shared" ref="P150:P180" si="81">IF(N150&gt;= 0,N150,0)</f>
        <v>0</v>
      </c>
      <c r="Q150" s="206">
        <f t="shared" ref="Q150:Q180" si="82">IF(N150&lt;0,N150,0)</f>
        <v>-1</v>
      </c>
      <c r="R15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10452</v>
      </c>
      <c r="T15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0" s="208">
        <f ca="1">IF(Tabla33610673486[[#This Row],[Equity]]&lt;Tabla33610673486[[#This Row],[Equity Peak]],(Tabla33610673486[[#This Row],[Equity Peak]]-Tabla33610673486[[#This Row],[Equity]])/Tabla33610673486[[#This Row],[Equity Peak]],"")</f>
        <v>3.0336765933760088E-2</v>
      </c>
      <c r="V150" s="209">
        <f t="shared" ref="V150:V180" si="83">IF(B150="FX",N150,0)</f>
        <v>-1</v>
      </c>
      <c r="W150" s="209">
        <f t="shared" ref="W150:W180" si="84">IF(D150="O",IF(V150&lt;0,V150,0),0)</f>
        <v>0</v>
      </c>
      <c r="X150" s="209">
        <f t="shared" ref="X150:X180" si="85">IF(B150="COM",N150,0)</f>
        <v>0</v>
      </c>
      <c r="Y150" s="209">
        <f t="shared" ref="Y150:Y180" si="86">IF(D150="O",IF(X150&lt;0,X150,0),0)</f>
        <v>0</v>
      </c>
      <c r="Z150" s="209">
        <f t="shared" ref="Z150:Z180" si="87">IF(B150="IND",N150,0)</f>
        <v>0</v>
      </c>
      <c r="AA150" s="205">
        <f t="shared" ref="AA150:AA180" si="88">IF(D150="O",IF(Z150&lt;0,Z150,0),0)</f>
        <v>0</v>
      </c>
      <c r="AB150" s="209">
        <f t="shared" ref="AB150:AB180" si="89">IF(B150="CRYPTO",N150,0)</f>
        <v>0</v>
      </c>
      <c r="AC150" s="205">
        <f t="shared" ref="AC150:AC180" si="90">IF(D150="O",IF(AB150&lt;0,AB150,0),0)</f>
        <v>0</v>
      </c>
      <c r="AD150" s="210">
        <f t="shared" ref="AD150:AD180" si="91">IF(K150&lt;&gt;"",K150-E150,0)</f>
        <v>2.25</v>
      </c>
      <c r="AE150" s="210">
        <f t="shared" ref="AE150:AE180" si="92">IF(N150&gt;0,AD150,0)</f>
        <v>0</v>
      </c>
      <c r="AF150" s="210">
        <f t="shared" ref="AF150:AF180" si="93">IF(N150&lt;0,AD150,0)</f>
        <v>2.25</v>
      </c>
      <c r="AG150" s="210">
        <f t="shared" ref="AG150:AG180" si="94">IF(N150=0,AD150,0)</f>
        <v>0</v>
      </c>
    </row>
    <row r="151" spans="2:33" ht="15" customHeight="1" x14ac:dyDescent="0.3">
      <c r="B151" s="196" t="s">
        <v>7</v>
      </c>
      <c r="C151" s="197" t="s">
        <v>13</v>
      </c>
      <c r="D151" s="198" t="str">
        <f t="shared" si="76"/>
        <v>C</v>
      </c>
      <c r="E151" s="199">
        <v>44615.895833333336</v>
      </c>
      <c r="F151" s="200" t="s">
        <v>115</v>
      </c>
      <c r="G151" s="201">
        <v>155.67699999999999</v>
      </c>
      <c r="H151" s="201">
        <v>156.08000000000001</v>
      </c>
      <c r="I151" s="202">
        <f t="shared" si="77"/>
        <v>0.40300000000002001</v>
      </c>
      <c r="J151" s="201">
        <v>154.52699999999999</v>
      </c>
      <c r="K151" s="199">
        <v>44616.262499999997</v>
      </c>
      <c r="L151" s="201">
        <v>154.52699999999999</v>
      </c>
      <c r="M151" s="203">
        <f t="shared" si="78"/>
        <v>1.1499999999999999</v>
      </c>
      <c r="N151" s="204">
        <f t="shared" si="79"/>
        <v>2.85</v>
      </c>
      <c r="O151" s="205">
        <f t="shared" si="80"/>
        <v>0</v>
      </c>
      <c r="P151" s="206">
        <f t="shared" si="81"/>
        <v>2.85</v>
      </c>
      <c r="Q151" s="206">
        <f t="shared" si="82"/>
        <v>0</v>
      </c>
      <c r="R15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10552</v>
      </c>
      <c r="T15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1" s="208">
        <f ca="1">IF(Tabla33610673486[[#This Row],[Equity]]&lt;Tabla33610673486[[#This Row],[Equity Peak]],(Tabla33610673486[[#This Row],[Equity Peak]]-Tabla33610673486[[#This Row],[Equity]])/Tabla33610673486[[#This Row],[Equity Peak]],"")</f>
        <v>2.105946748306893E-2</v>
      </c>
      <c r="V151" s="209">
        <f t="shared" si="83"/>
        <v>2.85</v>
      </c>
      <c r="W151" s="209">
        <f t="shared" si="84"/>
        <v>0</v>
      </c>
      <c r="X151" s="209">
        <f t="shared" si="85"/>
        <v>0</v>
      </c>
      <c r="Y151" s="209">
        <f t="shared" si="86"/>
        <v>0</v>
      </c>
      <c r="Z151" s="209">
        <f t="shared" si="87"/>
        <v>0</v>
      </c>
      <c r="AA151" s="205">
        <f t="shared" si="88"/>
        <v>0</v>
      </c>
      <c r="AB151" s="209">
        <f t="shared" si="89"/>
        <v>0</v>
      </c>
      <c r="AC151" s="205">
        <f t="shared" si="90"/>
        <v>0</v>
      </c>
      <c r="AD151" s="210">
        <f t="shared" si="91"/>
        <v>0.36666666666133096</v>
      </c>
      <c r="AE151" s="210">
        <f t="shared" si="92"/>
        <v>0.36666666666133096</v>
      </c>
      <c r="AF151" s="210">
        <f t="shared" si="93"/>
        <v>0</v>
      </c>
      <c r="AG151" s="210">
        <f t="shared" si="94"/>
        <v>0</v>
      </c>
    </row>
    <row r="152" spans="2:33" ht="15" customHeight="1" x14ac:dyDescent="0.3">
      <c r="B152" s="196" t="s">
        <v>7</v>
      </c>
      <c r="C152" s="197" t="s">
        <v>15</v>
      </c>
      <c r="D152" s="198" t="str">
        <f t="shared" si="76"/>
        <v>C</v>
      </c>
      <c r="E152" s="199">
        <v>44615.40625</v>
      </c>
      <c r="F152" s="200" t="s">
        <v>115</v>
      </c>
      <c r="G152" s="201">
        <v>156.54</v>
      </c>
      <c r="H152" s="201">
        <v>156.14099999999999</v>
      </c>
      <c r="I152" s="202">
        <f t="shared" si="77"/>
        <v>0.39900000000000091</v>
      </c>
      <c r="J152" s="201">
        <v>157.68</v>
      </c>
      <c r="K152" s="199">
        <v>44615.709027777775</v>
      </c>
      <c r="L152" s="201">
        <v>156.28</v>
      </c>
      <c r="M152" s="203">
        <f t="shared" si="78"/>
        <v>-0.26</v>
      </c>
      <c r="N152" s="204">
        <f t="shared" si="79"/>
        <v>-0.65</v>
      </c>
      <c r="O152" s="205">
        <f t="shared" si="80"/>
        <v>0</v>
      </c>
      <c r="P152" s="206">
        <f t="shared" si="81"/>
        <v>0</v>
      </c>
      <c r="Q152" s="206">
        <f t="shared" si="82"/>
        <v>-0.65</v>
      </c>
      <c r="R15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10267</v>
      </c>
      <c r="T15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2" s="208">
        <f ca="1">IF(Tabla33610673486[[#This Row],[Equity]]&lt;Tabla33610673486[[#This Row],[Equity Peak]],(Tabla33610673486[[#This Row],[Equity Peak]]-Tabla33610673486[[#This Row],[Equity]])/Tabla33610673486[[#This Row],[Equity Peak]],"")</f>
        <v>4.7499768067538729E-2</v>
      </c>
      <c r="V152" s="209">
        <f t="shared" si="83"/>
        <v>-0.65</v>
      </c>
      <c r="W152" s="209">
        <f t="shared" si="84"/>
        <v>0</v>
      </c>
      <c r="X152" s="209">
        <f t="shared" si="85"/>
        <v>0</v>
      </c>
      <c r="Y152" s="209">
        <f t="shared" si="86"/>
        <v>0</v>
      </c>
      <c r="Z152" s="209">
        <f t="shared" si="87"/>
        <v>0</v>
      </c>
      <c r="AA152" s="205">
        <f t="shared" si="88"/>
        <v>0</v>
      </c>
      <c r="AB152" s="209">
        <f t="shared" si="89"/>
        <v>0</v>
      </c>
      <c r="AC152" s="205">
        <f t="shared" si="90"/>
        <v>0</v>
      </c>
      <c r="AD152" s="210">
        <f t="shared" si="91"/>
        <v>0.30277777777519077</v>
      </c>
      <c r="AE152" s="210">
        <f t="shared" si="92"/>
        <v>0</v>
      </c>
      <c r="AF152" s="210">
        <f t="shared" si="93"/>
        <v>0.30277777777519077</v>
      </c>
      <c r="AG152" s="210">
        <f t="shared" si="94"/>
        <v>0</v>
      </c>
    </row>
    <row r="153" spans="2:33" ht="15" customHeight="1" x14ac:dyDescent="0.3">
      <c r="B153" s="196" t="s">
        <v>7</v>
      </c>
      <c r="C153" s="197" t="s">
        <v>13</v>
      </c>
      <c r="D153" s="198" t="str">
        <f t="shared" si="76"/>
        <v>C</v>
      </c>
      <c r="E153" s="199">
        <v>44613.895833333336</v>
      </c>
      <c r="F153" s="200" t="s">
        <v>115</v>
      </c>
      <c r="G153" s="201">
        <v>156.06899999999999</v>
      </c>
      <c r="H153" s="201">
        <v>156.453</v>
      </c>
      <c r="I153" s="202">
        <f t="shared" si="77"/>
        <v>0.38400000000001455</v>
      </c>
      <c r="J153" s="201">
        <v>154.97200000000001</v>
      </c>
      <c r="K153" s="199">
        <v>44614.488194444442</v>
      </c>
      <c r="L153" s="201">
        <v>156.071</v>
      </c>
      <c r="M153" s="203">
        <f t="shared" si="78"/>
        <v>-2E-3</v>
      </c>
      <c r="N153" s="204">
        <f t="shared" si="79"/>
        <v>-0.01</v>
      </c>
      <c r="O153" s="205">
        <f t="shared" si="80"/>
        <v>0</v>
      </c>
      <c r="P153" s="206">
        <f t="shared" si="81"/>
        <v>0</v>
      </c>
      <c r="Q153" s="206">
        <f t="shared" si="82"/>
        <v>-0.01</v>
      </c>
      <c r="R15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10332</v>
      </c>
      <c r="T15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3" s="208">
        <f ca="1">IF(Tabla33610673486[[#This Row],[Equity]]&lt;Tabla33610673486[[#This Row],[Equity Peak]],(Tabla33610673486[[#This Row],[Equity Peak]]-Tabla33610673486[[#This Row],[Equity]])/Tabla33610673486[[#This Row],[Equity Peak]],"")</f>
        <v>4.1469524074589481E-2</v>
      </c>
      <c r="V153" s="209">
        <f t="shared" si="83"/>
        <v>-0.01</v>
      </c>
      <c r="W153" s="209">
        <f t="shared" si="84"/>
        <v>0</v>
      </c>
      <c r="X153" s="209">
        <f t="shared" si="85"/>
        <v>0</v>
      </c>
      <c r="Y153" s="209">
        <f t="shared" si="86"/>
        <v>0</v>
      </c>
      <c r="Z153" s="209">
        <f t="shared" si="87"/>
        <v>0</v>
      </c>
      <c r="AA153" s="205">
        <f t="shared" si="88"/>
        <v>0</v>
      </c>
      <c r="AB153" s="209">
        <f t="shared" si="89"/>
        <v>0</v>
      </c>
      <c r="AC153" s="205">
        <f t="shared" si="90"/>
        <v>0</v>
      </c>
      <c r="AD153" s="210">
        <f t="shared" si="91"/>
        <v>0.59236111110658385</v>
      </c>
      <c r="AE153" s="210">
        <f t="shared" si="92"/>
        <v>0</v>
      </c>
      <c r="AF153" s="210">
        <f t="shared" si="93"/>
        <v>0.59236111110658385</v>
      </c>
      <c r="AG153" s="210">
        <f t="shared" si="94"/>
        <v>0</v>
      </c>
    </row>
    <row r="154" spans="2:33" ht="15" customHeight="1" x14ac:dyDescent="0.3">
      <c r="B154" s="196" t="s">
        <v>7</v>
      </c>
      <c r="C154" s="197" t="s">
        <v>13</v>
      </c>
      <c r="D154" s="198" t="str">
        <f t="shared" si="76"/>
        <v>C</v>
      </c>
      <c r="E154" s="199">
        <v>44613.0625</v>
      </c>
      <c r="F154" s="200" t="s">
        <v>115</v>
      </c>
      <c r="G154" s="201">
        <v>156.10599999999999</v>
      </c>
      <c r="H154" s="201">
        <v>156.542</v>
      </c>
      <c r="I154" s="202">
        <f t="shared" si="77"/>
        <v>0.43600000000000705</v>
      </c>
      <c r="J154" s="201">
        <v>154.86099999999999</v>
      </c>
      <c r="K154" s="199">
        <v>44613.120138888888</v>
      </c>
      <c r="L154" s="201">
        <v>156.542</v>
      </c>
      <c r="M154" s="203">
        <f t="shared" si="78"/>
        <v>-0.436</v>
      </c>
      <c r="N154" s="204">
        <f t="shared" si="79"/>
        <v>-1</v>
      </c>
      <c r="O154" s="205">
        <f t="shared" si="80"/>
        <v>0</v>
      </c>
      <c r="P154" s="206">
        <f t="shared" si="81"/>
        <v>0</v>
      </c>
      <c r="Q154" s="206">
        <f t="shared" si="82"/>
        <v>-1</v>
      </c>
      <c r="R15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10333</v>
      </c>
      <c r="T15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4" s="208">
        <f ca="1">IF(Tabla33610673486[[#This Row],[Equity]]&lt;Tabla33610673486[[#This Row],[Equity Peak]],(Tabla33610673486[[#This Row],[Equity Peak]]-Tabla33610673486[[#This Row],[Equity]])/Tabla33610673486[[#This Row],[Equity Peak]],"")</f>
        <v>4.137675109008257E-2</v>
      </c>
      <c r="V154" s="209">
        <f t="shared" si="83"/>
        <v>-1</v>
      </c>
      <c r="W154" s="209">
        <f t="shared" si="84"/>
        <v>0</v>
      </c>
      <c r="X154" s="209">
        <f t="shared" si="85"/>
        <v>0</v>
      </c>
      <c r="Y154" s="209">
        <f t="shared" si="86"/>
        <v>0</v>
      </c>
      <c r="Z154" s="209">
        <f t="shared" si="87"/>
        <v>0</v>
      </c>
      <c r="AA154" s="205">
        <f t="shared" si="88"/>
        <v>0</v>
      </c>
      <c r="AB154" s="209">
        <f t="shared" si="89"/>
        <v>0</v>
      </c>
      <c r="AC154" s="205">
        <f t="shared" si="90"/>
        <v>0</v>
      </c>
      <c r="AD154" s="210">
        <f t="shared" si="91"/>
        <v>5.7638888887595385E-2</v>
      </c>
      <c r="AE154" s="210">
        <f t="shared" si="92"/>
        <v>0</v>
      </c>
      <c r="AF154" s="210">
        <f t="shared" si="93"/>
        <v>5.7638888887595385E-2</v>
      </c>
      <c r="AG154" s="210">
        <f t="shared" si="94"/>
        <v>0</v>
      </c>
    </row>
    <row r="155" spans="2:33" ht="15" customHeight="1" x14ac:dyDescent="0.3">
      <c r="B155" s="196" t="s">
        <v>7</v>
      </c>
      <c r="C155" s="197" t="s">
        <v>15</v>
      </c>
      <c r="D155" s="198" t="str">
        <f t="shared" si="76"/>
        <v>C</v>
      </c>
      <c r="E155" s="199">
        <v>44610.447916666664</v>
      </c>
      <c r="F155" s="200" t="s">
        <v>115</v>
      </c>
      <c r="G155" s="201">
        <v>157.136</v>
      </c>
      <c r="H155" s="201">
        <v>156.69300000000001</v>
      </c>
      <c r="I155" s="202">
        <f t="shared" si="77"/>
        <v>0.44299999999998363</v>
      </c>
      <c r="J155" s="201">
        <v>158.40199999999999</v>
      </c>
      <c r="K155" s="199">
        <v>44610.629861111112</v>
      </c>
      <c r="L155" s="201">
        <v>156.69300000000001</v>
      </c>
      <c r="M155" s="203">
        <f t="shared" si="78"/>
        <v>-0.443</v>
      </c>
      <c r="N155" s="204">
        <f t="shared" si="79"/>
        <v>-1</v>
      </c>
      <c r="O155" s="205">
        <f t="shared" si="80"/>
        <v>0</v>
      </c>
      <c r="P155" s="206">
        <f t="shared" si="81"/>
        <v>0</v>
      </c>
      <c r="Q155" s="206">
        <f t="shared" si="82"/>
        <v>-1</v>
      </c>
      <c r="R15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10433</v>
      </c>
      <c r="T15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5" s="208">
        <f ca="1">IF(Tabla33610673486[[#This Row],[Equity]]&lt;Tabla33610673486[[#This Row],[Equity Peak]],(Tabla33610673486[[#This Row],[Equity Peak]]-Tabla33610673486[[#This Row],[Equity]])/Tabla33610673486[[#This Row],[Equity Peak]],"")</f>
        <v>3.2099452639391408E-2</v>
      </c>
      <c r="V155" s="209">
        <f t="shared" si="83"/>
        <v>-1</v>
      </c>
      <c r="W155" s="209">
        <f t="shared" si="84"/>
        <v>0</v>
      </c>
      <c r="X155" s="209">
        <f t="shared" si="85"/>
        <v>0</v>
      </c>
      <c r="Y155" s="209">
        <f t="shared" si="86"/>
        <v>0</v>
      </c>
      <c r="Z155" s="209">
        <f t="shared" si="87"/>
        <v>0</v>
      </c>
      <c r="AA155" s="205">
        <f t="shared" si="88"/>
        <v>0</v>
      </c>
      <c r="AB155" s="209">
        <f t="shared" si="89"/>
        <v>0</v>
      </c>
      <c r="AC155" s="205">
        <f t="shared" si="90"/>
        <v>0</v>
      </c>
      <c r="AD155" s="210">
        <f t="shared" si="91"/>
        <v>0.18194444444816327</v>
      </c>
      <c r="AE155" s="210">
        <f t="shared" si="92"/>
        <v>0</v>
      </c>
      <c r="AF155" s="210">
        <f t="shared" si="93"/>
        <v>0.18194444444816327</v>
      </c>
      <c r="AG155" s="210">
        <f t="shared" si="94"/>
        <v>0</v>
      </c>
    </row>
    <row r="156" spans="2:33" ht="15" customHeight="1" x14ac:dyDescent="0.3">
      <c r="B156" s="196" t="s">
        <v>7</v>
      </c>
      <c r="C156" s="197" t="s">
        <v>13</v>
      </c>
      <c r="D156" s="198" t="str">
        <f t="shared" si="76"/>
        <v>C</v>
      </c>
      <c r="E156" s="199">
        <v>44609.25</v>
      </c>
      <c r="F156" s="200" t="s">
        <v>115</v>
      </c>
      <c r="G156" s="201">
        <v>156.209</v>
      </c>
      <c r="H156" s="201">
        <v>156.56899999999999</v>
      </c>
      <c r="I156" s="202">
        <f t="shared" si="77"/>
        <v>0.35999999999998522</v>
      </c>
      <c r="J156" s="201">
        <v>155.179</v>
      </c>
      <c r="K156" s="199">
        <v>44609.259027777778</v>
      </c>
      <c r="L156" s="201">
        <v>156.56899999999999</v>
      </c>
      <c r="M156" s="203">
        <f t="shared" si="78"/>
        <v>-0.36</v>
      </c>
      <c r="N156" s="204">
        <f t="shared" si="79"/>
        <v>-1</v>
      </c>
      <c r="O156" s="205">
        <f t="shared" si="80"/>
        <v>0</v>
      </c>
      <c r="P156" s="206">
        <f t="shared" si="81"/>
        <v>0</v>
      </c>
      <c r="Q156" s="206">
        <f t="shared" si="82"/>
        <v>-1</v>
      </c>
      <c r="R15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10533</v>
      </c>
      <c r="T15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6" s="208">
        <f ca="1">IF(Tabla33610673486[[#This Row],[Equity]]&lt;Tabla33610673486[[#This Row],[Equity Peak]],(Tabla33610673486[[#This Row],[Equity Peak]]-Tabla33610673486[[#This Row],[Equity]])/Tabla33610673486[[#This Row],[Equity Peak]],"")</f>
        <v>2.2822154188700251E-2</v>
      </c>
      <c r="V156" s="209">
        <f t="shared" si="83"/>
        <v>-1</v>
      </c>
      <c r="W156" s="209">
        <f t="shared" si="84"/>
        <v>0</v>
      </c>
      <c r="X156" s="209">
        <f t="shared" si="85"/>
        <v>0</v>
      </c>
      <c r="Y156" s="209">
        <f t="shared" si="86"/>
        <v>0</v>
      </c>
      <c r="Z156" s="209">
        <f t="shared" si="87"/>
        <v>0</v>
      </c>
      <c r="AA156" s="205">
        <f t="shared" si="88"/>
        <v>0</v>
      </c>
      <c r="AB156" s="209">
        <f t="shared" si="89"/>
        <v>0</v>
      </c>
      <c r="AC156" s="205">
        <f t="shared" si="90"/>
        <v>0</v>
      </c>
      <c r="AD156" s="210">
        <f t="shared" si="91"/>
        <v>9.0277777781011537E-3</v>
      </c>
      <c r="AE156" s="210">
        <f t="shared" si="92"/>
        <v>0</v>
      </c>
      <c r="AF156" s="210">
        <f t="shared" si="93"/>
        <v>9.0277777781011537E-3</v>
      </c>
      <c r="AG156" s="210">
        <f t="shared" si="94"/>
        <v>0</v>
      </c>
    </row>
    <row r="157" spans="2:33" ht="15" customHeight="1" x14ac:dyDescent="0.3">
      <c r="B157" s="196" t="s">
        <v>7</v>
      </c>
      <c r="C157" s="197" t="s">
        <v>15</v>
      </c>
      <c r="D157" s="198" t="str">
        <f t="shared" si="76"/>
        <v>C</v>
      </c>
      <c r="E157" s="199">
        <v>44608.385416666664</v>
      </c>
      <c r="F157" s="200" t="s">
        <v>115</v>
      </c>
      <c r="G157" s="201">
        <v>156.83699999999999</v>
      </c>
      <c r="H157" s="201">
        <v>156.47</v>
      </c>
      <c r="I157" s="202">
        <f t="shared" si="77"/>
        <v>0.36699999999999022</v>
      </c>
      <c r="J157" s="201">
        <v>157.886</v>
      </c>
      <c r="K157" s="199">
        <v>44608.658333333333</v>
      </c>
      <c r="L157" s="201">
        <v>156.58099999999999</v>
      </c>
      <c r="M157" s="203">
        <f t="shared" si="78"/>
        <v>-0.25600000000000001</v>
      </c>
      <c r="N157" s="204">
        <f t="shared" si="79"/>
        <v>-0.7</v>
      </c>
      <c r="O157" s="205">
        <f t="shared" si="80"/>
        <v>0</v>
      </c>
      <c r="P157" s="206">
        <f t="shared" si="81"/>
        <v>0</v>
      </c>
      <c r="Q157" s="206">
        <f t="shared" si="82"/>
        <v>-0.7</v>
      </c>
      <c r="R15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10633</v>
      </c>
      <c r="T15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7" s="208">
        <f ca="1">IF(Tabla33610673486[[#This Row],[Equity]]&lt;Tabla33610673486[[#This Row],[Equity Peak]],(Tabla33610673486[[#This Row],[Equity Peak]]-Tabla33610673486[[#This Row],[Equity]])/Tabla33610673486[[#This Row],[Equity Peak]],"")</f>
        <v>1.3544855738009091E-2</v>
      </c>
      <c r="V157" s="209">
        <f t="shared" si="83"/>
        <v>-0.7</v>
      </c>
      <c r="W157" s="209">
        <f t="shared" si="84"/>
        <v>0</v>
      </c>
      <c r="X157" s="209">
        <f t="shared" si="85"/>
        <v>0</v>
      </c>
      <c r="Y157" s="209">
        <f t="shared" si="86"/>
        <v>0</v>
      </c>
      <c r="Z157" s="209">
        <f t="shared" si="87"/>
        <v>0</v>
      </c>
      <c r="AA157" s="205">
        <f t="shared" si="88"/>
        <v>0</v>
      </c>
      <c r="AB157" s="209">
        <f t="shared" si="89"/>
        <v>0</v>
      </c>
      <c r="AC157" s="205">
        <f t="shared" si="90"/>
        <v>0</v>
      </c>
      <c r="AD157" s="210">
        <f t="shared" si="91"/>
        <v>0.27291666666860692</v>
      </c>
      <c r="AE157" s="210">
        <f t="shared" si="92"/>
        <v>0</v>
      </c>
      <c r="AF157" s="210">
        <f t="shared" si="93"/>
        <v>0.27291666666860692</v>
      </c>
      <c r="AG157" s="210">
        <f t="shared" si="94"/>
        <v>0</v>
      </c>
    </row>
    <row r="158" spans="2:33" ht="15" customHeight="1" x14ac:dyDescent="0.3">
      <c r="B158" s="196" t="s">
        <v>7</v>
      </c>
      <c r="C158" s="197" t="s">
        <v>13</v>
      </c>
      <c r="D158" s="198" t="str">
        <f t="shared" si="76"/>
        <v>C</v>
      </c>
      <c r="E158" s="199">
        <v>44606.4375</v>
      </c>
      <c r="F158" s="200" t="s">
        <v>115</v>
      </c>
      <c r="G158" s="201">
        <v>155.624</v>
      </c>
      <c r="H158" s="201">
        <v>156.09</v>
      </c>
      <c r="I158" s="202">
        <f t="shared" si="77"/>
        <v>0.46600000000000819</v>
      </c>
      <c r="J158" s="201">
        <v>154.291</v>
      </c>
      <c r="K158" s="199">
        <v>44606.609027777777</v>
      </c>
      <c r="L158" s="201">
        <v>155.935</v>
      </c>
      <c r="M158" s="203">
        <f t="shared" si="78"/>
        <v>-0.311</v>
      </c>
      <c r="N158" s="204">
        <f t="shared" si="79"/>
        <v>-0.67</v>
      </c>
      <c r="O158" s="205">
        <f t="shared" si="80"/>
        <v>0</v>
      </c>
      <c r="P158" s="206">
        <f t="shared" si="81"/>
        <v>0</v>
      </c>
      <c r="Q158" s="206">
        <f t="shared" si="82"/>
        <v>-0.67</v>
      </c>
      <c r="R15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10703</v>
      </c>
      <c r="T15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8" s="208">
        <f ca="1">IF(Tabla33610673486[[#This Row],[Equity]]&lt;Tabla33610673486[[#This Row],[Equity Peak]],(Tabla33610673486[[#This Row],[Equity Peak]]-Tabla33610673486[[#This Row],[Equity]])/Tabla33610673486[[#This Row],[Equity Peak]],"")</f>
        <v>7.0507468225252806E-3</v>
      </c>
      <c r="V158" s="209">
        <f t="shared" si="83"/>
        <v>-0.67</v>
      </c>
      <c r="W158" s="209">
        <f t="shared" si="84"/>
        <v>0</v>
      </c>
      <c r="X158" s="209">
        <f t="shared" si="85"/>
        <v>0</v>
      </c>
      <c r="Y158" s="209">
        <f t="shared" si="86"/>
        <v>0</v>
      </c>
      <c r="Z158" s="209">
        <f t="shared" si="87"/>
        <v>0</v>
      </c>
      <c r="AA158" s="205">
        <f t="shared" si="88"/>
        <v>0</v>
      </c>
      <c r="AB158" s="209">
        <f t="shared" si="89"/>
        <v>0</v>
      </c>
      <c r="AC158" s="205">
        <f t="shared" si="90"/>
        <v>0</v>
      </c>
      <c r="AD158" s="210">
        <f t="shared" si="91"/>
        <v>0.17152777777664596</v>
      </c>
      <c r="AE158" s="210">
        <f t="shared" si="92"/>
        <v>0</v>
      </c>
      <c r="AF158" s="210">
        <f t="shared" si="93"/>
        <v>0.17152777777664596</v>
      </c>
      <c r="AG158" s="210">
        <f t="shared" si="94"/>
        <v>0</v>
      </c>
    </row>
    <row r="159" spans="2:33" ht="15" customHeight="1" x14ac:dyDescent="0.3">
      <c r="B159" s="196" t="s">
        <v>7</v>
      </c>
      <c r="C159" s="197" t="s">
        <v>13</v>
      </c>
      <c r="D159" s="198" t="str">
        <f t="shared" si="76"/>
        <v>C</v>
      </c>
      <c r="E159" s="199">
        <v>44603.875</v>
      </c>
      <c r="F159" s="200" t="s">
        <v>115</v>
      </c>
      <c r="G159" s="201">
        <v>156.56899999999999</v>
      </c>
      <c r="H159" s="201">
        <v>156.97800000000001</v>
      </c>
      <c r="I159" s="202">
        <f t="shared" si="77"/>
        <v>0.40900000000002024</v>
      </c>
      <c r="J159" s="201">
        <v>155.40100000000001</v>
      </c>
      <c r="K159" s="199">
        <v>44603.996527777781</v>
      </c>
      <c r="L159" s="201">
        <v>156.607</v>
      </c>
      <c r="M159" s="203">
        <f t="shared" si="78"/>
        <v>-3.7999999999999999E-2</v>
      </c>
      <c r="N159" s="204">
        <f t="shared" si="79"/>
        <v>-0.09</v>
      </c>
      <c r="O159" s="205">
        <f t="shared" si="80"/>
        <v>0</v>
      </c>
      <c r="P159" s="206">
        <f t="shared" si="81"/>
        <v>0</v>
      </c>
      <c r="Q159" s="206">
        <f t="shared" si="82"/>
        <v>-0.09</v>
      </c>
      <c r="R15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5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10770</v>
      </c>
      <c r="T15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59" s="208">
        <f ca="1">IF(Tabla33610673486[[#This Row],[Equity]]&lt;Tabla33610673486[[#This Row],[Equity Peak]],(Tabla33610673486[[#This Row],[Equity Peak]]-Tabla33610673486[[#This Row],[Equity]])/Tabla33610673486[[#This Row],[Equity Peak]],"")</f>
        <v>8.3495686056220427E-4</v>
      </c>
      <c r="V159" s="209">
        <f t="shared" si="83"/>
        <v>-0.09</v>
      </c>
      <c r="W159" s="209">
        <f t="shared" si="84"/>
        <v>0</v>
      </c>
      <c r="X159" s="209">
        <f t="shared" si="85"/>
        <v>0</v>
      </c>
      <c r="Y159" s="209">
        <f t="shared" si="86"/>
        <v>0</v>
      </c>
      <c r="Z159" s="209">
        <f t="shared" si="87"/>
        <v>0</v>
      </c>
      <c r="AA159" s="205">
        <f t="shared" si="88"/>
        <v>0</v>
      </c>
      <c r="AB159" s="209">
        <f t="shared" si="89"/>
        <v>0</v>
      </c>
      <c r="AC159" s="205">
        <f t="shared" si="90"/>
        <v>0</v>
      </c>
      <c r="AD159" s="210">
        <f t="shared" si="91"/>
        <v>0.12152777778101154</v>
      </c>
      <c r="AE159" s="210">
        <f t="shared" si="92"/>
        <v>0</v>
      </c>
      <c r="AF159" s="210">
        <f t="shared" si="93"/>
        <v>0.12152777778101154</v>
      </c>
      <c r="AG159" s="210">
        <f t="shared" si="94"/>
        <v>0</v>
      </c>
    </row>
    <row r="160" spans="2:33" ht="15" customHeight="1" x14ac:dyDescent="0.3">
      <c r="B160" s="196" t="s">
        <v>7</v>
      </c>
      <c r="C160" s="197" t="s">
        <v>15</v>
      </c>
      <c r="D160" s="198" t="str">
        <f t="shared" si="76"/>
        <v>C</v>
      </c>
      <c r="E160" s="199">
        <v>44602.46875</v>
      </c>
      <c r="F160" s="200" t="s">
        <v>115</v>
      </c>
      <c r="G160" s="201">
        <v>157</v>
      </c>
      <c r="H160" s="201">
        <v>156.71100000000001</v>
      </c>
      <c r="I160" s="202">
        <f t="shared" si="77"/>
        <v>0.28899999999998727</v>
      </c>
      <c r="J160" s="201">
        <v>157.82499999999999</v>
      </c>
      <c r="K160" s="199">
        <v>44602.738194444442</v>
      </c>
      <c r="L160" s="201">
        <v>157.82499999999999</v>
      </c>
      <c r="M160" s="203">
        <f t="shared" si="78"/>
        <v>0.82499999999999996</v>
      </c>
      <c r="N160" s="204">
        <f t="shared" si="79"/>
        <v>2.85</v>
      </c>
      <c r="O160" s="205">
        <f t="shared" si="80"/>
        <v>0</v>
      </c>
      <c r="P160" s="206">
        <f t="shared" si="81"/>
        <v>2.85</v>
      </c>
      <c r="Q160" s="206">
        <f t="shared" si="82"/>
        <v>0</v>
      </c>
      <c r="R16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10779</v>
      </c>
      <c r="T16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10779</v>
      </c>
      <c r="U16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60" s="209">
        <f t="shared" si="83"/>
        <v>2.85</v>
      </c>
      <c r="W160" s="209">
        <f t="shared" si="84"/>
        <v>0</v>
      </c>
      <c r="X160" s="209">
        <f t="shared" si="85"/>
        <v>0</v>
      </c>
      <c r="Y160" s="209">
        <f t="shared" si="86"/>
        <v>0</v>
      </c>
      <c r="Z160" s="209">
        <f t="shared" si="87"/>
        <v>0</v>
      </c>
      <c r="AA160" s="205">
        <f t="shared" si="88"/>
        <v>0</v>
      </c>
      <c r="AB160" s="209">
        <f t="shared" si="89"/>
        <v>0</v>
      </c>
      <c r="AC160" s="205">
        <f t="shared" si="90"/>
        <v>0</v>
      </c>
      <c r="AD160" s="210">
        <f t="shared" si="91"/>
        <v>0.2694444444423425</v>
      </c>
      <c r="AE160" s="210">
        <f t="shared" si="92"/>
        <v>0.2694444444423425</v>
      </c>
      <c r="AF160" s="210">
        <f t="shared" si="93"/>
        <v>0</v>
      </c>
      <c r="AG160" s="210">
        <f t="shared" si="94"/>
        <v>0</v>
      </c>
    </row>
    <row r="161" spans="2:33" ht="15" customHeight="1" x14ac:dyDescent="0.3">
      <c r="B161" s="196" t="s">
        <v>7</v>
      </c>
      <c r="C161" s="197" t="s">
        <v>15</v>
      </c>
      <c r="D161" s="198" t="str">
        <f t="shared" si="76"/>
        <v>C</v>
      </c>
      <c r="E161" s="199">
        <v>44600.354166666664</v>
      </c>
      <c r="F161" s="200" t="s">
        <v>115</v>
      </c>
      <c r="G161" s="201">
        <v>156.22999999999999</v>
      </c>
      <c r="H161" s="201">
        <v>155.90899999999999</v>
      </c>
      <c r="I161" s="202">
        <f t="shared" si="77"/>
        <v>0.32099999999999795</v>
      </c>
      <c r="J161" s="201">
        <v>157.148</v>
      </c>
      <c r="K161" s="199">
        <v>44601.789583333331</v>
      </c>
      <c r="L161" s="201">
        <v>156.34800000000001</v>
      </c>
      <c r="M161" s="203">
        <f t="shared" si="78"/>
        <v>0.11799999999999999</v>
      </c>
      <c r="N161" s="204">
        <f t="shared" si="79"/>
        <v>0.37</v>
      </c>
      <c r="O161" s="205">
        <f t="shared" si="80"/>
        <v>0</v>
      </c>
      <c r="P161" s="206">
        <f t="shared" si="81"/>
        <v>0.37</v>
      </c>
      <c r="Q161" s="206">
        <f t="shared" si="82"/>
        <v>0</v>
      </c>
      <c r="R16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10494</v>
      </c>
      <c r="T16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10494</v>
      </c>
      <c r="U161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61" s="209">
        <f t="shared" si="83"/>
        <v>0.37</v>
      </c>
      <c r="W161" s="209">
        <f t="shared" si="84"/>
        <v>0</v>
      </c>
      <c r="X161" s="209">
        <f t="shared" si="85"/>
        <v>0</v>
      </c>
      <c r="Y161" s="209">
        <f t="shared" si="86"/>
        <v>0</v>
      </c>
      <c r="Z161" s="209">
        <f t="shared" si="87"/>
        <v>0</v>
      </c>
      <c r="AA161" s="205">
        <f t="shared" si="88"/>
        <v>0</v>
      </c>
      <c r="AB161" s="209">
        <f t="shared" si="89"/>
        <v>0</v>
      </c>
      <c r="AC161" s="205">
        <f t="shared" si="90"/>
        <v>0</v>
      </c>
      <c r="AD161" s="210">
        <f t="shared" si="91"/>
        <v>1.4354166666671517</v>
      </c>
      <c r="AE161" s="210">
        <f t="shared" si="92"/>
        <v>1.4354166666671517</v>
      </c>
      <c r="AF161" s="210">
        <f t="shared" si="93"/>
        <v>0</v>
      </c>
      <c r="AG161" s="210">
        <f t="shared" si="94"/>
        <v>0</v>
      </c>
    </row>
    <row r="162" spans="2:33" ht="15" customHeight="1" x14ac:dyDescent="0.3">
      <c r="B162" s="196" t="s">
        <v>7</v>
      </c>
      <c r="C162" s="197" t="s">
        <v>13</v>
      </c>
      <c r="D162" s="198" t="str">
        <f t="shared" si="76"/>
        <v>C</v>
      </c>
      <c r="E162" s="199">
        <v>44599.489583333336</v>
      </c>
      <c r="F162" s="200" t="s">
        <v>115</v>
      </c>
      <c r="G162" s="201">
        <v>155.53299999999999</v>
      </c>
      <c r="H162" s="201">
        <v>155.88300000000001</v>
      </c>
      <c r="I162" s="202">
        <f t="shared" si="77"/>
        <v>0.35000000000002274</v>
      </c>
      <c r="J162" s="201">
        <v>154.53399999999999</v>
      </c>
      <c r="K162" s="199">
        <v>44599.706250000003</v>
      </c>
      <c r="L162" s="201">
        <v>155.64599999999999</v>
      </c>
      <c r="M162" s="203">
        <f t="shared" si="78"/>
        <v>-0.113</v>
      </c>
      <c r="N162" s="204">
        <f t="shared" si="79"/>
        <v>-0.32</v>
      </c>
      <c r="O162" s="205">
        <f t="shared" si="80"/>
        <v>0</v>
      </c>
      <c r="P162" s="206">
        <f t="shared" si="81"/>
        <v>0</v>
      </c>
      <c r="Q162" s="206">
        <f t="shared" si="82"/>
        <v>-0.32</v>
      </c>
      <c r="R16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10457</v>
      </c>
      <c r="T16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10489</v>
      </c>
      <c r="U162" s="208">
        <f ca="1">IF(Tabla33610673486[[#This Row],[Equity]]&lt;Tabla33610673486[[#This Row],[Equity Peak]],(Tabla33610673486[[#This Row],[Equity Peak]]-Tabla33610673486[[#This Row],[Equity]])/Tabla33610673486[[#This Row],[Equity Peak]],"")</f>
        <v>3.0508151396701306E-3</v>
      </c>
      <c r="V162" s="209">
        <f t="shared" si="83"/>
        <v>-0.32</v>
      </c>
      <c r="W162" s="209">
        <f t="shared" si="84"/>
        <v>0</v>
      </c>
      <c r="X162" s="209">
        <f t="shared" si="85"/>
        <v>0</v>
      </c>
      <c r="Y162" s="209">
        <f t="shared" si="86"/>
        <v>0</v>
      </c>
      <c r="Z162" s="209">
        <f t="shared" si="87"/>
        <v>0</v>
      </c>
      <c r="AA162" s="205">
        <f t="shared" si="88"/>
        <v>0</v>
      </c>
      <c r="AB162" s="209">
        <f t="shared" si="89"/>
        <v>0</v>
      </c>
      <c r="AC162" s="205">
        <f t="shared" si="90"/>
        <v>0</v>
      </c>
      <c r="AD162" s="210">
        <f t="shared" si="91"/>
        <v>0.21666666666715173</v>
      </c>
      <c r="AE162" s="210">
        <f t="shared" si="92"/>
        <v>0</v>
      </c>
      <c r="AF162" s="210">
        <f t="shared" si="93"/>
        <v>0.21666666666715173</v>
      </c>
      <c r="AG162" s="210">
        <f t="shared" si="94"/>
        <v>0</v>
      </c>
    </row>
    <row r="163" spans="2:33" ht="15" customHeight="1" x14ac:dyDescent="0.3">
      <c r="B163" s="196" t="s">
        <v>7</v>
      </c>
      <c r="C163" s="197" t="s">
        <v>15</v>
      </c>
      <c r="D163" s="198" t="str">
        <f t="shared" si="76"/>
        <v>C</v>
      </c>
      <c r="E163" s="199">
        <v>44594.885416666664</v>
      </c>
      <c r="F163" s="200" t="s">
        <v>115</v>
      </c>
      <c r="G163" s="201">
        <v>155.345</v>
      </c>
      <c r="H163" s="201">
        <v>155.018</v>
      </c>
      <c r="I163" s="202">
        <f t="shared" si="77"/>
        <v>0.32699999999999818</v>
      </c>
      <c r="J163" s="201">
        <v>156.279</v>
      </c>
      <c r="K163" s="199">
        <v>44595.585416666669</v>
      </c>
      <c r="L163" s="201">
        <v>156.279</v>
      </c>
      <c r="M163" s="203">
        <f t="shared" si="78"/>
        <v>0.93400000000000005</v>
      </c>
      <c r="N163" s="204">
        <f t="shared" si="79"/>
        <v>2.86</v>
      </c>
      <c r="O163" s="205">
        <f t="shared" si="80"/>
        <v>0</v>
      </c>
      <c r="P163" s="206">
        <f t="shared" si="81"/>
        <v>2.86</v>
      </c>
      <c r="Q163" s="206">
        <f t="shared" si="82"/>
        <v>0</v>
      </c>
      <c r="R16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10489</v>
      </c>
      <c r="T16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10489</v>
      </c>
      <c r="U163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63" s="209">
        <f t="shared" si="83"/>
        <v>2.86</v>
      </c>
      <c r="W163" s="209">
        <f t="shared" si="84"/>
        <v>0</v>
      </c>
      <c r="X163" s="209">
        <f t="shared" si="85"/>
        <v>0</v>
      </c>
      <c r="Y163" s="209">
        <f t="shared" si="86"/>
        <v>0</v>
      </c>
      <c r="Z163" s="209">
        <f t="shared" si="87"/>
        <v>0</v>
      </c>
      <c r="AA163" s="205">
        <f t="shared" si="88"/>
        <v>0</v>
      </c>
      <c r="AB163" s="209">
        <f t="shared" si="89"/>
        <v>0</v>
      </c>
      <c r="AC163" s="205">
        <f t="shared" si="90"/>
        <v>0</v>
      </c>
      <c r="AD163" s="210">
        <f t="shared" si="91"/>
        <v>0.70000000000436557</v>
      </c>
      <c r="AE163" s="210">
        <f t="shared" si="92"/>
        <v>0.70000000000436557</v>
      </c>
      <c r="AF163" s="210">
        <f t="shared" si="93"/>
        <v>0</v>
      </c>
      <c r="AG163" s="210">
        <f t="shared" si="94"/>
        <v>0</v>
      </c>
    </row>
    <row r="164" spans="2:33" ht="15" customHeight="1" x14ac:dyDescent="0.3">
      <c r="B164" s="196" t="s">
        <v>7</v>
      </c>
      <c r="C164" s="197" t="s">
        <v>15</v>
      </c>
      <c r="D164" s="198" t="str">
        <f t="shared" si="76"/>
        <v>C</v>
      </c>
      <c r="E164" s="199">
        <v>44592.416666666664</v>
      </c>
      <c r="F164" s="200" t="s">
        <v>115</v>
      </c>
      <c r="G164" s="201">
        <v>155.08099999999999</v>
      </c>
      <c r="H164" s="201">
        <v>154.69800000000001</v>
      </c>
      <c r="I164" s="202">
        <f t="shared" si="77"/>
        <v>0.38299999999998136</v>
      </c>
      <c r="J164" s="201">
        <v>156.17500000000001</v>
      </c>
      <c r="K164" s="199">
        <v>44592.581944444442</v>
      </c>
      <c r="L164" s="201">
        <v>154.85900000000001</v>
      </c>
      <c r="M164" s="203">
        <f t="shared" si="78"/>
        <v>-0.222</v>
      </c>
      <c r="N164" s="204">
        <f t="shared" si="79"/>
        <v>-0.57999999999999996</v>
      </c>
      <c r="O164" s="205">
        <f t="shared" si="80"/>
        <v>0</v>
      </c>
      <c r="P164" s="206">
        <f t="shared" si="81"/>
        <v>0</v>
      </c>
      <c r="Q164" s="206">
        <f t="shared" si="82"/>
        <v>-0.57999999999999996</v>
      </c>
      <c r="R16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10203</v>
      </c>
      <c r="T16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10346</v>
      </c>
      <c r="U164" s="208">
        <f ca="1">IF(Tabla33610673486[[#This Row],[Equity]]&lt;Tabla33610673486[[#This Row],[Equity Peak]],(Tabla33610673486[[#This Row],[Equity Peak]]-Tabla33610673486[[#This Row],[Equity]])/Tabla33610673486[[#This Row],[Equity Peak]],"")</f>
        <v>1.3821766866421805E-2</v>
      </c>
      <c r="V164" s="209">
        <f t="shared" si="83"/>
        <v>-0.57999999999999996</v>
      </c>
      <c r="W164" s="209">
        <f t="shared" si="84"/>
        <v>0</v>
      </c>
      <c r="X164" s="209">
        <f t="shared" si="85"/>
        <v>0</v>
      </c>
      <c r="Y164" s="209">
        <f t="shared" si="86"/>
        <v>0</v>
      </c>
      <c r="Z164" s="209">
        <f t="shared" si="87"/>
        <v>0</v>
      </c>
      <c r="AA164" s="205">
        <f t="shared" si="88"/>
        <v>0</v>
      </c>
      <c r="AB164" s="209">
        <f t="shared" si="89"/>
        <v>0</v>
      </c>
      <c r="AC164" s="205">
        <f t="shared" si="90"/>
        <v>0</v>
      </c>
      <c r="AD164" s="210">
        <f t="shared" si="91"/>
        <v>0.16527777777810115</v>
      </c>
      <c r="AE164" s="210">
        <f t="shared" si="92"/>
        <v>0</v>
      </c>
      <c r="AF164" s="210">
        <f t="shared" si="93"/>
        <v>0.16527777777810115</v>
      </c>
      <c r="AG164" s="210">
        <f t="shared" si="94"/>
        <v>0</v>
      </c>
    </row>
    <row r="165" spans="2:33" ht="15" customHeight="1" x14ac:dyDescent="0.3">
      <c r="B165" s="196" t="s">
        <v>7</v>
      </c>
      <c r="C165" s="197" t="s">
        <v>15</v>
      </c>
      <c r="D165" s="198" t="str">
        <f t="shared" si="76"/>
        <v>C</v>
      </c>
      <c r="E165" s="199">
        <v>44589.28125</v>
      </c>
      <c r="F165" s="200" t="s">
        <v>115</v>
      </c>
      <c r="G165" s="201">
        <v>154.74700000000001</v>
      </c>
      <c r="H165" s="201">
        <v>154.30000000000001</v>
      </c>
      <c r="I165" s="202">
        <f t="shared" si="77"/>
        <v>0.44700000000000273</v>
      </c>
      <c r="J165" s="201">
        <v>156.023</v>
      </c>
      <c r="K165" s="199">
        <v>44589.463888888888</v>
      </c>
      <c r="L165" s="201">
        <v>154.36600000000001</v>
      </c>
      <c r="M165" s="203">
        <f t="shared" si="78"/>
        <v>-0.38100000000000001</v>
      </c>
      <c r="N165" s="204">
        <f t="shared" si="79"/>
        <v>-0.85</v>
      </c>
      <c r="O165" s="205">
        <f t="shared" si="80"/>
        <v>0</v>
      </c>
      <c r="P165" s="206">
        <f t="shared" si="81"/>
        <v>0</v>
      </c>
      <c r="Q165" s="206">
        <f t="shared" si="82"/>
        <v>-0.85</v>
      </c>
      <c r="R16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10261</v>
      </c>
      <c r="T16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10346</v>
      </c>
      <c r="U165" s="208">
        <f ca="1">IF(Tabla33610673486[[#This Row],[Equity]]&lt;Tabla33610673486[[#This Row],[Equity Peak]],(Tabla33610673486[[#This Row],[Equity Peak]]-Tabla33610673486[[#This Row],[Equity]])/Tabla33610673486[[#This Row],[Equity Peak]],"")</f>
        <v>8.2157355499710028E-3</v>
      </c>
      <c r="V165" s="209">
        <f t="shared" si="83"/>
        <v>-0.85</v>
      </c>
      <c r="W165" s="209">
        <f t="shared" si="84"/>
        <v>0</v>
      </c>
      <c r="X165" s="209">
        <f t="shared" si="85"/>
        <v>0</v>
      </c>
      <c r="Y165" s="209">
        <f t="shared" si="86"/>
        <v>0</v>
      </c>
      <c r="Z165" s="209">
        <f t="shared" si="87"/>
        <v>0</v>
      </c>
      <c r="AA165" s="205">
        <f t="shared" si="88"/>
        <v>0</v>
      </c>
      <c r="AB165" s="209">
        <f t="shared" si="89"/>
        <v>0</v>
      </c>
      <c r="AC165" s="205">
        <f t="shared" si="90"/>
        <v>0</v>
      </c>
      <c r="AD165" s="210">
        <f t="shared" si="91"/>
        <v>0.18263888888759539</v>
      </c>
      <c r="AE165" s="210">
        <f t="shared" si="92"/>
        <v>0</v>
      </c>
      <c r="AF165" s="210">
        <f t="shared" si="93"/>
        <v>0.18263888888759539</v>
      </c>
      <c r="AG165" s="210">
        <f t="shared" si="94"/>
        <v>0</v>
      </c>
    </row>
    <row r="166" spans="2:33" ht="15" customHeight="1" x14ac:dyDescent="0.3">
      <c r="B166" s="196" t="s">
        <v>7</v>
      </c>
      <c r="C166" s="197" t="s">
        <v>15</v>
      </c>
      <c r="D166" s="198" t="str">
        <f t="shared" si="76"/>
        <v>C</v>
      </c>
      <c r="E166" s="199">
        <v>44586.90625</v>
      </c>
      <c r="F166" s="200" t="s">
        <v>115</v>
      </c>
      <c r="G166" s="201">
        <v>153.983</v>
      </c>
      <c r="H166" s="201">
        <v>153.49199999999999</v>
      </c>
      <c r="I166" s="202">
        <f t="shared" si="77"/>
        <v>0.49100000000001387</v>
      </c>
      <c r="J166" s="201">
        <v>155.38499999999999</v>
      </c>
      <c r="K166" s="199">
        <v>44587.921527777777</v>
      </c>
      <c r="L166" s="201">
        <v>154.00200000000001</v>
      </c>
      <c r="M166" s="203">
        <f t="shared" si="78"/>
        <v>1.9E-2</v>
      </c>
      <c r="N166" s="204">
        <f t="shared" si="79"/>
        <v>0.04</v>
      </c>
      <c r="O166" s="205">
        <f t="shared" si="80"/>
        <v>0</v>
      </c>
      <c r="P166" s="206">
        <f t="shared" si="81"/>
        <v>0.04</v>
      </c>
      <c r="Q166" s="206">
        <f t="shared" si="82"/>
        <v>0</v>
      </c>
      <c r="R16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10346</v>
      </c>
      <c r="T16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10346</v>
      </c>
      <c r="U166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66" s="209">
        <f t="shared" si="83"/>
        <v>0.04</v>
      </c>
      <c r="W166" s="209">
        <f t="shared" si="84"/>
        <v>0</v>
      </c>
      <c r="X166" s="209">
        <f t="shared" si="85"/>
        <v>0</v>
      </c>
      <c r="Y166" s="209">
        <f t="shared" si="86"/>
        <v>0</v>
      </c>
      <c r="Z166" s="209">
        <f t="shared" si="87"/>
        <v>0</v>
      </c>
      <c r="AA166" s="205">
        <f t="shared" si="88"/>
        <v>0</v>
      </c>
      <c r="AB166" s="209">
        <f t="shared" si="89"/>
        <v>0</v>
      </c>
      <c r="AC166" s="205">
        <f t="shared" si="90"/>
        <v>0</v>
      </c>
      <c r="AD166" s="210">
        <f t="shared" si="91"/>
        <v>1.015277777776646</v>
      </c>
      <c r="AE166" s="210">
        <f t="shared" si="92"/>
        <v>1.015277777776646</v>
      </c>
      <c r="AF166" s="210">
        <f t="shared" si="93"/>
        <v>0</v>
      </c>
      <c r="AG166" s="210">
        <f t="shared" si="94"/>
        <v>0</v>
      </c>
    </row>
    <row r="167" spans="2:33" ht="15" customHeight="1" x14ac:dyDescent="0.3">
      <c r="B167" s="196" t="s">
        <v>7</v>
      </c>
      <c r="C167" s="197" t="s">
        <v>13</v>
      </c>
      <c r="D167" s="198" t="str">
        <f t="shared" si="76"/>
        <v>C</v>
      </c>
      <c r="E167" s="199">
        <v>44585.458333333336</v>
      </c>
      <c r="F167" s="200" t="s">
        <v>115</v>
      </c>
      <c r="G167" s="201">
        <v>153.75899999999999</v>
      </c>
      <c r="H167" s="201">
        <v>154.155</v>
      </c>
      <c r="I167" s="202">
        <f t="shared" si="77"/>
        <v>0.39600000000001501</v>
      </c>
      <c r="J167" s="201">
        <v>152.62700000000001</v>
      </c>
      <c r="K167" s="199">
        <v>44585.95208333333</v>
      </c>
      <c r="L167" s="201">
        <v>153.69499999999999</v>
      </c>
      <c r="M167" s="203">
        <f t="shared" si="78"/>
        <v>6.4000000000000001E-2</v>
      </c>
      <c r="N167" s="204">
        <f t="shared" si="79"/>
        <v>0.16</v>
      </c>
      <c r="O167" s="205">
        <f t="shared" si="80"/>
        <v>0</v>
      </c>
      <c r="P167" s="206">
        <f t="shared" si="81"/>
        <v>0.16</v>
      </c>
      <c r="Q167" s="206">
        <f t="shared" si="82"/>
        <v>0</v>
      </c>
      <c r="R16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10342</v>
      </c>
      <c r="T16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10342</v>
      </c>
      <c r="U167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67" s="209">
        <f t="shared" si="83"/>
        <v>0.16</v>
      </c>
      <c r="W167" s="209">
        <f t="shared" si="84"/>
        <v>0</v>
      </c>
      <c r="X167" s="209">
        <f t="shared" si="85"/>
        <v>0</v>
      </c>
      <c r="Y167" s="209">
        <f t="shared" si="86"/>
        <v>0</v>
      </c>
      <c r="Z167" s="209">
        <f t="shared" si="87"/>
        <v>0</v>
      </c>
      <c r="AA167" s="205">
        <f t="shared" si="88"/>
        <v>0</v>
      </c>
      <c r="AB167" s="209">
        <f t="shared" si="89"/>
        <v>0</v>
      </c>
      <c r="AC167" s="205">
        <f t="shared" si="90"/>
        <v>0</v>
      </c>
      <c r="AD167" s="210">
        <f t="shared" si="91"/>
        <v>0.49374999999417923</v>
      </c>
      <c r="AE167" s="210">
        <f t="shared" si="92"/>
        <v>0.49374999999417923</v>
      </c>
      <c r="AF167" s="210">
        <f t="shared" si="93"/>
        <v>0</v>
      </c>
      <c r="AG167" s="210">
        <f t="shared" si="94"/>
        <v>0</v>
      </c>
    </row>
    <row r="168" spans="2:33" ht="15" customHeight="1" x14ac:dyDescent="0.3">
      <c r="B168" s="196" t="s">
        <v>7</v>
      </c>
      <c r="C168" s="197" t="s">
        <v>13</v>
      </c>
      <c r="D168" s="198" t="str">
        <f t="shared" si="76"/>
        <v>C</v>
      </c>
      <c r="E168" s="199">
        <v>44581.927083333336</v>
      </c>
      <c r="F168" s="200" t="s">
        <v>115</v>
      </c>
      <c r="G168" s="201">
        <v>155.31700000000001</v>
      </c>
      <c r="H168" s="201">
        <v>155.67599999999999</v>
      </c>
      <c r="I168" s="202">
        <f t="shared" si="77"/>
        <v>0.35899999999998045</v>
      </c>
      <c r="J168" s="201">
        <v>154.29</v>
      </c>
      <c r="K168" s="199">
        <v>44582.563888888886</v>
      </c>
      <c r="L168" s="201">
        <v>154.29</v>
      </c>
      <c r="M168" s="203">
        <f t="shared" si="78"/>
        <v>1.0269999999999999</v>
      </c>
      <c r="N168" s="204">
        <f t="shared" si="79"/>
        <v>2.86</v>
      </c>
      <c r="O168" s="205">
        <f t="shared" si="80"/>
        <v>0</v>
      </c>
      <c r="P168" s="206">
        <f t="shared" si="81"/>
        <v>2.86</v>
      </c>
      <c r="Q168" s="206">
        <f t="shared" si="82"/>
        <v>0</v>
      </c>
      <c r="R16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10326</v>
      </c>
      <c r="T16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10326</v>
      </c>
      <c r="U168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68" s="209">
        <f t="shared" si="83"/>
        <v>2.86</v>
      </c>
      <c r="W168" s="209">
        <f t="shared" si="84"/>
        <v>0</v>
      </c>
      <c r="X168" s="209">
        <f t="shared" si="85"/>
        <v>0</v>
      </c>
      <c r="Y168" s="209">
        <f t="shared" si="86"/>
        <v>0</v>
      </c>
      <c r="Z168" s="209">
        <f t="shared" si="87"/>
        <v>0</v>
      </c>
      <c r="AA168" s="205">
        <f t="shared" si="88"/>
        <v>0</v>
      </c>
      <c r="AB168" s="209">
        <f t="shared" si="89"/>
        <v>0</v>
      </c>
      <c r="AC168" s="205">
        <f t="shared" si="90"/>
        <v>0</v>
      </c>
      <c r="AD168" s="210">
        <f t="shared" si="91"/>
        <v>0.63680555555038154</v>
      </c>
      <c r="AE168" s="210">
        <f t="shared" si="92"/>
        <v>0.63680555555038154</v>
      </c>
      <c r="AF168" s="210">
        <f t="shared" si="93"/>
        <v>0</v>
      </c>
      <c r="AG168" s="210">
        <f t="shared" si="94"/>
        <v>0</v>
      </c>
    </row>
    <row r="169" spans="2:33" ht="15" customHeight="1" x14ac:dyDescent="0.3">
      <c r="B169" s="196" t="s">
        <v>7</v>
      </c>
      <c r="C169" s="197" t="s">
        <v>13</v>
      </c>
      <c r="D169" s="198" t="str">
        <f t="shared" si="76"/>
        <v>C</v>
      </c>
      <c r="E169" s="199">
        <v>44579.46875</v>
      </c>
      <c r="F169" s="200" t="s">
        <v>115</v>
      </c>
      <c r="G169" s="201">
        <v>156.21</v>
      </c>
      <c r="H169" s="201">
        <v>156.518</v>
      </c>
      <c r="I169" s="202">
        <f t="shared" si="77"/>
        <v>0.30799999999999272</v>
      </c>
      <c r="J169" s="201">
        <v>155.33000000000001</v>
      </c>
      <c r="K169" s="199">
        <v>44580.489583333336</v>
      </c>
      <c r="L169" s="201">
        <v>155.95699999999999</v>
      </c>
      <c r="M169" s="203">
        <f t="shared" si="78"/>
        <v>0.253</v>
      </c>
      <c r="N169" s="204">
        <f t="shared" si="79"/>
        <v>0.82</v>
      </c>
      <c r="O169" s="205">
        <f t="shared" si="80"/>
        <v>0</v>
      </c>
      <c r="P169" s="206">
        <f t="shared" si="81"/>
        <v>0.82</v>
      </c>
      <c r="Q169" s="206">
        <f t="shared" si="82"/>
        <v>0</v>
      </c>
      <c r="R16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6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10040</v>
      </c>
      <c r="T16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69" s="208">
        <f ca="1">IF(Tabla33610673486[[#This Row],[Equity]]&lt;Tabla33610673486[[#This Row],[Equity Peak]],(Tabla33610673486[[#This Row],[Equity Peak]]-Tabla33610673486[[#This Row],[Equity]])/Tabla33610673486[[#This Row],[Equity Peak]],"")</f>
        <v>1.4333398782642844E-2</v>
      </c>
      <c r="V169" s="209">
        <f t="shared" si="83"/>
        <v>0.82</v>
      </c>
      <c r="W169" s="209">
        <f t="shared" si="84"/>
        <v>0</v>
      </c>
      <c r="X169" s="209">
        <f t="shared" si="85"/>
        <v>0</v>
      </c>
      <c r="Y169" s="209">
        <f t="shared" si="86"/>
        <v>0</v>
      </c>
      <c r="Z169" s="209">
        <f t="shared" si="87"/>
        <v>0</v>
      </c>
      <c r="AA169" s="205">
        <f t="shared" si="88"/>
        <v>0</v>
      </c>
      <c r="AB169" s="209">
        <f t="shared" si="89"/>
        <v>0</v>
      </c>
      <c r="AC169" s="205">
        <f t="shared" si="90"/>
        <v>0</v>
      </c>
      <c r="AD169" s="210">
        <f t="shared" si="91"/>
        <v>1.0208333333357587</v>
      </c>
      <c r="AE169" s="210">
        <f t="shared" si="92"/>
        <v>1.0208333333357587</v>
      </c>
      <c r="AF169" s="210">
        <f t="shared" si="93"/>
        <v>0</v>
      </c>
      <c r="AG169" s="210">
        <f t="shared" si="94"/>
        <v>0</v>
      </c>
    </row>
    <row r="170" spans="2:33" ht="15" customHeight="1" x14ac:dyDescent="0.3">
      <c r="B170" s="196" t="s">
        <v>7</v>
      </c>
      <c r="C170" s="197" t="s">
        <v>15</v>
      </c>
      <c r="D170" s="198" t="str">
        <f t="shared" si="76"/>
        <v>C</v>
      </c>
      <c r="E170" s="199">
        <v>44579.229166666664</v>
      </c>
      <c r="F170" s="200" t="s">
        <v>115</v>
      </c>
      <c r="G170" s="201">
        <v>156.76599999999999</v>
      </c>
      <c r="H170" s="201">
        <v>156.435</v>
      </c>
      <c r="I170" s="202">
        <f t="shared" si="77"/>
        <v>0.33099999999998886</v>
      </c>
      <c r="J170" s="201">
        <v>157.71199999999999</v>
      </c>
      <c r="K170" s="199">
        <v>44579.447916666664</v>
      </c>
      <c r="L170" s="201">
        <v>156.435</v>
      </c>
      <c r="M170" s="203">
        <f t="shared" si="78"/>
        <v>-0.33100000000000002</v>
      </c>
      <c r="N170" s="204">
        <f t="shared" si="79"/>
        <v>-1</v>
      </c>
      <c r="O170" s="205">
        <f t="shared" si="80"/>
        <v>0</v>
      </c>
      <c r="P170" s="206">
        <f t="shared" si="81"/>
        <v>0</v>
      </c>
      <c r="Q170" s="206">
        <f t="shared" si="82"/>
        <v>-1</v>
      </c>
      <c r="R17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9958</v>
      </c>
      <c r="T17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0" s="208">
        <f ca="1">IF(Tabla33610673486[[#This Row],[Equity]]&lt;Tabla33610673486[[#This Row],[Equity Peak]],(Tabla33610673486[[#This Row],[Equity Peak]]-Tabla33610673486[[#This Row],[Equity]])/Tabla33610673486[[#This Row],[Equity Peak]],"")</f>
        <v>2.2383663852346358E-2</v>
      </c>
      <c r="V170" s="209">
        <f t="shared" si="83"/>
        <v>-1</v>
      </c>
      <c r="W170" s="209">
        <f t="shared" si="84"/>
        <v>0</v>
      </c>
      <c r="X170" s="209">
        <f t="shared" si="85"/>
        <v>0</v>
      </c>
      <c r="Y170" s="209">
        <f t="shared" si="86"/>
        <v>0</v>
      </c>
      <c r="Z170" s="209">
        <f t="shared" si="87"/>
        <v>0</v>
      </c>
      <c r="AA170" s="205">
        <f t="shared" si="88"/>
        <v>0</v>
      </c>
      <c r="AB170" s="209">
        <f t="shared" si="89"/>
        <v>0</v>
      </c>
      <c r="AC170" s="205">
        <f t="shared" si="90"/>
        <v>0</v>
      </c>
      <c r="AD170" s="210">
        <f t="shared" si="91"/>
        <v>0.21875</v>
      </c>
      <c r="AE170" s="210">
        <f t="shared" si="92"/>
        <v>0</v>
      </c>
      <c r="AF170" s="210">
        <f t="shared" si="93"/>
        <v>0.21875</v>
      </c>
      <c r="AG170" s="210">
        <f t="shared" si="94"/>
        <v>0</v>
      </c>
    </row>
    <row r="171" spans="2:33" ht="15" customHeight="1" x14ac:dyDescent="0.3">
      <c r="B171" s="196" t="s">
        <v>7</v>
      </c>
      <c r="C171" s="197" t="s">
        <v>15</v>
      </c>
      <c r="D171" s="198" t="str">
        <f t="shared" si="76"/>
        <v>C</v>
      </c>
      <c r="E171" s="199">
        <v>44578.510416666664</v>
      </c>
      <c r="F171" s="200" t="s">
        <v>115</v>
      </c>
      <c r="G171" s="201">
        <v>156.666</v>
      </c>
      <c r="H171" s="201">
        <v>156.29499999999999</v>
      </c>
      <c r="I171" s="202">
        <f t="shared" si="77"/>
        <v>0.37100000000000932</v>
      </c>
      <c r="J171" s="201">
        <v>157.72499999999999</v>
      </c>
      <c r="K171" s="199">
        <v>44578.591666666667</v>
      </c>
      <c r="L171" s="201">
        <v>156.29499999999999</v>
      </c>
      <c r="M171" s="203">
        <f t="shared" si="78"/>
        <v>-0.371</v>
      </c>
      <c r="N171" s="204">
        <f t="shared" si="79"/>
        <v>-1</v>
      </c>
      <c r="O171" s="205">
        <f t="shared" si="80"/>
        <v>0</v>
      </c>
      <c r="P171" s="206">
        <f t="shared" si="81"/>
        <v>0</v>
      </c>
      <c r="Q171" s="206">
        <f t="shared" si="82"/>
        <v>-1</v>
      </c>
      <c r="R17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10058</v>
      </c>
      <c r="T17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1" s="208">
        <f ca="1">IF(Tabla33610673486[[#This Row],[Equity]]&lt;Tabla33610673486[[#This Row],[Equity Peak]],(Tabla33610673486[[#This Row],[Equity Peak]]-Tabla33610673486[[#This Row],[Equity]])/Tabla33610673486[[#This Row],[Equity Peak]],"")</f>
        <v>1.2566267425878658E-2</v>
      </c>
      <c r="V171" s="209">
        <f t="shared" si="83"/>
        <v>-1</v>
      </c>
      <c r="W171" s="209">
        <f t="shared" si="84"/>
        <v>0</v>
      </c>
      <c r="X171" s="209">
        <f t="shared" si="85"/>
        <v>0</v>
      </c>
      <c r="Y171" s="209">
        <f t="shared" si="86"/>
        <v>0</v>
      </c>
      <c r="Z171" s="209">
        <f t="shared" si="87"/>
        <v>0</v>
      </c>
      <c r="AA171" s="205">
        <f t="shared" si="88"/>
        <v>0</v>
      </c>
      <c r="AB171" s="209">
        <f t="shared" si="89"/>
        <v>0</v>
      </c>
      <c r="AC171" s="205">
        <f t="shared" si="90"/>
        <v>0</v>
      </c>
      <c r="AD171" s="210">
        <f t="shared" si="91"/>
        <v>8.1250000002910383E-2</v>
      </c>
      <c r="AE171" s="210">
        <f t="shared" si="92"/>
        <v>0</v>
      </c>
      <c r="AF171" s="210">
        <f t="shared" si="93"/>
        <v>8.1250000002910383E-2</v>
      </c>
      <c r="AG171" s="210">
        <f t="shared" si="94"/>
        <v>0</v>
      </c>
    </row>
    <row r="172" spans="2:33" ht="15" customHeight="1" x14ac:dyDescent="0.3">
      <c r="B172" s="196" t="s">
        <v>7</v>
      </c>
      <c r="C172" s="197" t="s">
        <v>13</v>
      </c>
      <c r="D172" s="198" t="str">
        <f t="shared" si="76"/>
        <v>C</v>
      </c>
      <c r="E172" s="199">
        <v>44574.791666666664</v>
      </c>
      <c r="F172" s="200" t="s">
        <v>115</v>
      </c>
      <c r="G172" s="201">
        <v>156.54</v>
      </c>
      <c r="H172" s="201">
        <v>156.89500000000001</v>
      </c>
      <c r="I172" s="202">
        <f t="shared" si="77"/>
        <v>0.35500000000001819</v>
      </c>
      <c r="J172" s="201">
        <v>155.52600000000001</v>
      </c>
      <c r="K172" s="199">
        <v>44575.658333333333</v>
      </c>
      <c r="L172" s="201">
        <v>155.52600000000001</v>
      </c>
      <c r="M172" s="203">
        <f t="shared" si="78"/>
        <v>1.014</v>
      </c>
      <c r="N172" s="204">
        <f t="shared" si="79"/>
        <v>2.86</v>
      </c>
      <c r="O172" s="205">
        <f t="shared" si="80"/>
        <v>0</v>
      </c>
      <c r="P172" s="206">
        <f t="shared" si="81"/>
        <v>2.86</v>
      </c>
      <c r="Q172" s="206">
        <f t="shared" si="82"/>
        <v>0</v>
      </c>
      <c r="R17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10158</v>
      </c>
      <c r="T17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2" s="208">
        <f ca="1">IF(Tabla33610673486[[#This Row],[Equity]]&lt;Tabla33610673486[[#This Row],[Equity Peak]],(Tabla33610673486[[#This Row],[Equity Peak]]-Tabla33610673486[[#This Row],[Equity]])/Tabla33610673486[[#This Row],[Equity Peak]],"")</f>
        <v>2.7488709994109564E-3</v>
      </c>
      <c r="V172" s="209">
        <f t="shared" si="83"/>
        <v>2.86</v>
      </c>
      <c r="W172" s="209">
        <f t="shared" si="84"/>
        <v>0</v>
      </c>
      <c r="X172" s="209">
        <f t="shared" si="85"/>
        <v>0</v>
      </c>
      <c r="Y172" s="209">
        <f t="shared" si="86"/>
        <v>0</v>
      </c>
      <c r="Z172" s="209">
        <f t="shared" si="87"/>
        <v>0</v>
      </c>
      <c r="AA172" s="205">
        <f t="shared" si="88"/>
        <v>0</v>
      </c>
      <c r="AB172" s="209">
        <f t="shared" si="89"/>
        <v>0</v>
      </c>
      <c r="AC172" s="205">
        <f t="shared" si="90"/>
        <v>0</v>
      </c>
      <c r="AD172" s="210">
        <f t="shared" si="91"/>
        <v>0.86666666666860692</v>
      </c>
      <c r="AE172" s="210">
        <f t="shared" si="92"/>
        <v>0.86666666666860692</v>
      </c>
      <c r="AF172" s="210">
        <f t="shared" si="93"/>
        <v>0</v>
      </c>
      <c r="AG172" s="210">
        <f t="shared" si="94"/>
        <v>0</v>
      </c>
    </row>
    <row r="173" spans="2:33" ht="15" customHeight="1" x14ac:dyDescent="0.3">
      <c r="B173" s="196" t="s">
        <v>7</v>
      </c>
      <c r="C173" s="197" t="s">
        <v>13</v>
      </c>
      <c r="D173" s="198" t="str">
        <f t="shared" si="76"/>
        <v>C</v>
      </c>
      <c r="E173" s="199">
        <v>44574.645833333336</v>
      </c>
      <c r="F173" s="200" t="s">
        <v>115</v>
      </c>
      <c r="G173" s="201">
        <v>156.72800000000001</v>
      </c>
      <c r="H173" s="201">
        <v>157.053</v>
      </c>
      <c r="I173" s="202">
        <f t="shared" si="77"/>
        <v>0.32499999999998863</v>
      </c>
      <c r="J173" s="201">
        <v>155.79900000000001</v>
      </c>
      <c r="K173" s="199">
        <v>44574.70208333333</v>
      </c>
      <c r="L173" s="201">
        <v>157.053</v>
      </c>
      <c r="M173" s="203">
        <f t="shared" si="78"/>
        <v>-0.32500000000000001</v>
      </c>
      <c r="N173" s="204">
        <f t="shared" si="79"/>
        <v>-1</v>
      </c>
      <c r="O173" s="205">
        <f t="shared" si="80"/>
        <v>0</v>
      </c>
      <c r="P173" s="206">
        <f t="shared" si="81"/>
        <v>0</v>
      </c>
      <c r="Q173" s="206">
        <f t="shared" si="82"/>
        <v>-1</v>
      </c>
      <c r="R17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9872</v>
      </c>
      <c r="T17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3" s="208">
        <f ca="1">IF(Tabla33610673486[[#This Row],[Equity]]&lt;Tabla33610673486[[#This Row],[Equity Peak]],(Tabla33610673486[[#This Row],[Equity Peak]]-Tabla33610673486[[#This Row],[Equity]])/Tabla33610673486[[#This Row],[Equity Peak]],"")</f>
        <v>3.082662477910858E-2</v>
      </c>
      <c r="V173" s="209">
        <f t="shared" si="83"/>
        <v>-1</v>
      </c>
      <c r="W173" s="209">
        <f t="shared" si="84"/>
        <v>0</v>
      </c>
      <c r="X173" s="209">
        <f t="shared" si="85"/>
        <v>0</v>
      </c>
      <c r="Y173" s="209">
        <f t="shared" si="86"/>
        <v>0</v>
      </c>
      <c r="Z173" s="209">
        <f t="shared" si="87"/>
        <v>0</v>
      </c>
      <c r="AA173" s="205">
        <f t="shared" si="88"/>
        <v>0</v>
      </c>
      <c r="AB173" s="209">
        <f t="shared" si="89"/>
        <v>0</v>
      </c>
      <c r="AC173" s="205">
        <f t="shared" si="90"/>
        <v>0</v>
      </c>
      <c r="AD173" s="210">
        <f t="shared" si="91"/>
        <v>5.6249999994179234E-2</v>
      </c>
      <c r="AE173" s="210">
        <f t="shared" si="92"/>
        <v>0</v>
      </c>
      <c r="AF173" s="210">
        <f t="shared" si="93"/>
        <v>5.6249999994179234E-2</v>
      </c>
      <c r="AG173" s="210">
        <f t="shared" si="94"/>
        <v>0</v>
      </c>
    </row>
    <row r="174" spans="2:33" ht="15" customHeight="1" x14ac:dyDescent="0.3">
      <c r="B174" s="196" t="s">
        <v>7</v>
      </c>
      <c r="C174" s="197" t="s">
        <v>15</v>
      </c>
      <c r="D174" s="198" t="str">
        <f t="shared" si="76"/>
        <v>C</v>
      </c>
      <c r="E174" s="199">
        <v>44573.1875</v>
      </c>
      <c r="F174" s="200" t="s">
        <v>115</v>
      </c>
      <c r="G174" s="201">
        <v>157.38499999999999</v>
      </c>
      <c r="H174" s="201">
        <v>157.01900000000001</v>
      </c>
      <c r="I174" s="202">
        <f t="shared" si="77"/>
        <v>0.36599999999998545</v>
      </c>
      <c r="J174" s="201">
        <v>158.43</v>
      </c>
      <c r="K174" s="199">
        <v>44573.741666666669</v>
      </c>
      <c r="L174" s="201">
        <v>157.215</v>
      </c>
      <c r="M174" s="203">
        <f t="shared" si="78"/>
        <v>-0.17</v>
      </c>
      <c r="N174" s="204">
        <f t="shared" si="79"/>
        <v>-0.46</v>
      </c>
      <c r="O174" s="205">
        <f t="shared" si="80"/>
        <v>0</v>
      </c>
      <c r="P174" s="206">
        <f t="shared" si="81"/>
        <v>0</v>
      </c>
      <c r="Q174" s="206">
        <f t="shared" si="82"/>
        <v>-0.46</v>
      </c>
      <c r="R17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9972</v>
      </c>
      <c r="T17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4" s="208">
        <f ca="1">IF(Tabla33610673486[[#This Row],[Equity]]&lt;Tabla33610673486[[#This Row],[Equity Peak]],(Tabla33610673486[[#This Row],[Equity Peak]]-Tabla33610673486[[#This Row],[Equity]])/Tabla33610673486[[#This Row],[Equity Peak]],"")</f>
        <v>2.100922835264088E-2</v>
      </c>
      <c r="V174" s="209">
        <f t="shared" si="83"/>
        <v>-0.46</v>
      </c>
      <c r="W174" s="209">
        <f t="shared" si="84"/>
        <v>0</v>
      </c>
      <c r="X174" s="209">
        <f t="shared" si="85"/>
        <v>0</v>
      </c>
      <c r="Y174" s="209">
        <f t="shared" si="86"/>
        <v>0</v>
      </c>
      <c r="Z174" s="209">
        <f t="shared" si="87"/>
        <v>0</v>
      </c>
      <c r="AA174" s="205">
        <f t="shared" si="88"/>
        <v>0</v>
      </c>
      <c r="AB174" s="209">
        <f t="shared" si="89"/>
        <v>0</v>
      </c>
      <c r="AC174" s="205">
        <f t="shared" si="90"/>
        <v>0</v>
      </c>
      <c r="AD174" s="210">
        <f t="shared" si="91"/>
        <v>0.55416666666860692</v>
      </c>
      <c r="AE174" s="210">
        <f t="shared" si="92"/>
        <v>0</v>
      </c>
      <c r="AF174" s="210">
        <f t="shared" si="93"/>
        <v>0.55416666666860692</v>
      </c>
      <c r="AG174" s="210">
        <f t="shared" si="94"/>
        <v>0</v>
      </c>
    </row>
    <row r="175" spans="2:33" ht="15" customHeight="1" x14ac:dyDescent="0.3">
      <c r="B175" s="196" t="s">
        <v>7</v>
      </c>
      <c r="C175" s="197" t="s">
        <v>13</v>
      </c>
      <c r="D175" s="198" t="str">
        <f t="shared" si="76"/>
        <v>C</v>
      </c>
      <c r="E175" s="199">
        <v>44571.583333333336</v>
      </c>
      <c r="F175" s="200" t="s">
        <v>115</v>
      </c>
      <c r="G175" s="201">
        <v>156.62700000000001</v>
      </c>
      <c r="H175" s="201">
        <v>156.93899999999999</v>
      </c>
      <c r="I175" s="202">
        <f t="shared" si="77"/>
        <v>0.3119999999999834</v>
      </c>
      <c r="J175" s="201">
        <v>155.73500000000001</v>
      </c>
      <c r="K175" s="199">
        <v>44572.119444444441</v>
      </c>
      <c r="L175" s="201">
        <v>156.59899999999999</v>
      </c>
      <c r="M175" s="203">
        <f t="shared" si="78"/>
        <v>2.8000000000000001E-2</v>
      </c>
      <c r="N175" s="204">
        <f t="shared" si="79"/>
        <v>0.09</v>
      </c>
      <c r="O175" s="205">
        <f t="shared" si="80"/>
        <v>0</v>
      </c>
      <c r="P175" s="206">
        <f t="shared" si="81"/>
        <v>0.09</v>
      </c>
      <c r="Q175" s="206">
        <f t="shared" si="82"/>
        <v>0</v>
      </c>
      <c r="R17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10018</v>
      </c>
      <c r="T17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5" s="208">
        <f ca="1">IF(Tabla33610673486[[#This Row],[Equity]]&lt;Tabla33610673486[[#This Row],[Equity Peak]],(Tabla33610673486[[#This Row],[Equity Peak]]-Tabla33610673486[[#This Row],[Equity]])/Tabla33610673486[[#This Row],[Equity Peak]],"")</f>
        <v>1.6493225996465737E-2</v>
      </c>
      <c r="V175" s="209">
        <f t="shared" si="83"/>
        <v>0.09</v>
      </c>
      <c r="W175" s="209">
        <f t="shared" si="84"/>
        <v>0</v>
      </c>
      <c r="X175" s="209">
        <f t="shared" si="85"/>
        <v>0</v>
      </c>
      <c r="Y175" s="209">
        <f t="shared" si="86"/>
        <v>0</v>
      </c>
      <c r="Z175" s="209">
        <f t="shared" si="87"/>
        <v>0</v>
      </c>
      <c r="AA175" s="205">
        <f t="shared" si="88"/>
        <v>0</v>
      </c>
      <c r="AB175" s="209">
        <f t="shared" si="89"/>
        <v>0</v>
      </c>
      <c r="AC175" s="205">
        <f t="shared" si="90"/>
        <v>0</v>
      </c>
      <c r="AD175" s="210">
        <f t="shared" si="91"/>
        <v>0.53611111110512866</v>
      </c>
      <c r="AE175" s="210">
        <f t="shared" si="92"/>
        <v>0.53611111110512866</v>
      </c>
      <c r="AF175" s="210">
        <f t="shared" si="93"/>
        <v>0</v>
      </c>
      <c r="AG175" s="210">
        <f t="shared" si="94"/>
        <v>0</v>
      </c>
    </row>
    <row r="176" spans="2:33" ht="15" customHeight="1" x14ac:dyDescent="0.3">
      <c r="B176" s="196" t="s">
        <v>7</v>
      </c>
      <c r="C176" s="197" t="s">
        <v>15</v>
      </c>
      <c r="D176" s="198" t="str">
        <f t="shared" si="76"/>
        <v>C</v>
      </c>
      <c r="E176" s="199">
        <v>44568.90625</v>
      </c>
      <c r="F176" s="200" t="s">
        <v>115</v>
      </c>
      <c r="G176" s="201">
        <v>157.13800000000001</v>
      </c>
      <c r="H176" s="201">
        <v>156.75399999999999</v>
      </c>
      <c r="I176" s="202">
        <f t="shared" si="77"/>
        <v>0.38400000000001455</v>
      </c>
      <c r="J176" s="201">
        <v>158.23500000000001</v>
      </c>
      <c r="K176" s="199">
        <v>44571.529861111114</v>
      </c>
      <c r="L176" s="201">
        <v>156.96799999999999</v>
      </c>
      <c r="M176" s="203">
        <f t="shared" si="78"/>
        <v>-0.17</v>
      </c>
      <c r="N176" s="204">
        <f t="shared" si="79"/>
        <v>-0.44</v>
      </c>
      <c r="O176" s="205">
        <f t="shared" si="80"/>
        <v>0</v>
      </c>
      <c r="P176" s="206">
        <f t="shared" si="81"/>
        <v>0</v>
      </c>
      <c r="Q176" s="206">
        <f t="shared" si="82"/>
        <v>-0.44</v>
      </c>
      <c r="R17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10009</v>
      </c>
      <c r="T17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6" s="208">
        <f ca="1">IF(Tabla33610673486[[#This Row],[Equity]]&lt;Tabla33610673486[[#This Row],[Equity Peak]],(Tabla33610673486[[#This Row],[Equity Peak]]-Tabla33610673486[[#This Row],[Equity]])/Tabla33610673486[[#This Row],[Equity Peak]],"")</f>
        <v>1.7376791674847829E-2</v>
      </c>
      <c r="V176" s="209">
        <f t="shared" si="83"/>
        <v>-0.44</v>
      </c>
      <c r="W176" s="209">
        <f t="shared" si="84"/>
        <v>0</v>
      </c>
      <c r="X176" s="209">
        <f t="shared" si="85"/>
        <v>0</v>
      </c>
      <c r="Y176" s="209">
        <f t="shared" si="86"/>
        <v>0</v>
      </c>
      <c r="Z176" s="209">
        <f t="shared" si="87"/>
        <v>0</v>
      </c>
      <c r="AA176" s="205">
        <f t="shared" si="88"/>
        <v>0</v>
      </c>
      <c r="AB176" s="209">
        <f t="shared" si="89"/>
        <v>0</v>
      </c>
      <c r="AC176" s="205">
        <f t="shared" si="90"/>
        <v>0</v>
      </c>
      <c r="AD176" s="210">
        <f t="shared" si="91"/>
        <v>2.6236111111138598</v>
      </c>
      <c r="AE176" s="210">
        <f t="shared" si="92"/>
        <v>0</v>
      </c>
      <c r="AF176" s="210">
        <f t="shared" si="93"/>
        <v>2.6236111111138598</v>
      </c>
      <c r="AG176" s="210">
        <f t="shared" si="94"/>
        <v>0</v>
      </c>
    </row>
    <row r="177" spans="2:33" ht="15" customHeight="1" x14ac:dyDescent="0.3">
      <c r="B177" s="196" t="s">
        <v>7</v>
      </c>
      <c r="C177" s="197" t="s">
        <v>13</v>
      </c>
      <c r="D177" s="198" t="str">
        <f t="shared" si="76"/>
        <v>C</v>
      </c>
      <c r="E177" s="199">
        <v>44567.416666666664</v>
      </c>
      <c r="F177" s="200" t="s">
        <v>115</v>
      </c>
      <c r="G177" s="201">
        <v>156.41399999999999</v>
      </c>
      <c r="H177" s="201">
        <v>156.779</v>
      </c>
      <c r="I177" s="202">
        <f t="shared" si="77"/>
        <v>0.36500000000000909</v>
      </c>
      <c r="J177" s="201">
        <v>155.37200000000001</v>
      </c>
      <c r="K177" s="199">
        <v>44567.512499999997</v>
      </c>
      <c r="L177" s="201">
        <v>156.72200000000001</v>
      </c>
      <c r="M177" s="203">
        <f t="shared" si="78"/>
        <v>-0.308</v>
      </c>
      <c r="N177" s="204">
        <f t="shared" si="79"/>
        <v>-0.84</v>
      </c>
      <c r="O177" s="205">
        <f t="shared" si="80"/>
        <v>0</v>
      </c>
      <c r="P177" s="206">
        <f t="shared" si="81"/>
        <v>0</v>
      </c>
      <c r="Q177" s="206">
        <f t="shared" si="82"/>
        <v>-0.84</v>
      </c>
      <c r="R17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10053</v>
      </c>
      <c r="T17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7" s="208">
        <f ca="1">IF(Tabla33610673486[[#This Row],[Equity]]&lt;Tabla33610673486[[#This Row],[Equity Peak]],(Tabla33610673486[[#This Row],[Equity Peak]]-Tabla33610673486[[#This Row],[Equity]])/Tabla33610673486[[#This Row],[Equity Peak]],"")</f>
        <v>1.3057137247202042E-2</v>
      </c>
      <c r="V177" s="209">
        <f t="shared" si="83"/>
        <v>-0.84</v>
      </c>
      <c r="W177" s="209">
        <f t="shared" si="84"/>
        <v>0</v>
      </c>
      <c r="X177" s="209">
        <f t="shared" si="85"/>
        <v>0</v>
      </c>
      <c r="Y177" s="209">
        <f t="shared" si="86"/>
        <v>0</v>
      </c>
      <c r="Z177" s="209">
        <f t="shared" si="87"/>
        <v>0</v>
      </c>
      <c r="AA177" s="205">
        <f t="shared" si="88"/>
        <v>0</v>
      </c>
      <c r="AB177" s="209">
        <f t="shared" si="89"/>
        <v>0</v>
      </c>
      <c r="AC177" s="205">
        <f t="shared" si="90"/>
        <v>0</v>
      </c>
      <c r="AD177" s="210">
        <f t="shared" si="91"/>
        <v>9.5833333332848269E-2</v>
      </c>
      <c r="AE177" s="210">
        <f t="shared" si="92"/>
        <v>0</v>
      </c>
      <c r="AF177" s="210">
        <f t="shared" si="93"/>
        <v>9.5833333332848269E-2</v>
      </c>
      <c r="AG177" s="210">
        <f t="shared" si="94"/>
        <v>0</v>
      </c>
    </row>
    <row r="178" spans="2:33" ht="15" customHeight="1" x14ac:dyDescent="0.3">
      <c r="B178" s="196" t="s">
        <v>7</v>
      </c>
      <c r="C178" s="197" t="s">
        <v>15</v>
      </c>
      <c r="D178" s="198" t="str">
        <f t="shared" si="76"/>
        <v>C</v>
      </c>
      <c r="E178" s="199">
        <v>44566.802083333336</v>
      </c>
      <c r="F178" s="200" t="s">
        <v>115</v>
      </c>
      <c r="G178" s="201">
        <v>157.47900000000001</v>
      </c>
      <c r="H178" s="201">
        <v>157.08199999999999</v>
      </c>
      <c r="I178" s="202">
        <f t="shared" si="77"/>
        <v>0.39700000000001978</v>
      </c>
      <c r="J178" s="201">
        <v>158.613</v>
      </c>
      <c r="K178" s="199">
        <v>44567.006944444445</v>
      </c>
      <c r="L178" s="201">
        <v>157.285</v>
      </c>
      <c r="M178" s="203">
        <f t="shared" si="78"/>
        <v>-0.19400000000000001</v>
      </c>
      <c r="N178" s="204">
        <f t="shared" si="79"/>
        <v>-0.49</v>
      </c>
      <c r="O178" s="205">
        <f t="shared" si="80"/>
        <v>0</v>
      </c>
      <c r="P178" s="206">
        <f t="shared" si="81"/>
        <v>0</v>
      </c>
      <c r="Q178" s="206">
        <f t="shared" si="82"/>
        <v>-0.49</v>
      </c>
      <c r="R17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10137</v>
      </c>
      <c r="T17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8" s="208">
        <f ca="1">IF(Tabla33610673486[[#This Row],[Equity]]&lt;Tabla33610673486[[#This Row],[Equity Peak]],(Tabla33610673486[[#This Row],[Equity Peak]]-Tabla33610673486[[#This Row],[Equity]])/Tabla33610673486[[#This Row],[Equity Peak]],"")</f>
        <v>4.8105242489691735E-3</v>
      </c>
      <c r="V178" s="209">
        <f t="shared" si="83"/>
        <v>-0.49</v>
      </c>
      <c r="W178" s="209">
        <f t="shared" si="84"/>
        <v>0</v>
      </c>
      <c r="X178" s="209">
        <f t="shared" si="85"/>
        <v>0</v>
      </c>
      <c r="Y178" s="209">
        <f t="shared" si="86"/>
        <v>0</v>
      </c>
      <c r="Z178" s="209">
        <f t="shared" si="87"/>
        <v>0</v>
      </c>
      <c r="AA178" s="205">
        <f t="shared" si="88"/>
        <v>0</v>
      </c>
      <c r="AB178" s="209">
        <f t="shared" si="89"/>
        <v>0</v>
      </c>
      <c r="AC178" s="205">
        <f t="shared" si="90"/>
        <v>0</v>
      </c>
      <c r="AD178" s="210">
        <f t="shared" si="91"/>
        <v>0.20486111110949423</v>
      </c>
      <c r="AE178" s="210">
        <f t="shared" si="92"/>
        <v>0</v>
      </c>
      <c r="AF178" s="210">
        <f t="shared" si="93"/>
        <v>0.20486111110949423</v>
      </c>
      <c r="AG178" s="210">
        <f t="shared" si="94"/>
        <v>0</v>
      </c>
    </row>
    <row r="179" spans="2:33" ht="15" customHeight="1" x14ac:dyDescent="0.3">
      <c r="B179" s="196" t="s">
        <v>7</v>
      </c>
      <c r="C179" s="197" t="s">
        <v>15</v>
      </c>
      <c r="D179" s="198" t="str">
        <f t="shared" si="76"/>
        <v>C</v>
      </c>
      <c r="E179" s="199">
        <v>44565.28125</v>
      </c>
      <c r="F179" s="200" t="s">
        <v>115</v>
      </c>
      <c r="G179" s="201">
        <v>155.958</v>
      </c>
      <c r="H179" s="201">
        <v>155.59899999999999</v>
      </c>
      <c r="I179" s="202">
        <f t="shared" si="77"/>
        <v>0.35900000000000887</v>
      </c>
      <c r="J179" s="201">
        <v>156.98400000000001</v>
      </c>
      <c r="K179" s="199">
        <v>44565.644444444442</v>
      </c>
      <c r="L179" s="201">
        <v>156.98400000000001</v>
      </c>
      <c r="M179" s="203">
        <f t="shared" si="78"/>
        <v>1.026</v>
      </c>
      <c r="N179" s="204">
        <f t="shared" si="79"/>
        <v>2.86</v>
      </c>
      <c r="O179" s="205">
        <f t="shared" si="80"/>
        <v>0</v>
      </c>
      <c r="P179" s="206">
        <f t="shared" si="81"/>
        <v>2.86</v>
      </c>
      <c r="Q179" s="206">
        <f t="shared" si="82"/>
        <v>0</v>
      </c>
      <c r="R17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10186</v>
      </c>
      <c r="T17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10186</v>
      </c>
      <c r="U179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79" s="209">
        <f t="shared" si="83"/>
        <v>2.86</v>
      </c>
      <c r="W179" s="209">
        <f t="shared" si="84"/>
        <v>0</v>
      </c>
      <c r="X179" s="209">
        <f t="shared" si="85"/>
        <v>0</v>
      </c>
      <c r="Y179" s="209">
        <f t="shared" si="86"/>
        <v>0</v>
      </c>
      <c r="Z179" s="209">
        <f t="shared" si="87"/>
        <v>0</v>
      </c>
      <c r="AA179" s="205">
        <f t="shared" si="88"/>
        <v>0</v>
      </c>
      <c r="AB179" s="209">
        <f t="shared" si="89"/>
        <v>0</v>
      </c>
      <c r="AC179" s="205">
        <f t="shared" si="90"/>
        <v>0</v>
      </c>
      <c r="AD179" s="210">
        <f t="shared" si="91"/>
        <v>0.3631944444423425</v>
      </c>
      <c r="AE179" s="210">
        <f t="shared" si="92"/>
        <v>0.3631944444423425</v>
      </c>
      <c r="AF179" s="210">
        <f t="shared" si="93"/>
        <v>0</v>
      </c>
      <c r="AG179" s="210">
        <f t="shared" si="94"/>
        <v>0</v>
      </c>
    </row>
    <row r="180" spans="2:33" ht="15" customHeight="1" x14ac:dyDescent="0.3">
      <c r="B180" s="181" t="s">
        <v>7</v>
      </c>
      <c r="C180" s="182" t="s">
        <v>13</v>
      </c>
      <c r="D180" s="183" t="str">
        <f t="shared" si="76"/>
        <v>C</v>
      </c>
      <c r="E180" s="184">
        <v>44564.739583333336</v>
      </c>
      <c r="F180" s="185" t="s">
        <v>115</v>
      </c>
      <c r="G180" s="186">
        <v>154.95500000000001</v>
      </c>
      <c r="H180" s="186">
        <v>155.28800000000001</v>
      </c>
      <c r="I180" s="65">
        <f t="shared" si="77"/>
        <v>0.33299999999999841</v>
      </c>
      <c r="J180" s="186">
        <v>154.00399999999999</v>
      </c>
      <c r="K180" s="184">
        <v>44564.793055555558</v>
      </c>
      <c r="L180" s="186">
        <v>155.28800000000001</v>
      </c>
      <c r="M180" s="187">
        <f t="shared" si="78"/>
        <v>-0.33300000000000002</v>
      </c>
      <c r="N180" s="188">
        <f t="shared" si="79"/>
        <v>-1</v>
      </c>
      <c r="O180" s="189">
        <f t="shared" si="80"/>
        <v>0</v>
      </c>
      <c r="P180" s="190">
        <f t="shared" si="81"/>
        <v>0</v>
      </c>
      <c r="Q180" s="190">
        <f t="shared" si="82"/>
        <v>-1</v>
      </c>
      <c r="R180" s="190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180" s="191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9900</v>
      </c>
      <c r="T180" s="191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</v>
      </c>
      <c r="U180" s="192">
        <f ca="1">IF(Tabla33610673486[[#This Row],[Equity]]&lt;Tabla33610673486[[#This Row],[Equity Peak]],(Tabla33610673486[[#This Row],[Equity Peak]]-Tabla33610673486[[#This Row],[Equity]])/Tabla33610673486[[#This Row],[Equity Peak]],"")</f>
        <v>0.01</v>
      </c>
      <c r="V180" s="193">
        <f t="shared" si="83"/>
        <v>-1</v>
      </c>
      <c r="W180" s="193">
        <f t="shared" si="84"/>
        <v>0</v>
      </c>
      <c r="X180" s="193">
        <f t="shared" si="85"/>
        <v>0</v>
      </c>
      <c r="Y180" s="193">
        <f t="shared" si="86"/>
        <v>0</v>
      </c>
      <c r="Z180" s="193">
        <f t="shared" si="87"/>
        <v>0</v>
      </c>
      <c r="AA180" s="189">
        <f t="shared" si="88"/>
        <v>0</v>
      </c>
      <c r="AB180" s="193">
        <f t="shared" si="89"/>
        <v>0</v>
      </c>
      <c r="AC180" s="189">
        <f t="shared" si="90"/>
        <v>0</v>
      </c>
      <c r="AD180" s="194">
        <f t="shared" si="91"/>
        <v>5.3472222221898846E-2</v>
      </c>
      <c r="AE180" s="194">
        <f t="shared" si="92"/>
        <v>0</v>
      </c>
      <c r="AF180" s="194">
        <f t="shared" si="93"/>
        <v>5.3472222221898846E-2</v>
      </c>
      <c r="AG180" s="194">
        <f t="shared" si="94"/>
        <v>0</v>
      </c>
    </row>
  </sheetData>
  <sheetProtection algorithmName="SHA-512" hashValue="m4eIYwgixGBTONEV6wvAAjN3g9F8j8wCMjNZbmIfQnO/+S7/cTlM80xs/Gs8pU87jsQ5YXslnAl7ix/kyf4vkg==" saltValue="aeSWcQ3MUY7U4r7lkmL8m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7" priority="3" operator="equal">
      <formula>"OK"</formula>
    </cfRule>
    <cfRule type="cellIs" dxfId="46" priority="4" operator="equal">
      <formula>"warning"</formula>
    </cfRule>
  </conditionalFormatting>
  <conditionalFormatting sqref="F13">
    <cfRule type="cellIs" dxfId="45" priority="1" operator="equal">
      <formula>"OK"</formula>
    </cfRule>
    <cfRule type="cellIs" dxfId="44" priority="2" operator="equal">
      <formula>"Error!!"</formula>
    </cfRule>
  </conditionalFormatting>
  <conditionalFormatting sqref="E15:H15 K15:L15">
    <cfRule type="expression" dxfId="43" priority="5">
      <formula>+$D15=#REF!</formula>
    </cfRule>
    <cfRule type="expression" dxfId="42" priority="6">
      <formula>+$D15=#REF!</formula>
    </cfRule>
  </conditionalFormatting>
  <conditionalFormatting sqref="D15 K16:L21 D16:H180 J17:L180">
    <cfRule type="expression" dxfId="41" priority="7">
      <formula>+$D15=$AG$8</formula>
    </cfRule>
    <cfRule type="expression" dxfId="4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22:B180" xr:uid="{57BDEC59-C494-4F9E-9F44-5589DAAA689D}">
      <formula1>$AE$4:$AE$7</formula1>
    </dataValidation>
    <dataValidation type="list" allowBlank="1" showInputMessage="1" showErrorMessage="1" promptTitle="Instrument Type" prompt="Select Type from List_x000a_" sqref="B15:B21" xr:uid="{AB7F42FF-7086-4118-9F61-EE48B144E201}">
      <formula1>$AE$4:$AE$6</formula1>
    </dataValidation>
    <dataValidation type="list" allowBlank="1" showInputMessage="1" showErrorMessage="1" promptTitle="Trade Direction" prompt="Select from List" sqref="C15:C22" xr:uid="{1AE83EB6-FD86-48DD-9F5C-0A4E901AA529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2745-527A-499B-811D-4C52A4FD05B1}">
  <sheetPr codeName="Hoja14">
    <pageSetUpPr fitToPage="1"/>
  </sheetPr>
  <dimension ref="A1:AX85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L18" sqref="L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COUNTA(Tabla33610673487[Inst])</f>
        <v>69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83.03000000000003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83.03000000000003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COUNTIF(Tabla33610673487[No. of Rs],"&gt;0")</f>
        <v>29</v>
      </c>
      <c r="G7" s="24">
        <f>IFERROR((F7/$F$6),"")</f>
        <v>0.42028985507246375</v>
      </c>
      <c r="H7" s="78">
        <f>IFERROR((+P13/F7),"")</f>
        <v>3.7093103448275868</v>
      </c>
      <c r="I7" s="227">
        <f>H7/H9</f>
        <v>6.0461456313408073</v>
      </c>
      <c r="J7" s="227">
        <f>AVERAGE(Tabla33610673487[No. of Rs])</f>
        <v>1.2033333333333338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COUNTIF(Tabla33610673487[No.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OFFSET(Tabla33610673487[[#Headers],[Equity]],1,0)</f>
        <v>18303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COUNTIF(Tabla33610673487[No. of Rs],"&lt;0")</f>
        <v>40</v>
      </c>
      <c r="G9" s="32">
        <f>IFERROR((F9/$F$6),"")</f>
        <v>0.57971014492753625</v>
      </c>
      <c r="H9" s="79">
        <f>IFERROR((-Q13/F9),"")</f>
        <v>0.61350000000000027</v>
      </c>
      <c r="I9" s="229"/>
      <c r="J9" s="229"/>
      <c r="K9" s="149"/>
      <c r="L9" s="230" t="s">
        <v>106</v>
      </c>
      <c r="M9" s="231"/>
      <c r="N9" s="125">
        <f ca="1">MAX(Tabla33610673487[Drawdown])</f>
        <v>2.4786810687890848E-2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OFFSET(Tabla33610673487[[#Headers],[Drawdown]],1,0)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IF(COUNTIFS(Tabla33610673487[O/C],"O")&lt;1,"None",COUNTIFS(Tabla33610673487[O/C],"O"))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SUM(Tabla33610673487[No. of Rs])</f>
        <v>83.03000000000003</v>
      </c>
      <c r="O13" s="42">
        <f>SUM(Tabla33610673487[Heat])</f>
        <v>0</v>
      </c>
      <c r="P13" s="43">
        <f>SUM(Tabla33610673487[[ TR WIN]])</f>
        <v>107.57000000000002</v>
      </c>
      <c r="Q13" s="43">
        <f>SUM(Tabla33610673487[[ TR LOSS]])</f>
        <v>-24.54000000000001</v>
      </c>
      <c r="R13" s="114"/>
      <c r="S13" s="115"/>
      <c r="T13" s="115"/>
      <c r="U13" s="121"/>
      <c r="V13" s="44">
        <f>SUM(Tabla33610673487[Currency])</f>
        <v>83.03000000000003</v>
      </c>
      <c r="W13" s="44">
        <f>SUM(Tabla33610673487[Heat3])</f>
        <v>0</v>
      </c>
      <c r="X13" s="44">
        <f>SUM(Tabla33610673487[Commodities])</f>
        <v>0</v>
      </c>
      <c r="Y13" s="44">
        <f>SUM(Tabla33610673487[Heat4])</f>
        <v>0</v>
      </c>
      <c r="Z13" s="44">
        <f>SUM(Tabla33610673487[Index])</f>
        <v>0</v>
      </c>
      <c r="AA13" s="44">
        <f>SUM(Tabla33610673487[Heat5])</f>
        <v>0</v>
      </c>
      <c r="AB13" s="44">
        <f>SUM(Tabla33610673487[Cryptocurrency])</f>
        <v>0</v>
      </c>
      <c r="AC13" s="44">
        <f>SUM(Tabla33610673487[Heat6])</f>
        <v>0</v>
      </c>
      <c r="AD13" s="75">
        <f>AVERAGEIF(Tabla33610673487[Length of 
Trade],"&lt;&gt;0")</f>
        <v>-57.847383252818283</v>
      </c>
      <c r="AE13" s="75">
        <f>AVERAGEIF(Tabla33610673487[Win],"&lt;&gt;0")</f>
        <v>-137.78038793103519</v>
      </c>
      <c r="AF13" s="75">
        <f>AVERAGEIF(Tabla33610673487[Loss],"&lt;&gt;0")</f>
        <v>0.10404513888897782</v>
      </c>
      <c r="AG13" s="76" t="e">
        <f>AVERAGEIF(Tabla33610673487[Breakeven],"&lt;&gt;0")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7</v>
      </c>
      <c r="C17" s="197" t="s">
        <v>13</v>
      </c>
      <c r="D17" s="233" t="str">
        <f>IF(E17&lt;&gt;"",IF(K17&lt;&gt;"","C","O"),"")</f>
        <v>C</v>
      </c>
      <c r="E17" s="234">
        <v>44875.65625</v>
      </c>
      <c r="F17" s="200" t="s">
        <v>116</v>
      </c>
      <c r="G17" s="235">
        <v>143.74600000000001</v>
      </c>
      <c r="H17" s="236">
        <v>144.096</v>
      </c>
      <c r="I17" s="237">
        <f>ABS(G17-H17)</f>
        <v>0.34999999999999432</v>
      </c>
      <c r="J17" s="235">
        <v>140.124</v>
      </c>
      <c r="K17" s="199">
        <v>40857.819444444445</v>
      </c>
      <c r="L17" s="235">
        <v>142.172</v>
      </c>
      <c r="M17" s="238">
        <f>ROUND(IF(C17="L",(L17-G17),(G17-L17)),4)</f>
        <v>1.5740000000000001</v>
      </c>
      <c r="N17" s="239">
        <f>IFERROR(ROUND((M17/I17),2),"")</f>
        <v>4.5</v>
      </c>
      <c r="O17" s="240">
        <f>IF(D17="O",IF(N17&lt;0,N17,0),0)</f>
        <v>0</v>
      </c>
      <c r="P17" s="241">
        <f>IF(N17&gt;= 0,N17,0)</f>
        <v>4.5</v>
      </c>
      <c r="Q17" s="241">
        <f>IF(N17&lt;0,N17,0)</f>
        <v>0</v>
      </c>
      <c r="R17" s="241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7" s="242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18303</v>
      </c>
      <c r="T17" s="242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18303</v>
      </c>
      <c r="U17" s="243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17" s="244">
        <f>IF(B17="FX",N17,0)</f>
        <v>4.5</v>
      </c>
      <c r="W17" s="244">
        <f>IF(D17="O",IF(V17&lt;0,V17,0),0)</f>
        <v>0</v>
      </c>
      <c r="X17" s="244">
        <f>IF(B17="COM",N17,0)</f>
        <v>0</v>
      </c>
      <c r="Y17" s="244">
        <f>IF(D17="O",IF(X17&lt;0,X17,0),0)</f>
        <v>0</v>
      </c>
      <c r="Z17" s="244">
        <f>IF(B17="IND",N17,0)</f>
        <v>0</v>
      </c>
      <c r="AA17" s="240">
        <f>IF(D17="O",IF(Z17&lt;0,Z17,0),0)</f>
        <v>0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-4017.8368055555547</v>
      </c>
      <c r="AE17" s="245">
        <f>IF(N17&gt;0,AD17,0)</f>
        <v>-4017.8368055555547</v>
      </c>
      <c r="AF17" s="245">
        <f>IF(N17&lt;0,AD17,0)</f>
        <v>0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196" t="s">
        <v>7</v>
      </c>
      <c r="C18" s="197" t="s">
        <v>13</v>
      </c>
      <c r="D18" s="198" t="str">
        <f t="shared" ref="D18:D49" si="0">IF(E18&lt;&gt;"",IF(K18&lt;&gt;"","C","O"),"")</f>
        <v>C</v>
      </c>
      <c r="E18" s="199">
        <v>44861.354166666664</v>
      </c>
      <c r="F18" s="200" t="s">
        <v>116</v>
      </c>
      <c r="G18" s="201">
        <v>145.358</v>
      </c>
      <c r="H18" s="201">
        <v>145.83500000000001</v>
      </c>
      <c r="I18" s="202">
        <f t="shared" ref="I18:I49" si="1">ABS(G18-H18)</f>
        <v>0.47700000000000387</v>
      </c>
      <c r="J18" s="201">
        <v>140.39400000000001</v>
      </c>
      <c r="K18" s="199">
        <v>44861.397222222222</v>
      </c>
      <c r="L18" s="201">
        <v>145.62700000000001</v>
      </c>
      <c r="M18" s="203">
        <f t="shared" ref="M18:M49" si="2">ROUND(IF(C18="L",(L18-G18),(G18-L18)),4)</f>
        <v>-0.26900000000000002</v>
      </c>
      <c r="N18" s="204">
        <f t="shared" ref="N18:N49" si="3">IFERROR(ROUND((M18/I18),2),"")</f>
        <v>-0.56000000000000005</v>
      </c>
      <c r="O18" s="205">
        <f t="shared" ref="O18:O49" si="4">IF(D18="O",IF(N18&lt;0,N18,0),0)</f>
        <v>0</v>
      </c>
      <c r="P18" s="206">
        <f t="shared" ref="P18:P49" si="5">IF(N18&gt;= 0,N18,0)</f>
        <v>0</v>
      </c>
      <c r="Q18" s="206">
        <f t="shared" ref="Q18:Q49" si="6">IF(N18&lt;0,N18,0)</f>
        <v>-0.56000000000000005</v>
      </c>
      <c r="R1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17853</v>
      </c>
      <c r="T1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17909</v>
      </c>
      <c r="U18" s="208">
        <f ca="1">IF(Tabla33610673487[[#This Row],[Equity]]&lt;Tabla33610673487[[#This Row],[Equity Peak]],(Tabla33610673487[[#This Row],[Equity Peak]]-Tabla33610673487[[#This Row],[Equity]])/Tabla33610673487[[#This Row],[Equity Peak]],"")</f>
        <v>3.1269194259869338E-3</v>
      </c>
      <c r="V18" s="209">
        <f t="shared" ref="V18:V49" si="7">IF(B18="FX",N18,0)</f>
        <v>-0.56000000000000005</v>
      </c>
      <c r="W18" s="209">
        <f t="shared" ref="W18:W49" si="8">IF(D18="O",IF(V18&lt;0,V18,0),0)</f>
        <v>0</v>
      </c>
      <c r="X18" s="209">
        <f t="shared" ref="X18:X49" si="9">IF(B18="COM",N18,0)</f>
        <v>0</v>
      </c>
      <c r="Y18" s="209">
        <f t="shared" ref="Y18:Y49" si="10">IF(D18="O",IF(X18&lt;0,X18,0),0)</f>
        <v>0</v>
      </c>
      <c r="Z18" s="209">
        <f t="shared" ref="Z18:Z49" si="11">IF(B18="IND",N18,0)</f>
        <v>0</v>
      </c>
      <c r="AA18" s="205">
        <f t="shared" ref="AA18:AA49" si="12">IF(D18="O",IF(Z18&lt;0,Z18,0),0)</f>
        <v>0</v>
      </c>
      <c r="AB18" s="209">
        <f t="shared" ref="AB18:AB49" si="13">IF(B18="CRYPTO",N18,0)</f>
        <v>0</v>
      </c>
      <c r="AC18" s="205">
        <f t="shared" ref="AC18:AC49" si="14">IF(D18="O",IF(AB18&lt;0,AB18,0),0)</f>
        <v>0</v>
      </c>
      <c r="AD18" s="210">
        <f t="shared" ref="AD18:AD49" si="15">IF(K18&lt;&gt;"",K18-E18,0)</f>
        <v>4.3055555557657499E-2</v>
      </c>
      <c r="AE18" s="210">
        <f t="shared" ref="AE18:AE49" si="16">IF(N18&gt;0,AD18,0)</f>
        <v>0</v>
      </c>
      <c r="AF18" s="210">
        <f t="shared" ref="AF18:AF49" si="17">IF(N18&lt;0,AD18,0)</f>
        <v>4.3055555557657499E-2</v>
      </c>
      <c r="AG18" s="210">
        <f t="shared" ref="AG18:AG49" si="18">IF(N18=0,AD18,0)</f>
        <v>0</v>
      </c>
      <c r="AH18" s="176"/>
      <c r="AI18" s="109"/>
    </row>
    <row r="19" spans="1:35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44855.28125</v>
      </c>
      <c r="F19" s="200" t="s">
        <v>116</v>
      </c>
      <c r="G19" s="201">
        <v>150.376</v>
      </c>
      <c r="H19" s="201">
        <v>150.178</v>
      </c>
      <c r="I19" s="202">
        <f t="shared" si="1"/>
        <v>0.1980000000000075</v>
      </c>
      <c r="J19" s="201">
        <v>152.43899999999999</v>
      </c>
      <c r="K19" s="199">
        <v>44855.665277777778</v>
      </c>
      <c r="L19" s="201">
        <v>151.50399999999999</v>
      </c>
      <c r="M19" s="203">
        <f t="shared" si="2"/>
        <v>1.1279999999999999</v>
      </c>
      <c r="N19" s="204">
        <f t="shared" si="3"/>
        <v>5.7</v>
      </c>
      <c r="O19" s="205">
        <f t="shared" si="4"/>
        <v>0</v>
      </c>
      <c r="P19" s="206">
        <f t="shared" si="5"/>
        <v>5.7</v>
      </c>
      <c r="Q19" s="206">
        <f t="shared" si="6"/>
        <v>0</v>
      </c>
      <c r="R1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17909</v>
      </c>
      <c r="T1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17909</v>
      </c>
      <c r="U19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19" s="209">
        <f t="shared" si="7"/>
        <v>5.7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0.38402777777810115</v>
      </c>
      <c r="AE19" s="210">
        <f t="shared" si="16"/>
        <v>0.38402777777810115</v>
      </c>
      <c r="AF19" s="210">
        <f t="shared" si="17"/>
        <v>0</v>
      </c>
      <c r="AG19" s="210">
        <f t="shared" si="18"/>
        <v>0</v>
      </c>
    </row>
    <row r="20" spans="1:35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44854.885416666664</v>
      </c>
      <c r="F20" s="200" t="s">
        <v>116</v>
      </c>
      <c r="G20" s="201">
        <v>150.20400000000001</v>
      </c>
      <c r="H20" s="201">
        <v>149.999</v>
      </c>
      <c r="I20" s="202">
        <f t="shared" si="1"/>
        <v>0.20500000000001251</v>
      </c>
      <c r="J20" s="201">
        <v>152.34100000000001</v>
      </c>
      <c r="K20" s="199">
        <v>44855.004861111112</v>
      </c>
      <c r="L20" s="201">
        <v>150.053</v>
      </c>
      <c r="M20" s="203">
        <f t="shared" si="2"/>
        <v>-0.151</v>
      </c>
      <c r="N20" s="204">
        <f t="shared" si="3"/>
        <v>-0.74</v>
      </c>
      <c r="O20" s="205">
        <f t="shared" si="4"/>
        <v>0</v>
      </c>
      <c r="P20" s="206">
        <f t="shared" si="5"/>
        <v>0</v>
      </c>
      <c r="Q20" s="206">
        <f t="shared" si="6"/>
        <v>-0.74</v>
      </c>
      <c r="R2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17339</v>
      </c>
      <c r="T2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0" s="208">
        <f ca="1">IF(Tabla33610673487[[#This Row],[Equity]]&lt;Tabla33610673487[[#This Row],[Equity Peak]],(Tabla33610673487[[#This Row],[Equity Peak]]-Tabla33610673487[[#This Row],[Equity]])/Tabla33610673487[[#This Row],[Equity Peak]],"")</f>
        <v>1.4269471290505969E-2</v>
      </c>
      <c r="V20" s="209">
        <f t="shared" si="7"/>
        <v>-0.74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0.11944444444816327</v>
      </c>
      <c r="AE20" s="210">
        <f t="shared" si="16"/>
        <v>0</v>
      </c>
      <c r="AF20" s="210">
        <f t="shared" si="17"/>
        <v>0.11944444444816327</v>
      </c>
      <c r="AG20" s="210">
        <f t="shared" si="18"/>
        <v>0</v>
      </c>
    </row>
    <row r="21" spans="1:35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44853.40625</v>
      </c>
      <c r="F21" s="200" t="s">
        <v>116</v>
      </c>
      <c r="G21" s="201">
        <v>149.42099999999999</v>
      </c>
      <c r="H21" s="201">
        <v>149.191</v>
      </c>
      <c r="I21" s="202">
        <f t="shared" si="1"/>
        <v>0.22999999999998977</v>
      </c>
      <c r="J21" s="201">
        <v>151.816</v>
      </c>
      <c r="K21" s="199">
        <v>44854.444444444445</v>
      </c>
      <c r="L21" s="201">
        <v>149.655</v>
      </c>
      <c r="M21" s="203">
        <f t="shared" si="2"/>
        <v>0.23400000000000001</v>
      </c>
      <c r="N21" s="204">
        <f t="shared" si="3"/>
        <v>1.02</v>
      </c>
      <c r="O21" s="205">
        <f t="shared" si="4"/>
        <v>0</v>
      </c>
      <c r="P21" s="206">
        <f t="shared" si="5"/>
        <v>1.02</v>
      </c>
      <c r="Q21" s="206">
        <f t="shared" si="6"/>
        <v>0</v>
      </c>
      <c r="R2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17413</v>
      </c>
      <c r="T2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1" s="208">
        <f ca="1">IF(Tabla33610673487[[#This Row],[Equity]]&lt;Tabla33610673487[[#This Row],[Equity Peak]],(Tabla33610673487[[#This Row],[Equity Peak]]-Tabla33610673487[[#This Row],[Equity]])/Tabla33610673487[[#This Row],[Equity Peak]],"")</f>
        <v>1.0062535531552019E-2</v>
      </c>
      <c r="V21" s="209">
        <f t="shared" si="7"/>
        <v>1.02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1.0381944444452529</v>
      </c>
      <c r="AE21" s="210">
        <f t="shared" si="16"/>
        <v>1.0381944444452529</v>
      </c>
      <c r="AF21" s="210">
        <f t="shared" si="17"/>
        <v>0</v>
      </c>
      <c r="AG21" s="210">
        <f t="shared" si="18"/>
        <v>0</v>
      </c>
    </row>
    <row r="22" spans="1:35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44852.489583333336</v>
      </c>
      <c r="F22" s="200" t="s">
        <v>116</v>
      </c>
      <c r="G22" s="201">
        <v>149.11000000000001</v>
      </c>
      <c r="H22" s="201">
        <v>148.87</v>
      </c>
      <c r="I22" s="202">
        <f t="shared" si="1"/>
        <v>0.24000000000000909</v>
      </c>
      <c r="J22" s="201">
        <v>151.60499999999999</v>
      </c>
      <c r="K22" s="199">
        <v>44852.502083333333</v>
      </c>
      <c r="L22" s="201">
        <v>149.03899999999999</v>
      </c>
      <c r="M22" s="203">
        <f t="shared" si="2"/>
        <v>-7.0999999999999994E-2</v>
      </c>
      <c r="N22" s="204">
        <f t="shared" si="3"/>
        <v>-0.3</v>
      </c>
      <c r="O22" s="205">
        <f t="shared" si="4"/>
        <v>0</v>
      </c>
      <c r="P22" s="206">
        <f t="shared" si="5"/>
        <v>0</v>
      </c>
      <c r="Q22" s="206">
        <f t="shared" si="6"/>
        <v>-0.3</v>
      </c>
      <c r="R2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17311</v>
      </c>
      <c r="T2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2" s="208">
        <f ca="1">IF(Tabla33610673487[[#This Row],[Equity]]&lt;Tabla33610673487[[#This Row],[Equity Peak]],(Tabla33610673487[[#This Row],[Equity Peak]]-Tabla33610673487[[#This Row],[Equity]])/Tabla33610673487[[#This Row],[Equity Peak]],"")</f>
        <v>1.5861284820920977E-2</v>
      </c>
      <c r="V22" s="209">
        <f t="shared" si="7"/>
        <v>-0.3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1.2499999997089617E-2</v>
      </c>
      <c r="AE22" s="210">
        <f t="shared" si="16"/>
        <v>0</v>
      </c>
      <c r="AF22" s="210">
        <f t="shared" si="17"/>
        <v>1.2499999997089617E-2</v>
      </c>
      <c r="AG22" s="210">
        <f t="shared" si="18"/>
        <v>0</v>
      </c>
    </row>
    <row r="23" spans="1:35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44848.708333333336</v>
      </c>
      <c r="F23" s="200" t="s">
        <v>116</v>
      </c>
      <c r="G23" s="201">
        <v>148.06200000000001</v>
      </c>
      <c r="H23" s="201">
        <v>147.83799999999999</v>
      </c>
      <c r="I23" s="202">
        <f t="shared" si="1"/>
        <v>0.22400000000001796</v>
      </c>
      <c r="J23" s="201">
        <v>150.39400000000001</v>
      </c>
      <c r="K23" s="199">
        <v>44851.037499999999</v>
      </c>
      <c r="L23" s="201">
        <v>148.47999999999999</v>
      </c>
      <c r="M23" s="203">
        <f t="shared" si="2"/>
        <v>0.41799999999999998</v>
      </c>
      <c r="N23" s="204">
        <f t="shared" si="3"/>
        <v>1.87</v>
      </c>
      <c r="O23" s="205">
        <f t="shared" si="4"/>
        <v>0</v>
      </c>
      <c r="P23" s="206">
        <f t="shared" si="5"/>
        <v>1.87</v>
      </c>
      <c r="Q23" s="206">
        <f t="shared" si="6"/>
        <v>0</v>
      </c>
      <c r="R2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17341</v>
      </c>
      <c r="T2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3" s="208">
        <f ca="1">IF(Tabla33610673487[[#This Row],[Equity]]&lt;Tabla33610673487[[#This Row],[Equity Peak]],(Tabla33610673487[[#This Row],[Equity Peak]]-Tabla33610673487[[#This Row],[Equity]])/Tabla33610673487[[#This Row],[Equity Peak]],"")</f>
        <v>1.4155770324047754E-2</v>
      </c>
      <c r="V23" s="209">
        <f t="shared" si="7"/>
        <v>1.87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2.3291666666627862</v>
      </c>
      <c r="AE23" s="210">
        <f t="shared" si="16"/>
        <v>2.3291666666627862</v>
      </c>
      <c r="AF23" s="210">
        <f t="shared" si="17"/>
        <v>0</v>
      </c>
      <c r="AG23" s="210">
        <f t="shared" si="18"/>
        <v>0</v>
      </c>
    </row>
    <row r="24" spans="1:35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44848.625</v>
      </c>
      <c r="F24" s="200" t="s">
        <v>116</v>
      </c>
      <c r="G24" s="201">
        <v>147.804</v>
      </c>
      <c r="H24" s="201">
        <v>147.583</v>
      </c>
      <c r="I24" s="202">
        <f t="shared" si="1"/>
        <v>0.22100000000000364</v>
      </c>
      <c r="J24" s="201">
        <v>150.09800000000001</v>
      </c>
      <c r="K24" s="199">
        <v>44848.701388888891</v>
      </c>
      <c r="L24" s="201">
        <v>147.74100000000001</v>
      </c>
      <c r="M24" s="203">
        <f t="shared" si="2"/>
        <v>-6.3E-2</v>
      </c>
      <c r="N24" s="204">
        <f t="shared" si="3"/>
        <v>-0.28999999999999998</v>
      </c>
      <c r="O24" s="205">
        <f t="shared" si="4"/>
        <v>0</v>
      </c>
      <c r="P24" s="206">
        <f t="shared" si="5"/>
        <v>0</v>
      </c>
      <c r="Q24" s="206">
        <f t="shared" si="6"/>
        <v>-0.28999999999999998</v>
      </c>
      <c r="R2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17154</v>
      </c>
      <c r="T2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4" s="208">
        <f ca="1">IF(Tabla33610673487[[#This Row],[Equity]]&lt;Tabla33610673487[[#This Row],[Equity Peak]],(Tabla33610673487[[#This Row],[Equity Peak]]-Tabla33610673487[[#This Row],[Equity]])/Tabla33610673487[[#This Row],[Equity Peak]],"")</f>
        <v>2.4786810687890848E-2</v>
      </c>
      <c r="V24" s="209">
        <f t="shared" si="7"/>
        <v>-0.28999999999999998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7.6388888890505768E-2</v>
      </c>
      <c r="AE24" s="210">
        <f t="shared" si="16"/>
        <v>0</v>
      </c>
      <c r="AF24" s="210">
        <f t="shared" si="17"/>
        <v>7.6388888890505768E-2</v>
      </c>
      <c r="AG24" s="210">
        <f t="shared" si="18"/>
        <v>0</v>
      </c>
    </row>
    <row r="25" spans="1:35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44848.5</v>
      </c>
      <c r="F25" s="200" t="s">
        <v>116</v>
      </c>
      <c r="G25" s="201">
        <v>147.69</v>
      </c>
      <c r="H25" s="201">
        <v>147.47200000000001</v>
      </c>
      <c r="I25" s="202">
        <f t="shared" si="1"/>
        <v>0.21799999999998931</v>
      </c>
      <c r="J25" s="201">
        <v>149.95599999999999</v>
      </c>
      <c r="K25" s="199">
        <v>44848.53125</v>
      </c>
      <c r="L25" s="201">
        <v>147.53200000000001</v>
      </c>
      <c r="M25" s="203">
        <f t="shared" si="2"/>
        <v>-0.158</v>
      </c>
      <c r="N25" s="204">
        <f t="shared" si="3"/>
        <v>-0.72</v>
      </c>
      <c r="O25" s="205">
        <f t="shared" si="4"/>
        <v>0</v>
      </c>
      <c r="P25" s="206">
        <f t="shared" si="5"/>
        <v>0</v>
      </c>
      <c r="Q25" s="206">
        <f t="shared" si="6"/>
        <v>-0.72</v>
      </c>
      <c r="R2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17183</v>
      </c>
      <c r="T2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5" s="208">
        <f ca="1">IF(Tabla33610673487[[#This Row],[Equity]]&lt;Tabla33610673487[[#This Row],[Equity Peak]],(Tabla33610673487[[#This Row],[Equity Peak]]-Tabla33610673487[[#This Row],[Equity]])/Tabla33610673487[[#This Row],[Equity Peak]],"")</f>
        <v>2.313814667424673E-2</v>
      </c>
      <c r="V25" s="209">
        <f t="shared" si="7"/>
        <v>-0.72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3.125E-2</v>
      </c>
      <c r="AE25" s="210">
        <f t="shared" si="16"/>
        <v>0</v>
      </c>
      <c r="AF25" s="210">
        <f t="shared" si="17"/>
        <v>3.125E-2</v>
      </c>
      <c r="AG25" s="210">
        <f t="shared" si="18"/>
        <v>0</v>
      </c>
    </row>
    <row r="26" spans="1:35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44847.65625</v>
      </c>
      <c r="F26" s="200" t="s">
        <v>116</v>
      </c>
      <c r="G26" s="201">
        <v>147.43199999999999</v>
      </c>
      <c r="H26" s="201">
        <v>147.23400000000001</v>
      </c>
      <c r="I26" s="202">
        <f t="shared" si="1"/>
        <v>0.19799999999997908</v>
      </c>
      <c r="J26" s="201">
        <v>149.489</v>
      </c>
      <c r="K26" s="199">
        <v>44847.680555555555</v>
      </c>
      <c r="L26" s="201">
        <v>147.303</v>
      </c>
      <c r="M26" s="203">
        <f t="shared" si="2"/>
        <v>-0.129</v>
      </c>
      <c r="N26" s="204">
        <f t="shared" si="3"/>
        <v>-0.65</v>
      </c>
      <c r="O26" s="205">
        <f t="shared" si="4"/>
        <v>0</v>
      </c>
      <c r="P26" s="206">
        <f t="shared" si="5"/>
        <v>0</v>
      </c>
      <c r="Q26" s="206">
        <f t="shared" si="6"/>
        <v>-0.65</v>
      </c>
      <c r="R2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17255</v>
      </c>
      <c r="T2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6" s="208">
        <f ca="1">IF(Tabla33610673487[[#This Row],[Equity]]&lt;Tabla33610673487[[#This Row],[Equity Peak]],(Tabla33610673487[[#This Row],[Equity Peak]]-Tabla33610673487[[#This Row],[Equity]])/Tabla33610673487[[#This Row],[Equity Peak]],"")</f>
        <v>1.9044911881750996E-2</v>
      </c>
      <c r="V26" s="209">
        <f t="shared" si="7"/>
        <v>-0.65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2.4305555554747116E-2</v>
      </c>
      <c r="AE26" s="210">
        <f t="shared" si="16"/>
        <v>0</v>
      </c>
      <c r="AF26" s="210">
        <f t="shared" si="17"/>
        <v>2.4305555554747116E-2</v>
      </c>
      <c r="AG26" s="210">
        <f t="shared" si="18"/>
        <v>0</v>
      </c>
    </row>
    <row r="27" spans="1:35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44845.927083333336</v>
      </c>
      <c r="F27" s="200" t="s">
        <v>116</v>
      </c>
      <c r="G27" s="201">
        <v>145.87</v>
      </c>
      <c r="H27" s="201">
        <v>145.678</v>
      </c>
      <c r="I27" s="202">
        <f t="shared" si="1"/>
        <v>0.19200000000000728</v>
      </c>
      <c r="J27" s="201">
        <v>147.86600000000001</v>
      </c>
      <c r="K27" s="199">
        <v>44846.294444444444</v>
      </c>
      <c r="L27" s="201">
        <v>146.04</v>
      </c>
      <c r="M27" s="203">
        <f t="shared" si="2"/>
        <v>0.17</v>
      </c>
      <c r="N27" s="204">
        <f t="shared" si="3"/>
        <v>0.89</v>
      </c>
      <c r="O27" s="205">
        <f t="shared" si="4"/>
        <v>0</v>
      </c>
      <c r="P27" s="206">
        <f t="shared" si="5"/>
        <v>0.89</v>
      </c>
      <c r="Q27" s="206">
        <f t="shared" si="6"/>
        <v>0</v>
      </c>
      <c r="R2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17320</v>
      </c>
      <c r="T2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7" s="208">
        <f ca="1">IF(Tabla33610673487[[#This Row],[Equity]]&lt;Tabla33610673487[[#This Row],[Equity Peak]],(Tabla33610673487[[#This Row],[Equity Peak]]-Tabla33610673487[[#This Row],[Equity]])/Tabla33610673487[[#This Row],[Equity Peak]],"")</f>
        <v>1.5349630471859011E-2</v>
      </c>
      <c r="V27" s="209">
        <f t="shared" si="7"/>
        <v>0.89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0.36736111110803904</v>
      </c>
      <c r="AE27" s="210">
        <f t="shared" si="16"/>
        <v>0.36736111110803904</v>
      </c>
      <c r="AF27" s="210">
        <f t="shared" si="17"/>
        <v>0</v>
      </c>
      <c r="AG27" s="210">
        <f t="shared" si="18"/>
        <v>0</v>
      </c>
    </row>
    <row r="28" spans="1:35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44844.739583333336</v>
      </c>
      <c r="F28" s="200" t="s">
        <v>116</v>
      </c>
      <c r="G28" s="201">
        <v>145.74</v>
      </c>
      <c r="H28" s="201">
        <v>145.523</v>
      </c>
      <c r="I28" s="202">
        <f t="shared" si="1"/>
        <v>0.21700000000001296</v>
      </c>
      <c r="J28" s="201">
        <v>147.994</v>
      </c>
      <c r="K28" s="199">
        <v>44845.145138888889</v>
      </c>
      <c r="L28" s="201">
        <v>145.57300000000001</v>
      </c>
      <c r="M28" s="203">
        <f t="shared" si="2"/>
        <v>-0.16700000000000001</v>
      </c>
      <c r="N28" s="204">
        <f t="shared" si="3"/>
        <v>-0.77</v>
      </c>
      <c r="O28" s="205">
        <f t="shared" si="4"/>
        <v>0</v>
      </c>
      <c r="P28" s="206">
        <f t="shared" si="5"/>
        <v>0</v>
      </c>
      <c r="Q28" s="206">
        <f t="shared" si="6"/>
        <v>-0.77</v>
      </c>
      <c r="R2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17231</v>
      </c>
      <c r="T2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8" s="208">
        <f ca="1">IF(Tabla33610673487[[#This Row],[Equity]]&lt;Tabla33610673487[[#This Row],[Equity Peak]],(Tabla33610673487[[#This Row],[Equity Peak]]-Tabla33610673487[[#This Row],[Equity]])/Tabla33610673487[[#This Row],[Equity Peak]],"")</f>
        <v>2.0409323479249574E-2</v>
      </c>
      <c r="V28" s="209">
        <f t="shared" si="7"/>
        <v>-0.77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0.40555555555329192</v>
      </c>
      <c r="AE28" s="210">
        <f t="shared" si="16"/>
        <v>0</v>
      </c>
      <c r="AF28" s="210">
        <f t="shared" si="17"/>
        <v>0.40555555555329192</v>
      </c>
      <c r="AG28" s="210">
        <f t="shared" si="18"/>
        <v>0</v>
      </c>
    </row>
    <row r="29" spans="1:35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44844.114583333336</v>
      </c>
      <c r="F29" s="200" t="s">
        <v>116</v>
      </c>
      <c r="G29" s="201">
        <v>145.47900000000001</v>
      </c>
      <c r="H29" s="201">
        <v>145.25200000000001</v>
      </c>
      <c r="I29" s="202">
        <f t="shared" si="1"/>
        <v>0.22700000000000387</v>
      </c>
      <c r="J29" s="201">
        <v>147.84</v>
      </c>
      <c r="K29" s="199">
        <v>44844.206944444442</v>
      </c>
      <c r="L29" s="201">
        <v>145.35400000000001</v>
      </c>
      <c r="M29" s="203">
        <f t="shared" si="2"/>
        <v>-0.125</v>
      </c>
      <c r="N29" s="204">
        <f t="shared" si="3"/>
        <v>-0.55000000000000004</v>
      </c>
      <c r="O29" s="205">
        <f t="shared" si="4"/>
        <v>0</v>
      </c>
      <c r="P29" s="206">
        <f t="shared" si="5"/>
        <v>0</v>
      </c>
      <c r="Q29" s="206">
        <f t="shared" si="6"/>
        <v>-0.55000000000000004</v>
      </c>
      <c r="R2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17308</v>
      </c>
      <c r="T2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29" s="208">
        <f ca="1">IF(Tabla33610673487[[#This Row],[Equity]]&lt;Tabla33610673487[[#This Row],[Equity Peak]],(Tabla33610673487[[#This Row],[Equity Peak]]-Tabla33610673487[[#This Row],[Equity]])/Tabla33610673487[[#This Row],[Equity Peak]],"")</f>
        <v>1.60318362706083E-2</v>
      </c>
      <c r="V29" s="209">
        <f t="shared" si="7"/>
        <v>-0.55000000000000004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9.2361111106583849E-2</v>
      </c>
      <c r="AE29" s="210">
        <f t="shared" si="16"/>
        <v>0</v>
      </c>
      <c r="AF29" s="210">
        <f t="shared" si="17"/>
        <v>9.2361111106583849E-2</v>
      </c>
      <c r="AG29" s="210">
        <f t="shared" si="18"/>
        <v>0</v>
      </c>
    </row>
    <row r="30" spans="1:35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44841.916666666664</v>
      </c>
      <c r="F30" s="200" t="s">
        <v>116</v>
      </c>
      <c r="G30" s="201">
        <v>145.36099999999999</v>
      </c>
      <c r="H30" s="201">
        <v>145.131</v>
      </c>
      <c r="I30" s="202">
        <f t="shared" si="1"/>
        <v>0.22999999999998977</v>
      </c>
      <c r="J30" s="201">
        <v>147.756</v>
      </c>
      <c r="K30" s="199">
        <v>44841.999305555553</v>
      </c>
      <c r="L30" s="201">
        <v>145.20699999999999</v>
      </c>
      <c r="M30" s="203">
        <f t="shared" si="2"/>
        <v>-0.154</v>
      </c>
      <c r="N30" s="204">
        <f t="shared" si="3"/>
        <v>-0.67</v>
      </c>
      <c r="O30" s="205">
        <f t="shared" si="4"/>
        <v>0</v>
      </c>
      <c r="P30" s="206">
        <f t="shared" si="5"/>
        <v>0</v>
      </c>
      <c r="Q30" s="206">
        <f t="shared" si="6"/>
        <v>-0.67</v>
      </c>
      <c r="R3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17363</v>
      </c>
      <c r="T3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30" s="208">
        <f ca="1">IF(Tabla33610673487[[#This Row],[Equity]]&lt;Tabla33610673487[[#This Row],[Equity Peak]],(Tabla33610673487[[#This Row],[Equity Peak]]-Tabla33610673487[[#This Row],[Equity]])/Tabla33610673487[[#This Row],[Equity Peak]],"")</f>
        <v>1.2905059693007391E-2</v>
      </c>
      <c r="V30" s="209">
        <f t="shared" si="7"/>
        <v>-0.67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8.2638888889050577E-2</v>
      </c>
      <c r="AE30" s="210">
        <f t="shared" si="16"/>
        <v>0</v>
      </c>
      <c r="AF30" s="210">
        <f t="shared" si="17"/>
        <v>8.2638888889050577E-2</v>
      </c>
      <c r="AG30" s="210">
        <f t="shared" si="18"/>
        <v>0</v>
      </c>
    </row>
    <row r="31" spans="1:35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44826.489583333336</v>
      </c>
      <c r="F31" s="200" t="s">
        <v>116</v>
      </c>
      <c r="G31" s="201">
        <v>140.977</v>
      </c>
      <c r="H31" s="201">
        <v>141.30500000000001</v>
      </c>
      <c r="I31" s="202">
        <f t="shared" si="1"/>
        <v>0.32800000000000296</v>
      </c>
      <c r="J31" s="201">
        <v>137.56100000000001</v>
      </c>
      <c r="K31" s="199">
        <v>44826.490277777775</v>
      </c>
      <c r="L31" s="201">
        <v>141.30199999999999</v>
      </c>
      <c r="M31" s="203">
        <f t="shared" si="2"/>
        <v>-0.32500000000000001</v>
      </c>
      <c r="N31" s="204">
        <f t="shared" si="3"/>
        <v>-0.99</v>
      </c>
      <c r="O31" s="205">
        <f t="shared" si="4"/>
        <v>0</v>
      </c>
      <c r="P31" s="206">
        <f t="shared" si="5"/>
        <v>0</v>
      </c>
      <c r="Q31" s="206">
        <f t="shared" si="6"/>
        <v>-0.99</v>
      </c>
      <c r="R3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17430</v>
      </c>
      <c r="T3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31" s="208">
        <f ca="1">IF(Tabla33610673487[[#This Row],[Equity]]&lt;Tabla33610673487[[#This Row],[Equity Peak]],(Tabla33610673487[[#This Row],[Equity Peak]]-Tabla33610673487[[#This Row],[Equity]])/Tabla33610673487[[#This Row],[Equity Peak]],"")</f>
        <v>9.0960773166571911E-3</v>
      </c>
      <c r="V31" s="209">
        <f t="shared" si="7"/>
        <v>-0.99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6.9444443943211809E-4</v>
      </c>
      <c r="AE31" s="210">
        <f t="shared" si="16"/>
        <v>0</v>
      </c>
      <c r="AF31" s="210">
        <f t="shared" si="17"/>
        <v>6.9444443943211809E-4</v>
      </c>
      <c r="AG31" s="210">
        <f t="shared" si="18"/>
        <v>0</v>
      </c>
    </row>
    <row r="32" spans="1:35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44826.416666666664</v>
      </c>
      <c r="F32" s="200" t="s">
        <v>116</v>
      </c>
      <c r="G32" s="201">
        <v>145.65700000000001</v>
      </c>
      <c r="H32" s="201">
        <v>145.36500000000001</v>
      </c>
      <c r="I32" s="202">
        <f t="shared" si="1"/>
        <v>0.29200000000000159</v>
      </c>
      <c r="J32" s="201">
        <v>148.69499999999999</v>
      </c>
      <c r="K32" s="199">
        <v>44826.460416666669</v>
      </c>
      <c r="L32" s="201">
        <v>145.47900000000001</v>
      </c>
      <c r="M32" s="203">
        <f t="shared" si="2"/>
        <v>-0.17799999999999999</v>
      </c>
      <c r="N32" s="204">
        <f t="shared" si="3"/>
        <v>-0.61</v>
      </c>
      <c r="O32" s="205">
        <f t="shared" si="4"/>
        <v>0</v>
      </c>
      <c r="P32" s="206">
        <f t="shared" si="5"/>
        <v>0</v>
      </c>
      <c r="Q32" s="206">
        <f t="shared" si="6"/>
        <v>-0.61</v>
      </c>
      <c r="R3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17529</v>
      </c>
      <c r="T3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32" s="208">
        <f ca="1">IF(Tabla33610673487[[#This Row],[Equity]]&lt;Tabla33610673487[[#This Row],[Equity Peak]],(Tabla33610673487[[#This Row],[Equity Peak]]-Tabla33610673487[[#This Row],[Equity]])/Tabla33610673487[[#This Row],[Equity Peak]],"")</f>
        <v>3.4678794769755542E-3</v>
      </c>
      <c r="V32" s="209">
        <f t="shared" si="7"/>
        <v>-0.61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4.3750000004365575E-2</v>
      </c>
      <c r="AE32" s="210">
        <f t="shared" si="16"/>
        <v>0</v>
      </c>
      <c r="AF32" s="210">
        <f t="shared" si="17"/>
        <v>4.3750000004365575E-2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0"/>
        <v>C</v>
      </c>
      <c r="E33" s="199">
        <v>44810.333333333336</v>
      </c>
      <c r="F33" s="200" t="s">
        <v>116</v>
      </c>
      <c r="G33" s="201">
        <v>140.93100000000001</v>
      </c>
      <c r="H33" s="201">
        <v>140.69200000000001</v>
      </c>
      <c r="I33" s="202">
        <f t="shared" si="1"/>
        <v>0.23900000000000432</v>
      </c>
      <c r="J33" s="201">
        <v>143.41200000000001</v>
      </c>
      <c r="K33" s="199">
        <v>44811.07708333333</v>
      </c>
      <c r="L33" s="201">
        <v>143.41200000000001</v>
      </c>
      <c r="M33" s="203">
        <f t="shared" si="2"/>
        <v>2.4809999999999999</v>
      </c>
      <c r="N33" s="204">
        <f t="shared" si="3"/>
        <v>10.38</v>
      </c>
      <c r="O33" s="205">
        <f t="shared" si="4"/>
        <v>0</v>
      </c>
      <c r="P33" s="206">
        <f t="shared" si="5"/>
        <v>10.38</v>
      </c>
      <c r="Q33" s="206">
        <f t="shared" si="6"/>
        <v>0</v>
      </c>
      <c r="R3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17590</v>
      </c>
      <c r="T3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17590</v>
      </c>
      <c r="U33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3" s="209">
        <f t="shared" si="7"/>
        <v>10.38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0.74374999999417923</v>
      </c>
      <c r="AE33" s="210">
        <f t="shared" si="16"/>
        <v>0.74374999999417923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44805.041666666664</v>
      </c>
      <c r="F34" s="200" t="s">
        <v>116</v>
      </c>
      <c r="G34" s="201">
        <v>139.078</v>
      </c>
      <c r="H34" s="201">
        <v>138.80000000000001</v>
      </c>
      <c r="I34" s="202">
        <f t="shared" si="1"/>
        <v>0.27799999999999159</v>
      </c>
      <c r="J34" s="201">
        <v>141.97300000000001</v>
      </c>
      <c r="K34" s="199">
        <v>44805.472916666666</v>
      </c>
      <c r="L34" s="201">
        <v>139.119</v>
      </c>
      <c r="M34" s="203">
        <f t="shared" si="2"/>
        <v>4.1000000000000002E-2</v>
      </c>
      <c r="N34" s="204">
        <f t="shared" si="3"/>
        <v>0.15</v>
      </c>
      <c r="O34" s="205">
        <f t="shared" si="4"/>
        <v>0</v>
      </c>
      <c r="P34" s="206">
        <f t="shared" si="5"/>
        <v>0.15</v>
      </c>
      <c r="Q34" s="206">
        <f t="shared" si="6"/>
        <v>0</v>
      </c>
      <c r="R3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16552</v>
      </c>
      <c r="T3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16552</v>
      </c>
      <c r="U34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4" s="209">
        <f t="shared" si="7"/>
        <v>0.15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0.43125000000145519</v>
      </c>
      <c r="AE34" s="210">
        <f t="shared" si="16"/>
        <v>0.43125000000145519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0"/>
        <v>C</v>
      </c>
      <c r="E35" s="199">
        <v>44802.052083333336</v>
      </c>
      <c r="F35" s="200" t="s">
        <v>116</v>
      </c>
      <c r="G35" s="201">
        <v>137.851</v>
      </c>
      <c r="H35" s="201">
        <v>137.55500000000001</v>
      </c>
      <c r="I35" s="202">
        <f t="shared" si="1"/>
        <v>0.29599999999999227</v>
      </c>
      <c r="J35" s="201">
        <v>140.92500000000001</v>
      </c>
      <c r="K35" s="199">
        <v>44802.554861111108</v>
      </c>
      <c r="L35" s="201">
        <v>138.482</v>
      </c>
      <c r="M35" s="203">
        <f t="shared" si="2"/>
        <v>0.63100000000000001</v>
      </c>
      <c r="N35" s="204">
        <f t="shared" si="3"/>
        <v>2.13</v>
      </c>
      <c r="O35" s="205">
        <f t="shared" si="4"/>
        <v>0</v>
      </c>
      <c r="P35" s="206">
        <f t="shared" si="5"/>
        <v>2.13</v>
      </c>
      <c r="Q35" s="206">
        <f t="shared" si="6"/>
        <v>0</v>
      </c>
      <c r="R3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16537</v>
      </c>
      <c r="T3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16537</v>
      </c>
      <c r="U35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5" s="209">
        <f t="shared" si="7"/>
        <v>2.13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0.50277777777228039</v>
      </c>
      <c r="AE35" s="210">
        <f t="shared" si="16"/>
        <v>0.50277777777228039</v>
      </c>
      <c r="AF35" s="210">
        <f t="shared" si="17"/>
        <v>0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44796.135416666664</v>
      </c>
      <c r="F36" s="200" t="s">
        <v>116</v>
      </c>
      <c r="G36" s="201">
        <v>137.66</v>
      </c>
      <c r="H36" s="201">
        <v>137.38900000000001</v>
      </c>
      <c r="I36" s="202">
        <f t="shared" si="1"/>
        <v>0.27099999999998658</v>
      </c>
      <c r="J36" s="201">
        <v>140.483</v>
      </c>
      <c r="K36" s="199">
        <v>44796.150694444441</v>
      </c>
      <c r="L36" s="201">
        <v>137.38900000000001</v>
      </c>
      <c r="M36" s="203">
        <f t="shared" si="2"/>
        <v>-0.27100000000000002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16324</v>
      </c>
      <c r="T3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16524</v>
      </c>
      <c r="U36" s="208">
        <f ca="1">IF(Tabla33610673487[[#This Row],[Equity]]&lt;Tabla33610673487[[#This Row],[Equity Peak]],(Tabla33610673487[[#This Row],[Equity Peak]]-Tabla33610673487[[#This Row],[Equity]])/Tabla33610673487[[#This Row],[Equity Peak]],"")</f>
        <v>1.2103606874848705E-2</v>
      </c>
      <c r="V36" s="209">
        <f t="shared" si="7"/>
        <v>-1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1.5277777776645962E-2</v>
      </c>
      <c r="AE36" s="210">
        <f t="shared" si="16"/>
        <v>0</v>
      </c>
      <c r="AF36" s="210">
        <f t="shared" si="17"/>
        <v>1.5277777776645962E-2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0"/>
        <v>C</v>
      </c>
      <c r="E37" s="199">
        <v>44795.770833333336</v>
      </c>
      <c r="F37" s="200" t="s">
        <v>116</v>
      </c>
      <c r="G37" s="201">
        <v>137.64599999999999</v>
      </c>
      <c r="H37" s="201">
        <v>137.36500000000001</v>
      </c>
      <c r="I37" s="202">
        <f t="shared" si="1"/>
        <v>0.28099999999997749</v>
      </c>
      <c r="J37" s="201">
        <v>140.566</v>
      </c>
      <c r="K37" s="199">
        <v>44795.816666666666</v>
      </c>
      <c r="L37" s="201">
        <v>137.36500000000001</v>
      </c>
      <c r="M37" s="203">
        <f t="shared" si="2"/>
        <v>-0.28100000000000003</v>
      </c>
      <c r="N37" s="204">
        <f t="shared" si="3"/>
        <v>-1</v>
      </c>
      <c r="O37" s="205">
        <f t="shared" si="4"/>
        <v>0</v>
      </c>
      <c r="P37" s="206">
        <f t="shared" si="5"/>
        <v>0</v>
      </c>
      <c r="Q37" s="206">
        <f t="shared" si="6"/>
        <v>-1</v>
      </c>
      <c r="R3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16424</v>
      </c>
      <c r="T3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16524</v>
      </c>
      <c r="U37" s="208">
        <f ca="1">IF(Tabla33610673487[[#This Row],[Equity]]&lt;Tabla33610673487[[#This Row],[Equity Peak]],(Tabla33610673487[[#This Row],[Equity Peak]]-Tabla33610673487[[#This Row],[Equity]])/Tabla33610673487[[#This Row],[Equity Peak]],"")</f>
        <v>6.0518034374243525E-3</v>
      </c>
      <c r="V37" s="209">
        <f t="shared" si="7"/>
        <v>-1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4.5833333329937886E-2</v>
      </c>
      <c r="AE37" s="210">
        <f t="shared" si="16"/>
        <v>0</v>
      </c>
      <c r="AF37" s="210">
        <f t="shared" si="17"/>
        <v>4.5833333329937886E-2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0"/>
        <v>C</v>
      </c>
      <c r="E38" s="199">
        <v>44791.833333333336</v>
      </c>
      <c r="F38" s="200" t="s">
        <v>116</v>
      </c>
      <c r="G38" s="201">
        <v>135.643</v>
      </c>
      <c r="H38" s="201">
        <v>135.363</v>
      </c>
      <c r="I38" s="202">
        <f t="shared" si="1"/>
        <v>0.28000000000000114</v>
      </c>
      <c r="J38" s="201">
        <v>138.559</v>
      </c>
      <c r="K38" s="199">
        <v>44792.837500000001</v>
      </c>
      <c r="L38" s="201">
        <v>136.77600000000001</v>
      </c>
      <c r="M38" s="203">
        <f t="shared" si="2"/>
        <v>1.133</v>
      </c>
      <c r="N38" s="204">
        <f t="shared" si="3"/>
        <v>4.05</v>
      </c>
      <c r="O38" s="205">
        <f t="shared" si="4"/>
        <v>0</v>
      </c>
      <c r="P38" s="206">
        <f t="shared" si="5"/>
        <v>4.05</v>
      </c>
      <c r="Q38" s="206">
        <f t="shared" si="6"/>
        <v>0</v>
      </c>
      <c r="R3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16524</v>
      </c>
      <c r="T3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16524</v>
      </c>
      <c r="U38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8" s="209">
        <f t="shared" si="7"/>
        <v>4.05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1.0041666666656965</v>
      </c>
      <c r="AE38" s="210">
        <f t="shared" si="16"/>
        <v>1.0041666666656965</v>
      </c>
      <c r="AF38" s="210">
        <f t="shared" si="17"/>
        <v>0</v>
      </c>
      <c r="AG38" s="210">
        <f t="shared" si="18"/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0"/>
        <v>C</v>
      </c>
      <c r="E39" s="199">
        <v>44774.75</v>
      </c>
      <c r="F39" s="200" t="s">
        <v>116</v>
      </c>
      <c r="G39" s="201">
        <v>131.809</v>
      </c>
      <c r="H39" s="201">
        <v>132.166</v>
      </c>
      <c r="I39" s="202">
        <f t="shared" si="1"/>
        <v>0.35699999999999932</v>
      </c>
      <c r="J39" s="201">
        <v>128.095</v>
      </c>
      <c r="K39" s="199">
        <v>44775.390277777777</v>
      </c>
      <c r="L39" s="201">
        <v>131.071</v>
      </c>
      <c r="M39" s="203">
        <f t="shared" si="2"/>
        <v>0.73799999999999999</v>
      </c>
      <c r="N39" s="204">
        <f t="shared" si="3"/>
        <v>2.0699999999999998</v>
      </c>
      <c r="O39" s="205">
        <f t="shared" si="4"/>
        <v>0</v>
      </c>
      <c r="P39" s="206">
        <f t="shared" si="5"/>
        <v>2.0699999999999998</v>
      </c>
      <c r="Q39" s="206">
        <f t="shared" si="6"/>
        <v>0</v>
      </c>
      <c r="R3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16119</v>
      </c>
      <c r="T3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16119</v>
      </c>
      <c r="U39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9" s="209">
        <f t="shared" si="7"/>
        <v>2.0699999999999998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0.64027777777664596</v>
      </c>
      <c r="AE39" s="210">
        <f t="shared" si="16"/>
        <v>0.64027777777664596</v>
      </c>
      <c r="AF39" s="210">
        <f t="shared" si="17"/>
        <v>0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0"/>
        <v>C</v>
      </c>
      <c r="E40" s="199">
        <v>44774.53125</v>
      </c>
      <c r="F40" s="200" t="s">
        <v>116</v>
      </c>
      <c r="G40" s="201">
        <v>132.035</v>
      </c>
      <c r="H40" s="201">
        <v>132.37700000000001</v>
      </c>
      <c r="I40" s="202">
        <f t="shared" si="1"/>
        <v>0.34200000000001296</v>
      </c>
      <c r="J40" s="201">
        <v>128.47399999999999</v>
      </c>
      <c r="K40" s="199">
        <v>44774.597916666666</v>
      </c>
      <c r="L40" s="201">
        <v>132.364</v>
      </c>
      <c r="M40" s="203">
        <f t="shared" si="2"/>
        <v>-0.32900000000000001</v>
      </c>
      <c r="N40" s="204">
        <f t="shared" si="3"/>
        <v>-0.96</v>
      </c>
      <c r="O40" s="205">
        <f t="shared" si="4"/>
        <v>0</v>
      </c>
      <c r="P40" s="206">
        <f t="shared" si="5"/>
        <v>0</v>
      </c>
      <c r="Q40" s="206">
        <f t="shared" si="6"/>
        <v>-0.96</v>
      </c>
      <c r="R4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15912</v>
      </c>
      <c r="T4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16105</v>
      </c>
      <c r="U40" s="208">
        <f ca="1">IF(Tabla33610673487[[#This Row],[Equity]]&lt;Tabla33610673487[[#This Row],[Equity Peak]],(Tabla33610673487[[#This Row],[Equity Peak]]-Tabla33610673487[[#This Row],[Equity]])/Tabla33610673487[[#This Row],[Equity Peak]],"")</f>
        <v>1.1983855945358585E-2</v>
      </c>
      <c r="V40" s="209">
        <f t="shared" si="7"/>
        <v>-0.96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6.6666666665696539E-2</v>
      </c>
      <c r="AE40" s="210">
        <f t="shared" si="16"/>
        <v>0</v>
      </c>
      <c r="AF40" s="210">
        <f t="shared" si="17"/>
        <v>6.6666666665696539E-2</v>
      </c>
      <c r="AG40" s="210">
        <f t="shared" si="18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0"/>
        <v>C</v>
      </c>
      <c r="E41" s="199">
        <v>44774.177083333336</v>
      </c>
      <c r="F41" s="200" t="s">
        <v>116</v>
      </c>
      <c r="G41" s="201">
        <v>132.27099999999999</v>
      </c>
      <c r="H41" s="201">
        <v>132.59899999999999</v>
      </c>
      <c r="I41" s="202">
        <f t="shared" si="1"/>
        <v>0.32800000000000296</v>
      </c>
      <c r="J41" s="201">
        <v>128.86099999999999</v>
      </c>
      <c r="K41" s="199">
        <v>44774.259027777778</v>
      </c>
      <c r="L41" s="201">
        <v>132.59</v>
      </c>
      <c r="M41" s="203">
        <f t="shared" si="2"/>
        <v>-0.31900000000000001</v>
      </c>
      <c r="N41" s="204">
        <f t="shared" si="3"/>
        <v>-0.97</v>
      </c>
      <c r="O41" s="205">
        <f t="shared" si="4"/>
        <v>0</v>
      </c>
      <c r="P41" s="206">
        <f t="shared" si="5"/>
        <v>0</v>
      </c>
      <c r="Q41" s="206">
        <f t="shared" si="6"/>
        <v>-0.97</v>
      </c>
      <c r="R4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16008</v>
      </c>
      <c r="T4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16105</v>
      </c>
      <c r="U41" s="208">
        <f ca="1">IF(Tabla33610673487[[#This Row],[Equity]]&lt;Tabla33610673487[[#This Row],[Equity Peak]],(Tabla33610673487[[#This Row],[Equity Peak]]-Tabla33610673487[[#This Row],[Equity]])/Tabla33610673487[[#This Row],[Equity Peak]],"")</f>
        <v>6.0229742316050914E-3</v>
      </c>
      <c r="V41" s="209">
        <f t="shared" si="7"/>
        <v>-0.97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8.1944444442342501E-2</v>
      </c>
      <c r="AE41" s="210">
        <f t="shared" si="16"/>
        <v>0</v>
      </c>
      <c r="AF41" s="210">
        <f t="shared" si="17"/>
        <v>8.1944444442342501E-2</v>
      </c>
      <c r="AG41" s="210">
        <f t="shared" si="18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0"/>
        <v>C</v>
      </c>
      <c r="E42" s="199">
        <v>44770.65625</v>
      </c>
      <c r="F42" s="200" t="s">
        <v>116</v>
      </c>
      <c r="G42" s="201">
        <v>134.88300000000001</v>
      </c>
      <c r="H42" s="201">
        <v>135.179</v>
      </c>
      <c r="I42" s="202">
        <f t="shared" si="1"/>
        <v>0.29599999999999227</v>
      </c>
      <c r="J42" s="201">
        <v>131.80500000000001</v>
      </c>
      <c r="K42" s="199">
        <v>44771.490277777775</v>
      </c>
      <c r="L42" s="201">
        <v>133.03299999999999</v>
      </c>
      <c r="M42" s="203">
        <f t="shared" si="2"/>
        <v>1.85</v>
      </c>
      <c r="N42" s="204">
        <f t="shared" si="3"/>
        <v>6.25</v>
      </c>
      <c r="O42" s="205">
        <f t="shared" si="4"/>
        <v>0</v>
      </c>
      <c r="P42" s="206">
        <f t="shared" si="5"/>
        <v>6.25</v>
      </c>
      <c r="Q42" s="206">
        <f t="shared" si="6"/>
        <v>0</v>
      </c>
      <c r="R4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16105</v>
      </c>
      <c r="T4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16105</v>
      </c>
      <c r="U42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2" s="209">
        <f t="shared" si="7"/>
        <v>6.25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0.83402777777519077</v>
      </c>
      <c r="AE42" s="210">
        <f t="shared" si="16"/>
        <v>0.83402777777519077</v>
      </c>
      <c r="AF42" s="210">
        <f t="shared" si="17"/>
        <v>0</v>
      </c>
      <c r="AG42" s="210">
        <f t="shared" si="18"/>
        <v>0</v>
      </c>
    </row>
    <row r="43" spans="2:33" ht="15" customHeight="1" x14ac:dyDescent="0.3">
      <c r="B43" s="196" t="s">
        <v>7</v>
      </c>
      <c r="C43" s="197" t="s">
        <v>13</v>
      </c>
      <c r="D43" s="198" t="str">
        <f t="shared" si="0"/>
        <v>C</v>
      </c>
      <c r="E43" s="199">
        <v>44770.1875</v>
      </c>
      <c r="F43" s="200" t="s">
        <v>116</v>
      </c>
      <c r="G43" s="201">
        <v>135.37700000000001</v>
      </c>
      <c r="H43" s="201">
        <v>135.66499999999999</v>
      </c>
      <c r="I43" s="202">
        <f t="shared" si="1"/>
        <v>0.28799999999998249</v>
      </c>
      <c r="J43" s="201">
        <v>132.37899999999999</v>
      </c>
      <c r="K43" s="199">
        <v>44770.21875</v>
      </c>
      <c r="L43" s="201">
        <v>135.553</v>
      </c>
      <c r="M43" s="203">
        <f t="shared" si="2"/>
        <v>-0.17599999999999999</v>
      </c>
      <c r="N43" s="204">
        <f t="shared" si="3"/>
        <v>-0.61</v>
      </c>
      <c r="O43" s="205">
        <f t="shared" si="4"/>
        <v>0</v>
      </c>
      <c r="P43" s="206">
        <f t="shared" si="5"/>
        <v>0</v>
      </c>
      <c r="Q43" s="206">
        <f t="shared" si="6"/>
        <v>-0.61</v>
      </c>
      <c r="R4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15480</v>
      </c>
      <c r="T4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3" s="208">
        <f ca="1">IF(Tabla33610673487[[#This Row],[Equity]]&lt;Tabla33610673487[[#This Row],[Equity Peak]],(Tabla33610673487[[#This Row],[Equity Peak]]-Tabla33610673487[[#This Row],[Equity]])/Tabla33610673487[[#This Row],[Equity Peak]],"")</f>
        <v>1.1304847671967809E-2</v>
      </c>
      <c r="V43" s="209">
        <f t="shared" si="7"/>
        <v>-0.61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0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3.125E-2</v>
      </c>
      <c r="AE43" s="210">
        <f t="shared" si="16"/>
        <v>0</v>
      </c>
      <c r="AF43" s="210">
        <f t="shared" si="17"/>
        <v>3.125E-2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0"/>
        <v>C</v>
      </c>
      <c r="E44" s="199">
        <v>44764.708333333336</v>
      </c>
      <c r="F44" s="200" t="s">
        <v>116</v>
      </c>
      <c r="G44" s="201">
        <v>136.02799999999999</v>
      </c>
      <c r="H44" s="201">
        <v>136.285</v>
      </c>
      <c r="I44" s="202">
        <f t="shared" si="1"/>
        <v>0.257000000000005</v>
      </c>
      <c r="J44" s="201">
        <v>133.358</v>
      </c>
      <c r="K44" s="199">
        <v>44764.728472222225</v>
      </c>
      <c r="L44" s="201">
        <v>136.065</v>
      </c>
      <c r="M44" s="203">
        <f t="shared" si="2"/>
        <v>-3.6999999999999998E-2</v>
      </c>
      <c r="N44" s="204">
        <f t="shared" si="3"/>
        <v>-0.14000000000000001</v>
      </c>
      <c r="O44" s="205">
        <f t="shared" si="4"/>
        <v>0</v>
      </c>
      <c r="P44" s="206">
        <f t="shared" si="5"/>
        <v>0</v>
      </c>
      <c r="Q44" s="206">
        <f t="shared" si="6"/>
        <v>-0.14000000000000001</v>
      </c>
      <c r="R4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15541</v>
      </c>
      <c r="T4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4" s="208">
        <f ca="1">IF(Tabla33610673487[[#This Row],[Equity]]&lt;Tabla33610673487[[#This Row],[Equity Peak]],(Tabla33610673487[[#This Row],[Equity Peak]]-Tabla33610673487[[#This Row],[Equity]])/Tabla33610673487[[#This Row],[Equity Peak]],"")</f>
        <v>7.4088267228715589E-3</v>
      </c>
      <c r="V44" s="209">
        <f t="shared" si="7"/>
        <v>-0.14000000000000001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2.0138888889050577E-2</v>
      </c>
      <c r="AE44" s="210">
        <f t="shared" si="16"/>
        <v>0</v>
      </c>
      <c r="AF44" s="210">
        <f t="shared" si="17"/>
        <v>2.0138888889050577E-2</v>
      </c>
      <c r="AG44" s="210">
        <f t="shared" si="18"/>
        <v>0</v>
      </c>
    </row>
    <row r="45" spans="2:33" ht="15" customHeight="1" x14ac:dyDescent="0.3">
      <c r="B45" s="196" t="s">
        <v>7</v>
      </c>
      <c r="C45" s="197" t="s">
        <v>15</v>
      </c>
      <c r="D45" s="198" t="str">
        <f t="shared" si="0"/>
        <v>C</v>
      </c>
      <c r="E45" s="199">
        <v>44756.333333333336</v>
      </c>
      <c r="F45" s="200" t="s">
        <v>116</v>
      </c>
      <c r="G45" s="201">
        <v>138.239</v>
      </c>
      <c r="H45" s="201">
        <v>137.97399999999999</v>
      </c>
      <c r="I45" s="202">
        <f t="shared" si="1"/>
        <v>0.26500000000001478</v>
      </c>
      <c r="J45" s="201">
        <v>140.99199999999999</v>
      </c>
      <c r="K45" s="199">
        <v>44756.505555555559</v>
      </c>
      <c r="L45" s="201">
        <v>138.81800000000001</v>
      </c>
      <c r="M45" s="203">
        <f t="shared" si="2"/>
        <v>0.57899999999999996</v>
      </c>
      <c r="N45" s="204">
        <f t="shared" si="3"/>
        <v>2.1800000000000002</v>
      </c>
      <c r="O45" s="205">
        <f t="shared" si="4"/>
        <v>0</v>
      </c>
      <c r="P45" s="206">
        <f t="shared" si="5"/>
        <v>2.1800000000000002</v>
      </c>
      <c r="Q45" s="206">
        <f t="shared" si="6"/>
        <v>0</v>
      </c>
      <c r="R4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15555</v>
      </c>
      <c r="T4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5" s="208">
        <f ca="1">IF(Tabla33610673487[[#This Row],[Equity]]&lt;Tabla33610673487[[#This Row],[Equity Peak]],(Tabla33610673487[[#This Row],[Equity Peak]]-Tabla33610673487[[#This Row],[Equity]])/Tabla33610673487[[#This Row],[Equity Peak]],"")</f>
        <v>6.5146579804560263E-3</v>
      </c>
      <c r="V45" s="209">
        <f t="shared" si="7"/>
        <v>2.1800000000000002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0.17222222222335404</v>
      </c>
      <c r="AE45" s="210">
        <f t="shared" si="16"/>
        <v>0.17222222222335404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0"/>
        <v>C</v>
      </c>
      <c r="E46" s="199">
        <v>44756.166666666664</v>
      </c>
      <c r="F46" s="200" t="s">
        <v>116</v>
      </c>
      <c r="G46" s="201">
        <v>137.91800000000001</v>
      </c>
      <c r="H46" s="201">
        <v>137.65299999999999</v>
      </c>
      <c r="I46" s="202">
        <f t="shared" si="1"/>
        <v>0.26500000000001478</v>
      </c>
      <c r="J46" s="201">
        <v>140.67400000000001</v>
      </c>
      <c r="K46" s="199">
        <v>44756.225694444445</v>
      </c>
      <c r="L46" s="201">
        <v>137.78299999999999</v>
      </c>
      <c r="M46" s="203">
        <f t="shared" si="2"/>
        <v>-0.13500000000000001</v>
      </c>
      <c r="N46" s="204">
        <f t="shared" si="3"/>
        <v>-0.51</v>
      </c>
      <c r="O46" s="205">
        <f t="shared" si="4"/>
        <v>0</v>
      </c>
      <c r="P46" s="206">
        <f t="shared" si="5"/>
        <v>0</v>
      </c>
      <c r="Q46" s="206">
        <f t="shared" si="6"/>
        <v>-0.51</v>
      </c>
      <c r="R4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15337</v>
      </c>
      <c r="T4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6" s="208">
        <f ca="1">IF(Tabla33610673487[[#This Row],[Equity]]&lt;Tabla33610673487[[#This Row],[Equity Peak]],(Tabla33610673487[[#This Row],[Equity Peak]]-Tabla33610673487[[#This Row],[Equity]])/Tabla33610673487[[#This Row],[Equity Peak]],"")</f>
        <v>2.0438142683783612E-2</v>
      </c>
      <c r="V46" s="209">
        <f t="shared" si="7"/>
        <v>-0.51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5.9027777781011537E-2</v>
      </c>
      <c r="AE46" s="210">
        <f t="shared" si="16"/>
        <v>0</v>
      </c>
      <c r="AF46" s="210">
        <f t="shared" si="17"/>
        <v>5.9027777781011537E-2</v>
      </c>
      <c r="AG46" s="210">
        <f t="shared" si="18"/>
        <v>0</v>
      </c>
    </row>
    <row r="47" spans="2:33" ht="15" customHeight="1" x14ac:dyDescent="0.3">
      <c r="B47" s="196" t="s">
        <v>7</v>
      </c>
      <c r="C47" s="197" t="s">
        <v>15</v>
      </c>
      <c r="D47" s="198" t="str">
        <f t="shared" si="0"/>
        <v>C</v>
      </c>
      <c r="E47" s="199">
        <v>44755.71875</v>
      </c>
      <c r="F47" s="200" t="s">
        <v>116</v>
      </c>
      <c r="G47" s="201">
        <v>137.762</v>
      </c>
      <c r="H47" s="201">
        <v>137.49600000000001</v>
      </c>
      <c r="I47" s="202">
        <f t="shared" si="1"/>
        <v>0.26599999999999113</v>
      </c>
      <c r="J47" s="201">
        <v>140.53</v>
      </c>
      <c r="K47" s="199">
        <v>44755.730555555558</v>
      </c>
      <c r="L47" s="201">
        <v>137.49600000000001</v>
      </c>
      <c r="M47" s="203">
        <f t="shared" si="2"/>
        <v>-0.26600000000000001</v>
      </c>
      <c r="N47" s="204">
        <f t="shared" si="3"/>
        <v>-1</v>
      </c>
      <c r="O47" s="205">
        <f t="shared" si="4"/>
        <v>0</v>
      </c>
      <c r="P47" s="206">
        <f t="shared" si="5"/>
        <v>0</v>
      </c>
      <c r="Q47" s="206">
        <f t="shared" si="6"/>
        <v>-1</v>
      </c>
      <c r="R4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15388</v>
      </c>
      <c r="T4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7" s="208">
        <f ca="1">IF(Tabla33610673487[[#This Row],[Equity]]&lt;Tabla33610673487[[#This Row],[Equity Peak]],(Tabla33610673487[[#This Row],[Equity Peak]]-Tabla33610673487[[#This Row],[Equity]])/Tabla33610673487[[#This Row],[Equity Peak]],"")</f>
        <v>1.7180813693555598E-2</v>
      </c>
      <c r="V47" s="209">
        <f t="shared" si="7"/>
        <v>-1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1.1805555557657499E-2</v>
      </c>
      <c r="AE47" s="210">
        <f t="shared" si="16"/>
        <v>0</v>
      </c>
      <c r="AF47" s="210">
        <f t="shared" si="17"/>
        <v>1.1805555557657499E-2</v>
      </c>
      <c r="AG47" s="210">
        <f t="shared" si="18"/>
        <v>0</v>
      </c>
    </row>
    <row r="48" spans="2:33" ht="15" customHeight="1" x14ac:dyDescent="0.3">
      <c r="B48" s="196" t="s">
        <v>7</v>
      </c>
      <c r="C48" s="197" t="s">
        <v>15</v>
      </c>
      <c r="D48" s="198" t="str">
        <f t="shared" si="0"/>
        <v>C</v>
      </c>
      <c r="E48" s="199">
        <v>44753.625</v>
      </c>
      <c r="F48" s="200" t="s">
        <v>116</v>
      </c>
      <c r="G48" s="201">
        <v>137.35400000000001</v>
      </c>
      <c r="H48" s="201">
        <v>137.05000000000001</v>
      </c>
      <c r="I48" s="202">
        <f t="shared" si="1"/>
        <v>0.30400000000000205</v>
      </c>
      <c r="J48" s="201">
        <v>140.52000000000001</v>
      </c>
      <c r="K48" s="199">
        <v>44753.704861111109</v>
      </c>
      <c r="L48" s="201">
        <v>137.32400000000001</v>
      </c>
      <c r="M48" s="203">
        <f t="shared" si="2"/>
        <v>-0.03</v>
      </c>
      <c r="N48" s="204">
        <f t="shared" si="3"/>
        <v>-0.1</v>
      </c>
      <c r="O48" s="205">
        <f t="shared" si="4"/>
        <v>0</v>
      </c>
      <c r="P48" s="206">
        <f t="shared" si="5"/>
        <v>0</v>
      </c>
      <c r="Q48" s="206">
        <f t="shared" si="6"/>
        <v>-0.1</v>
      </c>
      <c r="R4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15488</v>
      </c>
      <c r="T4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8" s="208">
        <f ca="1">IF(Tabla33610673487[[#This Row],[Equity]]&lt;Tabla33610673487[[#This Row],[Equity Peak]],(Tabla33610673487[[#This Row],[Equity Peak]]-Tabla33610673487[[#This Row],[Equity]])/Tabla33610673487[[#This Row],[Equity Peak]],"")</f>
        <v>1.079389410487322E-2</v>
      </c>
      <c r="V48" s="209">
        <f t="shared" si="7"/>
        <v>-0.1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0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7.9861111109494232E-2</v>
      </c>
      <c r="AE48" s="210">
        <f t="shared" si="16"/>
        <v>0</v>
      </c>
      <c r="AF48" s="210">
        <f t="shared" si="17"/>
        <v>7.9861111109494232E-2</v>
      </c>
      <c r="AG48" s="210">
        <f t="shared" si="18"/>
        <v>0</v>
      </c>
    </row>
    <row r="49" spans="2:33" ht="15" customHeight="1" x14ac:dyDescent="0.3">
      <c r="B49" s="196" t="s">
        <v>7</v>
      </c>
      <c r="C49" s="197" t="s">
        <v>15</v>
      </c>
      <c r="D49" s="198" t="str">
        <f t="shared" si="0"/>
        <v>C</v>
      </c>
      <c r="E49" s="199">
        <v>44753.197916666664</v>
      </c>
      <c r="F49" s="200" t="s">
        <v>116</v>
      </c>
      <c r="G49" s="201">
        <v>137.22900000000001</v>
      </c>
      <c r="H49" s="201">
        <v>136.935</v>
      </c>
      <c r="I49" s="202">
        <f t="shared" si="1"/>
        <v>0.29400000000001114</v>
      </c>
      <c r="J49" s="201">
        <v>140.28299999999999</v>
      </c>
      <c r="K49" s="199">
        <v>44753.230555555558</v>
      </c>
      <c r="L49" s="201">
        <v>136.935</v>
      </c>
      <c r="M49" s="203">
        <f t="shared" si="2"/>
        <v>-0.29399999999999998</v>
      </c>
      <c r="N49" s="204">
        <f t="shared" si="3"/>
        <v>-1</v>
      </c>
      <c r="O49" s="205">
        <f t="shared" si="4"/>
        <v>0</v>
      </c>
      <c r="P49" s="206">
        <f t="shared" si="5"/>
        <v>0</v>
      </c>
      <c r="Q49" s="206">
        <f t="shared" si="6"/>
        <v>-1</v>
      </c>
      <c r="R4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15498</v>
      </c>
      <c r="T4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49" s="208">
        <f ca="1">IF(Tabla33610673487[[#This Row],[Equity]]&lt;Tabla33610673487[[#This Row],[Equity Peak]],(Tabla33610673487[[#This Row],[Equity Peak]]-Tabla33610673487[[#This Row],[Equity]])/Tabla33610673487[[#This Row],[Equity Peak]],"")</f>
        <v>1.0155202146004981E-2</v>
      </c>
      <c r="V49" s="209">
        <f t="shared" si="7"/>
        <v>-1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0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3.2638888893416151E-2</v>
      </c>
      <c r="AE49" s="210">
        <f t="shared" si="16"/>
        <v>0</v>
      </c>
      <c r="AF49" s="210">
        <f t="shared" si="17"/>
        <v>3.2638888893416151E-2</v>
      </c>
      <c r="AG49" s="210">
        <f t="shared" si="18"/>
        <v>0</v>
      </c>
    </row>
    <row r="50" spans="2:33" ht="15" customHeight="1" x14ac:dyDescent="0.3">
      <c r="B50" s="196" t="s">
        <v>7</v>
      </c>
      <c r="C50" s="197" t="s">
        <v>15</v>
      </c>
      <c r="D50" s="198" t="str">
        <f t="shared" ref="D50:D81" si="19">IF(E50&lt;&gt;"",IF(K50&lt;&gt;"","C","O"),"")</f>
        <v>C</v>
      </c>
      <c r="E50" s="199">
        <v>44741.6875</v>
      </c>
      <c r="F50" s="200" t="s">
        <v>116</v>
      </c>
      <c r="G50" s="201">
        <v>136.85900000000001</v>
      </c>
      <c r="H50" s="201">
        <v>136.55500000000001</v>
      </c>
      <c r="I50" s="202">
        <f t="shared" ref="I50:I81" si="20">ABS(G50-H50)</f>
        <v>0.30400000000000205</v>
      </c>
      <c r="J50" s="201">
        <v>140.02600000000001</v>
      </c>
      <c r="K50" s="199">
        <v>44741.755555555559</v>
      </c>
      <c r="L50" s="201">
        <v>136.68100000000001</v>
      </c>
      <c r="M50" s="203">
        <f t="shared" ref="M50:M81" si="21">ROUND(IF(C50="L",(L50-G50),(G50-L50)),4)</f>
        <v>-0.17799999999999999</v>
      </c>
      <c r="N50" s="204">
        <f t="shared" ref="N50:N81" si="22">IFERROR(ROUND((M50/I50),2),"")</f>
        <v>-0.59</v>
      </c>
      <c r="O50" s="205">
        <f t="shared" ref="O50:O81" si="23">IF(D50="O",IF(N50&lt;0,N50,0),0)</f>
        <v>0</v>
      </c>
      <c r="P50" s="206">
        <f t="shared" ref="P50:P85" si="24">IF(N50&gt;= 0,N50,0)</f>
        <v>0</v>
      </c>
      <c r="Q50" s="206">
        <f t="shared" ref="Q50:Q85" si="25">IF(N50&lt;0,N50,0)</f>
        <v>-0.59</v>
      </c>
      <c r="R5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15598</v>
      </c>
      <c r="T5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50" s="208">
        <f ca="1">IF(Tabla33610673487[[#This Row],[Equity]]&lt;Tabla33610673487[[#This Row],[Equity Peak]],(Tabla33610673487[[#This Row],[Equity Peak]]-Tabla33610673487[[#This Row],[Equity]])/Tabla33610673487[[#This Row],[Equity Peak]],"")</f>
        <v>3.7682825573226034E-3</v>
      </c>
      <c r="V50" s="209">
        <f t="shared" ref="V50:V85" si="26">IF(B50="FX",N50,0)</f>
        <v>-0.59</v>
      </c>
      <c r="W50" s="209">
        <f t="shared" ref="W50:W81" si="27">IF(D50="O",IF(V50&lt;0,V50,0),0)</f>
        <v>0</v>
      </c>
      <c r="X50" s="209">
        <f t="shared" ref="X50:X85" si="28">IF(B50="COM",N50,0)</f>
        <v>0</v>
      </c>
      <c r="Y50" s="209">
        <f t="shared" ref="Y50:Y81" si="29">IF(D50="O",IF(X50&lt;0,X50,0),0)</f>
        <v>0</v>
      </c>
      <c r="Z50" s="209">
        <f t="shared" ref="Z50:Z85" si="30">IF(B50="IND",N50,0)</f>
        <v>0</v>
      </c>
      <c r="AA50" s="205">
        <f t="shared" ref="AA50:AA81" si="31">IF(D50="O",IF(Z50&lt;0,Z50,0),0)</f>
        <v>0</v>
      </c>
      <c r="AB50" s="209">
        <f t="shared" ref="AB50:AB85" si="32">IF(B50="CRYPTO",N50,0)</f>
        <v>0</v>
      </c>
      <c r="AC50" s="205">
        <f t="shared" ref="AC50:AC81" si="33">IF(D50="O",IF(AB50&lt;0,AB50,0),0)</f>
        <v>0</v>
      </c>
      <c r="AD50" s="210">
        <f t="shared" ref="AD50:AD85" si="34">IF(K50&lt;&gt;"",K50-E50,0)</f>
        <v>6.805555555911269E-2</v>
      </c>
      <c r="AE50" s="210">
        <f t="shared" ref="AE50:AE81" si="35">IF(N50&gt;0,AD50,0)</f>
        <v>0</v>
      </c>
      <c r="AF50" s="210">
        <f t="shared" ref="AF50:AF85" si="36">IF(N50&lt;0,AD50,0)</f>
        <v>6.805555555911269E-2</v>
      </c>
      <c r="AG50" s="210">
        <f t="shared" ref="AG50:AG85" si="37">IF(N50=0,AD50,0)</f>
        <v>0</v>
      </c>
    </row>
    <row r="51" spans="2:33" ht="15" customHeight="1" x14ac:dyDescent="0.3">
      <c r="B51" s="196" t="s">
        <v>7</v>
      </c>
      <c r="C51" s="197" t="s">
        <v>15</v>
      </c>
      <c r="D51" s="198" t="str">
        <f t="shared" si="19"/>
        <v>C</v>
      </c>
      <c r="E51" s="199">
        <v>44733.583333333336</v>
      </c>
      <c r="F51" s="200" t="s">
        <v>116</v>
      </c>
      <c r="G51" s="201">
        <v>135.804</v>
      </c>
      <c r="H51" s="201">
        <v>135.38499999999999</v>
      </c>
      <c r="I51" s="202">
        <f t="shared" si="20"/>
        <v>0.41900000000001114</v>
      </c>
      <c r="J51" s="201">
        <v>140.16499999999999</v>
      </c>
      <c r="K51" s="199">
        <v>44734.529861111114</v>
      </c>
      <c r="L51" s="201">
        <v>135.99799999999999</v>
      </c>
      <c r="M51" s="203">
        <f t="shared" si="21"/>
        <v>0.19400000000000001</v>
      </c>
      <c r="N51" s="204">
        <f t="shared" si="22"/>
        <v>0.46</v>
      </c>
      <c r="O51" s="205">
        <f t="shared" si="23"/>
        <v>0</v>
      </c>
      <c r="P51" s="206">
        <f t="shared" si="24"/>
        <v>0.46</v>
      </c>
      <c r="Q51" s="206">
        <f t="shared" si="25"/>
        <v>0</v>
      </c>
      <c r="R5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15657</v>
      </c>
      <c r="T5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15657</v>
      </c>
      <c r="U51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1" s="209">
        <f t="shared" si="26"/>
        <v>0.46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0.94652777777810115</v>
      </c>
      <c r="AE51" s="210">
        <f t="shared" si="35"/>
        <v>0.94652777777810115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7</v>
      </c>
      <c r="C52" s="197" t="s">
        <v>15</v>
      </c>
      <c r="D52" s="198" t="str">
        <f t="shared" si="19"/>
        <v>C</v>
      </c>
      <c r="E52" s="199">
        <v>44726.916666666664</v>
      </c>
      <c r="F52" s="200" t="s">
        <v>116</v>
      </c>
      <c r="G52" s="201">
        <v>135.29</v>
      </c>
      <c r="H52" s="201">
        <v>134.922</v>
      </c>
      <c r="I52" s="202">
        <f t="shared" si="20"/>
        <v>0.367999999999995</v>
      </c>
      <c r="J52" s="201">
        <v>139.11699999999999</v>
      </c>
      <c r="K52" s="199">
        <v>44727.109722222223</v>
      </c>
      <c r="L52" s="201">
        <v>135.18799999999999</v>
      </c>
      <c r="M52" s="203">
        <f t="shared" si="21"/>
        <v>-0.10199999999999999</v>
      </c>
      <c r="N52" s="204">
        <f t="shared" si="22"/>
        <v>-0.28000000000000003</v>
      </c>
      <c r="O52" s="205">
        <f t="shared" si="23"/>
        <v>0</v>
      </c>
      <c r="P52" s="206">
        <f t="shared" si="24"/>
        <v>0</v>
      </c>
      <c r="Q52" s="206">
        <f t="shared" si="25"/>
        <v>-0.28000000000000003</v>
      </c>
      <c r="R5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15611</v>
      </c>
      <c r="T5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15652</v>
      </c>
      <c r="U52" s="208">
        <f ca="1">IF(Tabla33610673487[[#This Row],[Equity]]&lt;Tabla33610673487[[#This Row],[Equity Peak]],(Tabla33610673487[[#This Row],[Equity Peak]]-Tabla33610673487[[#This Row],[Equity]])/Tabla33610673487[[#This Row],[Equity Peak]],"")</f>
        <v>2.6194735497061077E-3</v>
      </c>
      <c r="V52" s="209">
        <f t="shared" si="26"/>
        <v>-0.28000000000000003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0.19305555555911269</v>
      </c>
      <c r="AE52" s="210">
        <f t="shared" si="35"/>
        <v>0</v>
      </c>
      <c r="AF52" s="210">
        <f t="shared" si="36"/>
        <v>0.19305555555911269</v>
      </c>
      <c r="AG52" s="210">
        <f t="shared" si="37"/>
        <v>0</v>
      </c>
    </row>
    <row r="53" spans="2:33" ht="15" customHeight="1" x14ac:dyDescent="0.3">
      <c r="B53" s="196" t="s">
        <v>7</v>
      </c>
      <c r="C53" s="197" t="s">
        <v>15</v>
      </c>
      <c r="D53" s="198" t="str">
        <f t="shared" si="19"/>
        <v>C</v>
      </c>
      <c r="E53" s="199">
        <v>44725.104166666664</v>
      </c>
      <c r="F53" s="200" t="s">
        <v>116</v>
      </c>
      <c r="G53" s="201">
        <v>134.77199999999999</v>
      </c>
      <c r="H53" s="201">
        <v>134.464</v>
      </c>
      <c r="I53" s="202">
        <f t="shared" si="20"/>
        <v>0.30799999999999272</v>
      </c>
      <c r="J53" s="201">
        <v>137.97999999999999</v>
      </c>
      <c r="K53" s="199">
        <v>44725.345833333333</v>
      </c>
      <c r="L53" s="201">
        <v>134.732</v>
      </c>
      <c r="M53" s="203">
        <f t="shared" si="21"/>
        <v>-0.04</v>
      </c>
      <c r="N53" s="204">
        <f t="shared" si="22"/>
        <v>-0.13</v>
      </c>
      <c r="O53" s="205">
        <f t="shared" si="23"/>
        <v>0</v>
      </c>
      <c r="P53" s="206">
        <f t="shared" si="24"/>
        <v>0</v>
      </c>
      <c r="Q53" s="206">
        <f t="shared" si="25"/>
        <v>-0.13</v>
      </c>
      <c r="R5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15639</v>
      </c>
      <c r="T5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15652</v>
      </c>
      <c r="U53" s="208">
        <f ca="1">IF(Tabla33610673487[[#This Row],[Equity]]&lt;Tabla33610673487[[#This Row],[Equity Peak]],(Tabla33610673487[[#This Row],[Equity Peak]]-Tabla33610673487[[#This Row],[Equity]])/Tabla33610673487[[#This Row],[Equity Peak]],"")</f>
        <v>8.3056478405315617E-4</v>
      </c>
      <c r="V53" s="209">
        <f t="shared" si="26"/>
        <v>-0.13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0.24166666666860692</v>
      </c>
      <c r="AE53" s="210">
        <f t="shared" si="35"/>
        <v>0</v>
      </c>
      <c r="AF53" s="210">
        <f t="shared" si="36"/>
        <v>0.24166666666860692</v>
      </c>
      <c r="AG53" s="210">
        <f t="shared" si="37"/>
        <v>0</v>
      </c>
    </row>
    <row r="54" spans="2:33" ht="15" customHeight="1" x14ac:dyDescent="0.3">
      <c r="B54" s="196" t="s">
        <v>7</v>
      </c>
      <c r="C54" s="197" t="s">
        <v>15</v>
      </c>
      <c r="D54" s="198" t="str">
        <f t="shared" si="19"/>
        <v>C</v>
      </c>
      <c r="E54" s="199">
        <v>44718.71875</v>
      </c>
      <c r="F54" s="200" t="s">
        <v>116</v>
      </c>
      <c r="G54" s="201">
        <v>131.04400000000001</v>
      </c>
      <c r="H54" s="201">
        <v>130.81899999999999</v>
      </c>
      <c r="I54" s="202">
        <f t="shared" si="20"/>
        <v>0.22500000000002274</v>
      </c>
      <c r="J54" s="201">
        <v>133.38200000000001</v>
      </c>
      <c r="K54" s="199">
        <v>44719.408333333333</v>
      </c>
      <c r="L54" s="201">
        <v>132.62799999999999</v>
      </c>
      <c r="M54" s="203">
        <f t="shared" si="21"/>
        <v>1.5840000000000001</v>
      </c>
      <c r="N54" s="204">
        <f t="shared" si="22"/>
        <v>7.04</v>
      </c>
      <c r="O54" s="205">
        <f t="shared" si="23"/>
        <v>0</v>
      </c>
      <c r="P54" s="206">
        <f t="shared" si="24"/>
        <v>7.04</v>
      </c>
      <c r="Q54" s="206">
        <f t="shared" si="25"/>
        <v>0</v>
      </c>
      <c r="R5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15652</v>
      </c>
      <c r="T5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15652</v>
      </c>
      <c r="U54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4" s="209">
        <f t="shared" si="26"/>
        <v>7.04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0.68958333333284827</v>
      </c>
      <c r="AE54" s="210">
        <f t="shared" si="35"/>
        <v>0.68958333333284827</v>
      </c>
      <c r="AF54" s="210">
        <f t="shared" si="36"/>
        <v>0</v>
      </c>
      <c r="AG54" s="210">
        <f t="shared" si="37"/>
        <v>0</v>
      </c>
    </row>
    <row r="55" spans="2:33" ht="15" customHeight="1" x14ac:dyDescent="0.3">
      <c r="B55" s="196" t="s">
        <v>7</v>
      </c>
      <c r="C55" s="197" t="s">
        <v>15</v>
      </c>
      <c r="D55" s="198" t="str">
        <f t="shared" si="19"/>
        <v>C</v>
      </c>
      <c r="E55" s="199">
        <v>44715.65625</v>
      </c>
      <c r="F55" s="200" t="s">
        <v>116</v>
      </c>
      <c r="G55" s="201">
        <v>130.566</v>
      </c>
      <c r="H55" s="201">
        <v>130.34200000000001</v>
      </c>
      <c r="I55" s="202">
        <f t="shared" si="20"/>
        <v>0.22399999999998954</v>
      </c>
      <c r="J55" s="201">
        <v>132.892</v>
      </c>
      <c r="K55" s="199">
        <v>44718.181944444441</v>
      </c>
      <c r="L55" s="201">
        <v>130.58799999999999</v>
      </c>
      <c r="M55" s="203">
        <f t="shared" si="21"/>
        <v>2.1999999999999999E-2</v>
      </c>
      <c r="N55" s="204">
        <f t="shared" si="22"/>
        <v>0.1</v>
      </c>
      <c r="O55" s="205">
        <f t="shared" si="23"/>
        <v>0</v>
      </c>
      <c r="P55" s="206">
        <f t="shared" si="24"/>
        <v>0.1</v>
      </c>
      <c r="Q55" s="206">
        <f t="shared" si="25"/>
        <v>0</v>
      </c>
      <c r="R5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14948</v>
      </c>
      <c r="T5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14948</v>
      </c>
      <c r="U55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5" s="209">
        <f t="shared" si="26"/>
        <v>0.1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2.5256944444408873</v>
      </c>
      <c r="AE55" s="210">
        <f t="shared" si="35"/>
        <v>2.5256944444408873</v>
      </c>
      <c r="AF55" s="210">
        <f t="shared" si="36"/>
        <v>0</v>
      </c>
      <c r="AG55" s="210">
        <f t="shared" si="37"/>
        <v>0</v>
      </c>
    </row>
    <row r="56" spans="2:33" ht="15" customHeight="1" x14ac:dyDescent="0.3">
      <c r="B56" s="196" t="s">
        <v>7</v>
      </c>
      <c r="C56" s="197" t="s">
        <v>15</v>
      </c>
      <c r="D56" s="198" t="str">
        <f t="shared" si="19"/>
        <v>C</v>
      </c>
      <c r="E56" s="199">
        <v>44713.177083333336</v>
      </c>
      <c r="F56" s="200" t="s">
        <v>116</v>
      </c>
      <c r="G56" s="201">
        <v>128.97</v>
      </c>
      <c r="H56" s="201">
        <v>128.73099999999999</v>
      </c>
      <c r="I56" s="202">
        <f t="shared" si="20"/>
        <v>0.23900000000000432</v>
      </c>
      <c r="J56" s="201">
        <v>131.459</v>
      </c>
      <c r="K56" s="199">
        <v>44714.418055555558</v>
      </c>
      <c r="L56" s="201">
        <v>129.81399999999999</v>
      </c>
      <c r="M56" s="203">
        <f t="shared" si="21"/>
        <v>0.84399999999999997</v>
      </c>
      <c r="N56" s="204">
        <f t="shared" si="22"/>
        <v>3.53</v>
      </c>
      <c r="O56" s="205">
        <f t="shared" si="23"/>
        <v>0</v>
      </c>
      <c r="P56" s="206">
        <f t="shared" si="24"/>
        <v>3.53</v>
      </c>
      <c r="Q56" s="206">
        <f t="shared" si="25"/>
        <v>0</v>
      </c>
      <c r="R5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14938</v>
      </c>
      <c r="T5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14938</v>
      </c>
      <c r="U56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6" s="209">
        <f t="shared" si="26"/>
        <v>3.53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0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1.2409722222218988</v>
      </c>
      <c r="AE56" s="210">
        <f t="shared" si="35"/>
        <v>1.2409722222218988</v>
      </c>
      <c r="AF56" s="210">
        <f t="shared" si="36"/>
        <v>0</v>
      </c>
      <c r="AG56" s="210">
        <f t="shared" si="37"/>
        <v>0</v>
      </c>
    </row>
    <row r="57" spans="2:33" ht="15" customHeight="1" x14ac:dyDescent="0.3">
      <c r="B57" s="196" t="s">
        <v>7</v>
      </c>
      <c r="C57" s="197" t="s">
        <v>13</v>
      </c>
      <c r="D57" s="198" t="str">
        <f t="shared" si="19"/>
        <v>C</v>
      </c>
      <c r="E57" s="199">
        <v>44705.697916666664</v>
      </c>
      <c r="F57" s="200" t="s">
        <v>116</v>
      </c>
      <c r="G57" s="201">
        <v>126.745</v>
      </c>
      <c r="H57" s="201">
        <v>127.05</v>
      </c>
      <c r="I57" s="202">
        <f t="shared" si="20"/>
        <v>0.30499999999999261</v>
      </c>
      <c r="J57" s="201">
        <v>123.577</v>
      </c>
      <c r="K57" s="199">
        <v>44705.870138888888</v>
      </c>
      <c r="L57" s="201">
        <v>126.76300000000001</v>
      </c>
      <c r="M57" s="203">
        <f t="shared" si="21"/>
        <v>-1.7999999999999999E-2</v>
      </c>
      <c r="N57" s="204">
        <f t="shared" si="22"/>
        <v>-0.06</v>
      </c>
      <c r="O57" s="205">
        <f t="shared" si="23"/>
        <v>0</v>
      </c>
      <c r="P57" s="206">
        <f t="shared" si="24"/>
        <v>0</v>
      </c>
      <c r="Q57" s="206">
        <f t="shared" si="25"/>
        <v>-0.06</v>
      </c>
      <c r="R5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14585</v>
      </c>
      <c r="T5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14853</v>
      </c>
      <c r="U57" s="208">
        <f ca="1">IF(Tabla33610673487[[#This Row],[Equity]]&lt;Tabla33610673487[[#This Row],[Equity Peak]],(Tabla33610673487[[#This Row],[Equity Peak]]-Tabla33610673487[[#This Row],[Equity]])/Tabla33610673487[[#This Row],[Equity Peak]],"")</f>
        <v>1.8043492897057832E-2</v>
      </c>
      <c r="V57" s="209">
        <f t="shared" si="26"/>
        <v>-0.06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0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0.17222222222335404</v>
      </c>
      <c r="AE57" s="210">
        <f t="shared" si="35"/>
        <v>0</v>
      </c>
      <c r="AF57" s="210">
        <f t="shared" si="36"/>
        <v>0.17222222222335404</v>
      </c>
      <c r="AG57" s="210">
        <f t="shared" si="37"/>
        <v>0</v>
      </c>
    </row>
    <row r="58" spans="2:33" ht="15" customHeight="1" x14ac:dyDescent="0.3">
      <c r="B58" s="196" t="s">
        <v>7</v>
      </c>
      <c r="C58" s="197" t="s">
        <v>13</v>
      </c>
      <c r="D58" s="198" t="str">
        <f t="shared" si="19"/>
        <v>C</v>
      </c>
      <c r="E58" s="199">
        <v>44700.65625</v>
      </c>
      <c r="F58" s="200" t="s">
        <v>116</v>
      </c>
      <c r="G58" s="201">
        <v>127.28</v>
      </c>
      <c r="H58" s="201">
        <v>127.575</v>
      </c>
      <c r="I58" s="202">
        <f t="shared" si="20"/>
        <v>0.29500000000000171</v>
      </c>
      <c r="J58" s="201">
        <v>124.211</v>
      </c>
      <c r="K58" s="199">
        <v>44700.693055555559</v>
      </c>
      <c r="L58" s="201">
        <v>127.426</v>
      </c>
      <c r="M58" s="203">
        <f t="shared" si="21"/>
        <v>-0.14599999999999999</v>
      </c>
      <c r="N58" s="204">
        <f t="shared" si="22"/>
        <v>-0.49</v>
      </c>
      <c r="O58" s="205">
        <f t="shared" si="23"/>
        <v>0</v>
      </c>
      <c r="P58" s="206">
        <f t="shared" si="24"/>
        <v>0</v>
      </c>
      <c r="Q58" s="206">
        <f t="shared" si="25"/>
        <v>-0.49</v>
      </c>
      <c r="R5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14591</v>
      </c>
      <c r="T5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14853</v>
      </c>
      <c r="U58" s="208">
        <f ca="1">IF(Tabla33610673487[[#This Row],[Equity]]&lt;Tabla33610673487[[#This Row],[Equity Peak]],(Tabla33610673487[[#This Row],[Equity Peak]]-Tabla33610673487[[#This Row],[Equity]])/Tabla33610673487[[#This Row],[Equity Peak]],"")</f>
        <v>1.7639534100855045E-2</v>
      </c>
      <c r="V58" s="209">
        <f t="shared" si="26"/>
        <v>-0.49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0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3.680555555911269E-2</v>
      </c>
      <c r="AE58" s="210">
        <f t="shared" si="35"/>
        <v>0</v>
      </c>
      <c r="AF58" s="210">
        <f t="shared" si="36"/>
        <v>3.680555555911269E-2</v>
      </c>
      <c r="AG58" s="210">
        <f t="shared" si="37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19"/>
        <v>C</v>
      </c>
      <c r="E59" s="199">
        <v>44693.65625</v>
      </c>
      <c r="F59" s="200" t="s">
        <v>116</v>
      </c>
      <c r="G59" s="201">
        <v>128.19300000000001</v>
      </c>
      <c r="H59" s="201">
        <v>128.494</v>
      </c>
      <c r="I59" s="202">
        <f t="shared" si="20"/>
        <v>0.30099999999998772</v>
      </c>
      <c r="J59" s="201">
        <v>125.05800000000001</v>
      </c>
      <c r="K59" s="199">
        <v>44693.717361111114</v>
      </c>
      <c r="L59" s="201">
        <v>128.23500000000001</v>
      </c>
      <c r="M59" s="203">
        <f t="shared" si="21"/>
        <v>-4.2000000000000003E-2</v>
      </c>
      <c r="N59" s="204">
        <f t="shared" si="22"/>
        <v>-0.14000000000000001</v>
      </c>
      <c r="O59" s="205">
        <f t="shared" si="23"/>
        <v>0</v>
      </c>
      <c r="P59" s="206">
        <f t="shared" si="24"/>
        <v>0</v>
      </c>
      <c r="Q59" s="206">
        <f t="shared" si="25"/>
        <v>-0.14000000000000001</v>
      </c>
      <c r="R5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14640</v>
      </c>
      <c r="T5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14853</v>
      </c>
      <c r="U59" s="208">
        <f ca="1">IF(Tabla33610673487[[#This Row],[Equity]]&lt;Tabla33610673487[[#This Row],[Equity Peak]],(Tabla33610673487[[#This Row],[Equity Peak]]-Tabla33610673487[[#This Row],[Equity]])/Tabla33610673487[[#This Row],[Equity Peak]],"")</f>
        <v>1.434053726519895E-2</v>
      </c>
      <c r="V59" s="209">
        <f t="shared" si="26"/>
        <v>-0.14000000000000001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0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6.1111111113859806E-2</v>
      </c>
      <c r="AE59" s="210">
        <f t="shared" si="35"/>
        <v>0</v>
      </c>
      <c r="AF59" s="210">
        <f t="shared" si="36"/>
        <v>6.1111111113859806E-2</v>
      </c>
      <c r="AG59" s="210">
        <f t="shared" si="37"/>
        <v>0</v>
      </c>
    </row>
    <row r="60" spans="2:33" ht="15" customHeight="1" x14ac:dyDescent="0.3">
      <c r="B60" s="196" t="s">
        <v>7</v>
      </c>
      <c r="C60" s="197" t="s">
        <v>13</v>
      </c>
      <c r="D60" s="198" t="str">
        <f t="shared" si="19"/>
        <v>C</v>
      </c>
      <c r="E60" s="199">
        <v>44693.46875</v>
      </c>
      <c r="F60" s="200" t="s">
        <v>116</v>
      </c>
      <c r="G60" s="201">
        <v>128.46899999999999</v>
      </c>
      <c r="H60" s="201">
        <v>128.76</v>
      </c>
      <c r="I60" s="202">
        <f t="shared" si="20"/>
        <v>0.29099999999999682</v>
      </c>
      <c r="J60" s="201">
        <v>125.44</v>
      </c>
      <c r="K60" s="199">
        <v>44693.529861111114</v>
      </c>
      <c r="L60" s="201">
        <v>128.75800000000001</v>
      </c>
      <c r="M60" s="203">
        <f t="shared" si="21"/>
        <v>-0.28899999999999998</v>
      </c>
      <c r="N60" s="204">
        <f t="shared" si="22"/>
        <v>-0.99</v>
      </c>
      <c r="O60" s="205">
        <f t="shared" si="23"/>
        <v>0</v>
      </c>
      <c r="P60" s="206">
        <f t="shared" si="24"/>
        <v>0</v>
      </c>
      <c r="Q60" s="206">
        <f t="shared" si="25"/>
        <v>-0.99</v>
      </c>
      <c r="R6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14654</v>
      </c>
      <c r="T6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14853</v>
      </c>
      <c r="U60" s="208">
        <f ca="1">IF(Tabla33610673487[[#This Row],[Equity]]&lt;Tabla33610673487[[#This Row],[Equity Peak]],(Tabla33610673487[[#This Row],[Equity Peak]]-Tabla33610673487[[#This Row],[Equity]])/Tabla33610673487[[#This Row],[Equity Peak]],"")</f>
        <v>1.339796674072578E-2</v>
      </c>
      <c r="V60" s="209">
        <f t="shared" si="26"/>
        <v>-0.99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0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6.1111111113859806E-2</v>
      </c>
      <c r="AE60" s="210">
        <f t="shared" si="35"/>
        <v>0</v>
      </c>
      <c r="AF60" s="210">
        <f t="shared" si="36"/>
        <v>6.1111111113859806E-2</v>
      </c>
      <c r="AG60" s="210">
        <f t="shared" si="37"/>
        <v>0</v>
      </c>
    </row>
    <row r="61" spans="2:33" ht="15" customHeight="1" x14ac:dyDescent="0.3">
      <c r="B61" s="196" t="s">
        <v>7</v>
      </c>
      <c r="C61" s="197" t="s">
        <v>15</v>
      </c>
      <c r="D61" s="198" t="str">
        <f t="shared" si="19"/>
        <v>C</v>
      </c>
      <c r="E61" s="199">
        <v>44690.416666666664</v>
      </c>
      <c r="F61" s="200" t="s">
        <v>116</v>
      </c>
      <c r="G61" s="201">
        <v>131.27699999999999</v>
      </c>
      <c r="H61" s="201">
        <v>131.024</v>
      </c>
      <c r="I61" s="202">
        <f t="shared" si="20"/>
        <v>0.2529999999999859</v>
      </c>
      <c r="J61" s="201">
        <v>133.904</v>
      </c>
      <c r="K61" s="199">
        <v>44690.609722222223</v>
      </c>
      <c r="L61" s="201">
        <v>131.024</v>
      </c>
      <c r="M61" s="203">
        <f t="shared" si="21"/>
        <v>-0.253</v>
      </c>
      <c r="N61" s="204">
        <f t="shared" si="22"/>
        <v>-1</v>
      </c>
      <c r="O61" s="205">
        <f t="shared" si="23"/>
        <v>0</v>
      </c>
      <c r="P61" s="206">
        <f t="shared" si="24"/>
        <v>0</v>
      </c>
      <c r="Q61" s="206">
        <f t="shared" si="25"/>
        <v>-1</v>
      </c>
      <c r="R6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14753</v>
      </c>
      <c r="T6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14853</v>
      </c>
      <c r="U61" s="208">
        <f ca="1">IF(Tabla33610673487[[#This Row],[Equity]]&lt;Tabla33610673487[[#This Row],[Equity Peak]],(Tabla33610673487[[#This Row],[Equity Peak]]-Tabla33610673487[[#This Row],[Equity]])/Tabla33610673487[[#This Row],[Equity Peak]],"")</f>
        <v>6.732646603379789E-3</v>
      </c>
      <c r="V61" s="209">
        <f t="shared" si="26"/>
        <v>-1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0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0.19305555555911269</v>
      </c>
      <c r="AE61" s="210">
        <f t="shared" si="35"/>
        <v>0</v>
      </c>
      <c r="AF61" s="210">
        <f t="shared" si="36"/>
        <v>0.19305555555911269</v>
      </c>
      <c r="AG61" s="210">
        <f t="shared" si="37"/>
        <v>0</v>
      </c>
    </row>
    <row r="62" spans="2:33" ht="15" customHeight="1" x14ac:dyDescent="0.3">
      <c r="B62" s="196" t="s">
        <v>7</v>
      </c>
      <c r="C62" s="197" t="s">
        <v>15</v>
      </c>
      <c r="D62" s="198" t="str">
        <f t="shared" si="19"/>
        <v>C</v>
      </c>
      <c r="E62" s="199">
        <v>44679.260416666664</v>
      </c>
      <c r="F62" s="200" t="s">
        <v>116</v>
      </c>
      <c r="G62" s="201">
        <v>129.52099999999999</v>
      </c>
      <c r="H62" s="201">
        <v>129.20099999999999</v>
      </c>
      <c r="I62" s="202">
        <f t="shared" si="20"/>
        <v>0.31999999999999318</v>
      </c>
      <c r="J62" s="201">
        <v>132.85400000000001</v>
      </c>
      <c r="K62" s="199">
        <v>44679.429166666669</v>
      </c>
      <c r="L62" s="201">
        <v>129.99700000000001</v>
      </c>
      <c r="M62" s="203">
        <f t="shared" si="21"/>
        <v>0.47599999999999998</v>
      </c>
      <c r="N62" s="204">
        <f t="shared" si="22"/>
        <v>1.49</v>
      </c>
      <c r="O62" s="205">
        <f t="shared" si="23"/>
        <v>0</v>
      </c>
      <c r="P62" s="206">
        <f t="shared" si="24"/>
        <v>1.49</v>
      </c>
      <c r="Q62" s="206">
        <f t="shared" si="25"/>
        <v>0</v>
      </c>
      <c r="R6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14853</v>
      </c>
      <c r="T6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14853</v>
      </c>
      <c r="U62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2" s="209">
        <f t="shared" si="26"/>
        <v>1.49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0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0.16875000000436557</v>
      </c>
      <c r="AE62" s="210">
        <f t="shared" si="35"/>
        <v>0.16875000000436557</v>
      </c>
      <c r="AF62" s="210">
        <f t="shared" si="36"/>
        <v>0</v>
      </c>
      <c r="AG62" s="210">
        <f t="shared" si="37"/>
        <v>0</v>
      </c>
    </row>
    <row r="63" spans="2:33" ht="15" customHeight="1" x14ac:dyDescent="0.3">
      <c r="B63" s="196" t="s">
        <v>7</v>
      </c>
      <c r="C63" s="197" t="s">
        <v>15</v>
      </c>
      <c r="D63" s="198" t="str">
        <f t="shared" si="19"/>
        <v>C</v>
      </c>
      <c r="E63" s="199">
        <v>44669.802083333336</v>
      </c>
      <c r="F63" s="200" t="s">
        <v>116</v>
      </c>
      <c r="G63" s="201">
        <v>126.845</v>
      </c>
      <c r="H63" s="201">
        <v>126.624</v>
      </c>
      <c r="I63" s="202">
        <f t="shared" si="20"/>
        <v>0.22100000000000364</v>
      </c>
      <c r="J63" s="201">
        <v>129.14699999999999</v>
      </c>
      <c r="K63" s="199">
        <v>44670.425694444442</v>
      </c>
      <c r="L63" s="201">
        <v>127.887</v>
      </c>
      <c r="M63" s="203">
        <f t="shared" si="21"/>
        <v>1.042</v>
      </c>
      <c r="N63" s="204">
        <f t="shared" si="22"/>
        <v>4.71</v>
      </c>
      <c r="O63" s="205">
        <f t="shared" si="23"/>
        <v>0</v>
      </c>
      <c r="P63" s="206">
        <f t="shared" si="24"/>
        <v>4.71</v>
      </c>
      <c r="Q63" s="206">
        <f t="shared" si="25"/>
        <v>0</v>
      </c>
      <c r="R6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14704</v>
      </c>
      <c r="T6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14704</v>
      </c>
      <c r="U63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3" s="209">
        <f t="shared" si="26"/>
        <v>4.71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0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0.62361111110658385</v>
      </c>
      <c r="AE63" s="210">
        <f t="shared" si="35"/>
        <v>0.62361111110658385</v>
      </c>
      <c r="AF63" s="210">
        <f t="shared" si="36"/>
        <v>0</v>
      </c>
      <c r="AG63" s="210">
        <f t="shared" si="37"/>
        <v>0</v>
      </c>
    </row>
    <row r="64" spans="2:33" ht="15" customHeight="1" x14ac:dyDescent="0.3">
      <c r="B64" s="196" t="s">
        <v>7</v>
      </c>
      <c r="C64" s="197" t="s">
        <v>15</v>
      </c>
      <c r="D64" s="198" t="str">
        <f t="shared" si="19"/>
        <v>C</v>
      </c>
      <c r="E64" s="199">
        <v>44669.0625</v>
      </c>
      <c r="F64" s="200" t="s">
        <v>116</v>
      </c>
      <c r="G64" s="201">
        <v>126.697</v>
      </c>
      <c r="H64" s="201">
        <v>126.47199999999999</v>
      </c>
      <c r="I64" s="202">
        <f t="shared" si="20"/>
        <v>0.22500000000000853</v>
      </c>
      <c r="J64" s="201">
        <v>129.041</v>
      </c>
      <c r="K64" s="199">
        <v>44669.175694444442</v>
      </c>
      <c r="L64" s="201">
        <v>126.532</v>
      </c>
      <c r="M64" s="203">
        <f t="shared" si="21"/>
        <v>-0.16500000000000001</v>
      </c>
      <c r="N64" s="204">
        <f t="shared" si="22"/>
        <v>-0.73</v>
      </c>
      <c r="O64" s="205">
        <f t="shared" si="23"/>
        <v>0</v>
      </c>
      <c r="P64" s="206">
        <f t="shared" si="24"/>
        <v>0</v>
      </c>
      <c r="Q64" s="206">
        <f t="shared" si="25"/>
        <v>-0.73</v>
      </c>
      <c r="R6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14233</v>
      </c>
      <c r="T6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14389</v>
      </c>
      <c r="U64" s="208">
        <f ca="1">IF(Tabla33610673487[[#This Row],[Equity]]&lt;Tabla33610673487[[#This Row],[Equity Peak]],(Tabla33610673487[[#This Row],[Equity Peak]]-Tabla33610673487[[#This Row],[Equity]])/Tabla33610673487[[#This Row],[Equity Peak]],"")</f>
        <v>1.0841615122663146E-2</v>
      </c>
      <c r="V64" s="209">
        <f t="shared" si="26"/>
        <v>-0.73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0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0.1131944444423425</v>
      </c>
      <c r="AE64" s="210">
        <f t="shared" si="35"/>
        <v>0</v>
      </c>
      <c r="AF64" s="210">
        <f t="shared" si="36"/>
        <v>0.1131944444423425</v>
      </c>
      <c r="AG64" s="210">
        <f t="shared" si="37"/>
        <v>0</v>
      </c>
    </row>
    <row r="65" spans="2:33" ht="15" customHeight="1" x14ac:dyDescent="0.3">
      <c r="B65" s="196" t="s">
        <v>7</v>
      </c>
      <c r="C65" s="197" t="s">
        <v>15</v>
      </c>
      <c r="D65" s="198" t="str">
        <f t="shared" si="19"/>
        <v>C</v>
      </c>
      <c r="E65" s="199">
        <v>44666.177083333336</v>
      </c>
      <c r="F65" s="200" t="s">
        <v>116</v>
      </c>
      <c r="G65" s="201">
        <v>126.358</v>
      </c>
      <c r="H65" s="201">
        <v>126.119</v>
      </c>
      <c r="I65" s="202">
        <f t="shared" si="20"/>
        <v>0.23900000000000432</v>
      </c>
      <c r="J65" s="201">
        <v>128.84100000000001</v>
      </c>
      <c r="K65" s="199">
        <v>44666.775694444441</v>
      </c>
      <c r="L65" s="201">
        <v>126.324</v>
      </c>
      <c r="M65" s="203">
        <f t="shared" si="21"/>
        <v>-3.4000000000000002E-2</v>
      </c>
      <c r="N65" s="204">
        <f t="shared" si="22"/>
        <v>-0.14000000000000001</v>
      </c>
      <c r="O65" s="205">
        <f t="shared" si="23"/>
        <v>0</v>
      </c>
      <c r="P65" s="206">
        <f t="shared" si="24"/>
        <v>0</v>
      </c>
      <c r="Q65" s="206">
        <f t="shared" si="25"/>
        <v>-0.14000000000000001</v>
      </c>
      <c r="R6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14306</v>
      </c>
      <c r="T6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14389</v>
      </c>
      <c r="U65" s="208">
        <f ca="1">IF(Tabla33610673487[[#This Row],[Equity]]&lt;Tabla33610673487[[#This Row],[Equity Peak]],(Tabla33610673487[[#This Row],[Equity Peak]]-Tabla33610673487[[#This Row],[Equity]])/Tabla33610673487[[#This Row],[Equity Peak]],"")</f>
        <v>5.7682952255194942E-3</v>
      </c>
      <c r="V65" s="209">
        <f t="shared" si="26"/>
        <v>-0.14000000000000001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0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0.59861111110512866</v>
      </c>
      <c r="AE65" s="210">
        <f t="shared" si="35"/>
        <v>0</v>
      </c>
      <c r="AF65" s="210">
        <f t="shared" si="36"/>
        <v>0.59861111110512866</v>
      </c>
      <c r="AG65" s="210">
        <f t="shared" si="37"/>
        <v>0</v>
      </c>
    </row>
    <row r="66" spans="2:33" ht="15" customHeight="1" x14ac:dyDescent="0.3">
      <c r="B66" s="196" t="s">
        <v>7</v>
      </c>
      <c r="C66" s="197" t="s">
        <v>15</v>
      </c>
      <c r="D66" s="198" t="str">
        <f t="shared" si="19"/>
        <v>C</v>
      </c>
      <c r="E66" s="199">
        <v>44664.395833333336</v>
      </c>
      <c r="F66" s="200" t="s">
        <v>116</v>
      </c>
      <c r="G66" s="201">
        <v>126.139</v>
      </c>
      <c r="H66" s="201">
        <v>125.92700000000001</v>
      </c>
      <c r="I66" s="202">
        <f t="shared" si="20"/>
        <v>0.21199999999998909</v>
      </c>
      <c r="J66" s="201">
        <v>128.34</v>
      </c>
      <c r="K66" s="199">
        <v>44664.470833333333</v>
      </c>
      <c r="L66" s="201">
        <v>125.992</v>
      </c>
      <c r="M66" s="203">
        <f t="shared" si="21"/>
        <v>-0.14699999999999999</v>
      </c>
      <c r="N66" s="204">
        <f t="shared" si="22"/>
        <v>-0.69</v>
      </c>
      <c r="O66" s="205">
        <f t="shared" si="23"/>
        <v>0</v>
      </c>
      <c r="P66" s="206">
        <f t="shared" si="24"/>
        <v>0</v>
      </c>
      <c r="Q66" s="206">
        <f t="shared" si="25"/>
        <v>-0.69</v>
      </c>
      <c r="R6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14320</v>
      </c>
      <c r="T6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14389</v>
      </c>
      <c r="U66" s="208">
        <f ca="1">IF(Tabla33610673487[[#This Row],[Equity]]&lt;Tabla33610673487[[#This Row],[Equity Peak]],(Tabla33610673487[[#This Row],[Equity Peak]]-Tabla33610673487[[#This Row],[Equity]])/Tabla33610673487[[#This Row],[Equity Peak]],"")</f>
        <v>4.7953297657933143E-3</v>
      </c>
      <c r="V66" s="209">
        <f t="shared" si="26"/>
        <v>-0.69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0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7.4999999997089617E-2</v>
      </c>
      <c r="AE66" s="210">
        <f t="shared" si="35"/>
        <v>0</v>
      </c>
      <c r="AF66" s="210">
        <f t="shared" si="36"/>
        <v>7.4999999997089617E-2</v>
      </c>
      <c r="AG66" s="210">
        <f t="shared" si="37"/>
        <v>0</v>
      </c>
    </row>
    <row r="67" spans="2:33" ht="15" customHeight="1" x14ac:dyDescent="0.3">
      <c r="B67" s="196" t="s">
        <v>7</v>
      </c>
      <c r="C67" s="197" t="s">
        <v>15</v>
      </c>
      <c r="D67" s="198" t="str">
        <f t="shared" si="19"/>
        <v>C</v>
      </c>
      <c r="E67" s="199">
        <v>44662.1875</v>
      </c>
      <c r="F67" s="200" t="s">
        <v>116</v>
      </c>
      <c r="G67" s="201">
        <v>124.71</v>
      </c>
      <c r="H67" s="201">
        <v>124.512</v>
      </c>
      <c r="I67" s="202">
        <f t="shared" si="20"/>
        <v>0.19799999999999329</v>
      </c>
      <c r="J67" s="201">
        <v>126.773</v>
      </c>
      <c r="K67" s="199">
        <v>44662.960416666669</v>
      </c>
      <c r="L67" s="201">
        <v>125.36799999999999</v>
      </c>
      <c r="M67" s="203">
        <f t="shared" si="21"/>
        <v>0.65800000000000003</v>
      </c>
      <c r="N67" s="204">
        <f t="shared" si="22"/>
        <v>3.32</v>
      </c>
      <c r="O67" s="205">
        <f t="shared" si="23"/>
        <v>0</v>
      </c>
      <c r="P67" s="206">
        <f t="shared" si="24"/>
        <v>3.32</v>
      </c>
      <c r="Q67" s="206">
        <f t="shared" si="25"/>
        <v>0</v>
      </c>
      <c r="R6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14389</v>
      </c>
      <c r="T6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14389</v>
      </c>
      <c r="U67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7" s="209">
        <f t="shared" si="26"/>
        <v>3.32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0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0.77291666666860692</v>
      </c>
      <c r="AE67" s="210">
        <f t="shared" si="35"/>
        <v>0.77291666666860692</v>
      </c>
      <c r="AF67" s="210">
        <f t="shared" si="36"/>
        <v>0</v>
      </c>
      <c r="AG67" s="210">
        <f t="shared" si="37"/>
        <v>0</v>
      </c>
    </row>
    <row r="68" spans="2:33" ht="15" customHeight="1" x14ac:dyDescent="0.3">
      <c r="B68" s="196" t="s">
        <v>7</v>
      </c>
      <c r="C68" s="197" t="s">
        <v>15</v>
      </c>
      <c r="D68" s="198" t="str">
        <f t="shared" si="19"/>
        <v>C</v>
      </c>
      <c r="E68" s="199">
        <v>44648.177083333336</v>
      </c>
      <c r="F68" s="200" t="s">
        <v>116</v>
      </c>
      <c r="G68" s="201">
        <v>122.592</v>
      </c>
      <c r="H68" s="201">
        <v>122.36</v>
      </c>
      <c r="I68" s="202">
        <f t="shared" si="20"/>
        <v>0.23199999999999932</v>
      </c>
      <c r="J68" s="201">
        <v>125.002</v>
      </c>
      <c r="K68" s="199">
        <v>44648.493055555555</v>
      </c>
      <c r="L68" s="201">
        <v>125.002</v>
      </c>
      <c r="M68" s="203">
        <f t="shared" si="21"/>
        <v>2.41</v>
      </c>
      <c r="N68" s="204">
        <f t="shared" si="22"/>
        <v>10.39</v>
      </c>
      <c r="O68" s="205">
        <f t="shared" si="23"/>
        <v>0</v>
      </c>
      <c r="P68" s="206">
        <f t="shared" si="24"/>
        <v>10.39</v>
      </c>
      <c r="Q68" s="206">
        <f t="shared" si="25"/>
        <v>0</v>
      </c>
      <c r="R6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14057</v>
      </c>
      <c r="T6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14057</v>
      </c>
      <c r="U68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8" s="209">
        <f t="shared" si="26"/>
        <v>10.39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0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0.31597222221898846</v>
      </c>
      <c r="AE68" s="210">
        <f t="shared" si="35"/>
        <v>0.31597222221898846</v>
      </c>
      <c r="AF68" s="210">
        <f t="shared" si="36"/>
        <v>0</v>
      </c>
      <c r="AG68" s="210">
        <f t="shared" si="37"/>
        <v>0</v>
      </c>
    </row>
    <row r="69" spans="2:33" ht="15" customHeight="1" x14ac:dyDescent="0.3">
      <c r="B69" s="196" t="s">
        <v>7</v>
      </c>
      <c r="C69" s="197" t="s">
        <v>15</v>
      </c>
      <c r="D69" s="198" t="str">
        <f t="shared" si="19"/>
        <v>C</v>
      </c>
      <c r="E69" s="199">
        <v>44644.375</v>
      </c>
      <c r="F69" s="200" t="s">
        <v>116</v>
      </c>
      <c r="G69" s="201">
        <v>121.44199999999999</v>
      </c>
      <c r="H69" s="201">
        <v>121.262</v>
      </c>
      <c r="I69" s="202">
        <f t="shared" si="20"/>
        <v>0.17999999999999261</v>
      </c>
      <c r="J69" s="201">
        <v>123.31399999999999</v>
      </c>
      <c r="K69" s="199">
        <v>44645.133333333331</v>
      </c>
      <c r="L69" s="201">
        <v>122.077</v>
      </c>
      <c r="M69" s="203">
        <f t="shared" si="21"/>
        <v>0.63500000000000001</v>
      </c>
      <c r="N69" s="204">
        <f t="shared" si="22"/>
        <v>3.53</v>
      </c>
      <c r="O69" s="205">
        <f t="shared" si="23"/>
        <v>0</v>
      </c>
      <c r="P69" s="206">
        <f t="shared" si="24"/>
        <v>3.53</v>
      </c>
      <c r="Q69" s="206">
        <f t="shared" si="25"/>
        <v>0</v>
      </c>
      <c r="R6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13018</v>
      </c>
      <c r="T6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13018</v>
      </c>
      <c r="U69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9" s="209">
        <f t="shared" si="26"/>
        <v>3.53</v>
      </c>
      <c r="W69" s="209">
        <f t="shared" si="27"/>
        <v>0</v>
      </c>
      <c r="X69" s="209">
        <f t="shared" si="28"/>
        <v>0</v>
      </c>
      <c r="Y69" s="209">
        <f t="shared" si="29"/>
        <v>0</v>
      </c>
      <c r="Z69" s="209">
        <f t="shared" si="30"/>
        <v>0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0.75833333333139308</v>
      </c>
      <c r="AE69" s="210">
        <f t="shared" si="35"/>
        <v>0.75833333333139308</v>
      </c>
      <c r="AF69" s="210">
        <f t="shared" si="36"/>
        <v>0</v>
      </c>
      <c r="AG69" s="210">
        <f t="shared" si="37"/>
        <v>0</v>
      </c>
    </row>
    <row r="70" spans="2:33" ht="15" customHeight="1" x14ac:dyDescent="0.3">
      <c r="B70" s="196" t="s">
        <v>7</v>
      </c>
      <c r="C70" s="197" t="s">
        <v>15</v>
      </c>
      <c r="D70" s="198" t="str">
        <f t="shared" si="19"/>
        <v>C</v>
      </c>
      <c r="E70" s="199">
        <v>44641.854166666664</v>
      </c>
      <c r="F70" s="200" t="s">
        <v>116</v>
      </c>
      <c r="G70" s="201">
        <v>119.413</v>
      </c>
      <c r="H70" s="201">
        <v>119.244</v>
      </c>
      <c r="I70" s="202">
        <f t="shared" si="20"/>
        <v>0.16899999999999693</v>
      </c>
      <c r="J70" s="201">
        <v>121.167</v>
      </c>
      <c r="K70" s="199">
        <v>44642.60833333333</v>
      </c>
      <c r="L70" s="201">
        <v>120.691</v>
      </c>
      <c r="M70" s="203">
        <f t="shared" si="21"/>
        <v>1.278</v>
      </c>
      <c r="N70" s="204">
        <f t="shared" si="22"/>
        <v>7.56</v>
      </c>
      <c r="O70" s="205">
        <f t="shared" si="23"/>
        <v>0</v>
      </c>
      <c r="P70" s="206">
        <f t="shared" si="24"/>
        <v>7.56</v>
      </c>
      <c r="Q70" s="206">
        <f t="shared" si="25"/>
        <v>0</v>
      </c>
      <c r="R7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12665</v>
      </c>
      <c r="T7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12665</v>
      </c>
      <c r="U70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0" s="209">
        <f t="shared" si="26"/>
        <v>7.56</v>
      </c>
      <c r="W70" s="209">
        <f t="shared" si="27"/>
        <v>0</v>
      </c>
      <c r="X70" s="209">
        <f t="shared" si="28"/>
        <v>0</v>
      </c>
      <c r="Y70" s="209">
        <f t="shared" si="29"/>
        <v>0</v>
      </c>
      <c r="Z70" s="209">
        <f t="shared" si="30"/>
        <v>0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0.75416666666569654</v>
      </c>
      <c r="AE70" s="210">
        <f t="shared" si="35"/>
        <v>0.75416666666569654</v>
      </c>
      <c r="AF70" s="210">
        <f t="shared" si="36"/>
        <v>0</v>
      </c>
      <c r="AG70" s="210">
        <f t="shared" si="37"/>
        <v>0</v>
      </c>
    </row>
    <row r="71" spans="2:33" ht="15" customHeight="1" x14ac:dyDescent="0.3">
      <c r="B71" s="196" t="s">
        <v>7</v>
      </c>
      <c r="C71" s="197" t="s">
        <v>15</v>
      </c>
      <c r="D71" s="198" t="str">
        <f t="shared" si="19"/>
        <v>C</v>
      </c>
      <c r="E71" s="199">
        <v>44638.666666666664</v>
      </c>
      <c r="F71" s="200" t="s">
        <v>116</v>
      </c>
      <c r="G71" s="201">
        <v>119.187</v>
      </c>
      <c r="H71" s="201">
        <v>119.009</v>
      </c>
      <c r="I71" s="202">
        <f t="shared" si="20"/>
        <v>0.17799999999999727</v>
      </c>
      <c r="J71" s="201">
        <v>121.03400000000001</v>
      </c>
      <c r="K71" s="199">
        <v>44638.709027777775</v>
      </c>
      <c r="L71" s="201">
        <v>119.181</v>
      </c>
      <c r="M71" s="203">
        <f t="shared" si="21"/>
        <v>-6.0000000000000001E-3</v>
      </c>
      <c r="N71" s="204">
        <f t="shared" si="22"/>
        <v>-0.03</v>
      </c>
      <c r="O71" s="205">
        <f t="shared" si="23"/>
        <v>0</v>
      </c>
      <c r="P71" s="206">
        <f t="shared" si="24"/>
        <v>0</v>
      </c>
      <c r="Q71" s="206">
        <f t="shared" si="25"/>
        <v>-0.03</v>
      </c>
      <c r="R7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11909</v>
      </c>
      <c r="T7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11912</v>
      </c>
      <c r="U71" s="208">
        <f ca="1">IF(Tabla33610673487[[#This Row],[Equity]]&lt;Tabla33610673487[[#This Row],[Equity Peak]],(Tabla33610673487[[#This Row],[Equity Peak]]-Tabla33610673487[[#This Row],[Equity]])/Tabla33610673487[[#This Row],[Equity Peak]],"")</f>
        <v>2.5184687709872396E-4</v>
      </c>
      <c r="V71" s="209">
        <f t="shared" si="26"/>
        <v>-0.03</v>
      </c>
      <c r="W71" s="209">
        <f t="shared" si="27"/>
        <v>0</v>
      </c>
      <c r="X71" s="209">
        <f t="shared" si="28"/>
        <v>0</v>
      </c>
      <c r="Y71" s="209">
        <f t="shared" si="29"/>
        <v>0</v>
      </c>
      <c r="Z71" s="209">
        <f t="shared" si="30"/>
        <v>0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4.2361111110949423E-2</v>
      </c>
      <c r="AE71" s="210">
        <f t="shared" si="35"/>
        <v>0</v>
      </c>
      <c r="AF71" s="210">
        <f t="shared" si="36"/>
        <v>4.2361111110949423E-2</v>
      </c>
      <c r="AG71" s="210">
        <f t="shared" si="37"/>
        <v>0</v>
      </c>
    </row>
    <row r="72" spans="2:33" ht="15" customHeight="1" x14ac:dyDescent="0.3">
      <c r="B72" s="196" t="s">
        <v>7</v>
      </c>
      <c r="C72" s="197" t="s">
        <v>15</v>
      </c>
      <c r="D72" s="198" t="str">
        <f t="shared" si="19"/>
        <v>C</v>
      </c>
      <c r="E72" s="199">
        <v>44636.770833333336</v>
      </c>
      <c r="F72" s="200" t="s">
        <v>116</v>
      </c>
      <c r="G72" s="201">
        <v>118.482</v>
      </c>
      <c r="H72" s="201">
        <v>118.318</v>
      </c>
      <c r="I72" s="202">
        <f t="shared" si="20"/>
        <v>0.16400000000000148</v>
      </c>
      <c r="J72" s="201">
        <v>120.185</v>
      </c>
      <c r="K72" s="199">
        <v>44636.904861111114</v>
      </c>
      <c r="L72" s="201">
        <v>118.71</v>
      </c>
      <c r="M72" s="203">
        <f t="shared" si="21"/>
        <v>0.22800000000000001</v>
      </c>
      <c r="N72" s="204">
        <f t="shared" si="22"/>
        <v>1.39</v>
      </c>
      <c r="O72" s="205">
        <f t="shared" si="23"/>
        <v>0</v>
      </c>
      <c r="P72" s="206">
        <f t="shared" si="24"/>
        <v>1.39</v>
      </c>
      <c r="Q72" s="206">
        <f t="shared" si="25"/>
        <v>0</v>
      </c>
      <c r="R7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11912</v>
      </c>
      <c r="T7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11912</v>
      </c>
      <c r="U72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2" s="209">
        <f t="shared" si="26"/>
        <v>1.39</v>
      </c>
      <c r="W72" s="209">
        <f t="shared" si="27"/>
        <v>0</v>
      </c>
      <c r="X72" s="209">
        <f t="shared" si="28"/>
        <v>0</v>
      </c>
      <c r="Y72" s="209">
        <f t="shared" si="29"/>
        <v>0</v>
      </c>
      <c r="Z72" s="209">
        <f t="shared" si="30"/>
        <v>0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0.13402777777810115</v>
      </c>
      <c r="AE72" s="210">
        <f t="shared" si="35"/>
        <v>0.13402777777810115</v>
      </c>
      <c r="AF72" s="210">
        <f t="shared" si="36"/>
        <v>0</v>
      </c>
      <c r="AG72" s="210">
        <f t="shared" si="37"/>
        <v>0</v>
      </c>
    </row>
    <row r="73" spans="2:33" ht="15" customHeight="1" x14ac:dyDescent="0.3">
      <c r="B73" s="196" t="s">
        <v>7</v>
      </c>
      <c r="C73" s="197" t="s">
        <v>15</v>
      </c>
      <c r="D73" s="198" t="str">
        <f t="shared" si="19"/>
        <v>C</v>
      </c>
      <c r="E73" s="199">
        <v>44631.114583333336</v>
      </c>
      <c r="F73" s="200" t="s">
        <v>116</v>
      </c>
      <c r="G73" s="201">
        <v>116.265</v>
      </c>
      <c r="H73" s="201">
        <v>116.11199999999999</v>
      </c>
      <c r="I73" s="202">
        <f t="shared" si="20"/>
        <v>0.1530000000000058</v>
      </c>
      <c r="J73" s="201">
        <v>117.851</v>
      </c>
      <c r="K73" s="199">
        <v>44634.236805555556</v>
      </c>
      <c r="L73" s="201">
        <v>117.851</v>
      </c>
      <c r="M73" s="203">
        <f t="shared" si="21"/>
        <v>1.5860000000000001</v>
      </c>
      <c r="N73" s="204">
        <f t="shared" si="22"/>
        <v>10.37</v>
      </c>
      <c r="O73" s="205">
        <f t="shared" si="23"/>
        <v>0</v>
      </c>
      <c r="P73" s="206">
        <f t="shared" si="24"/>
        <v>10.37</v>
      </c>
      <c r="Q73" s="206">
        <f t="shared" si="25"/>
        <v>0</v>
      </c>
      <c r="R7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11773</v>
      </c>
      <c r="T7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11773</v>
      </c>
      <c r="U73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3" s="209">
        <f t="shared" si="26"/>
        <v>10.37</v>
      </c>
      <c r="W73" s="209">
        <f t="shared" si="27"/>
        <v>0</v>
      </c>
      <c r="X73" s="209">
        <f t="shared" si="28"/>
        <v>0</v>
      </c>
      <c r="Y73" s="209">
        <f t="shared" si="29"/>
        <v>0</v>
      </c>
      <c r="Z73" s="209">
        <f t="shared" si="30"/>
        <v>0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3.1222222222204437</v>
      </c>
      <c r="AE73" s="210">
        <f t="shared" si="35"/>
        <v>3.1222222222204437</v>
      </c>
      <c r="AF73" s="210">
        <f t="shared" si="36"/>
        <v>0</v>
      </c>
      <c r="AG73" s="210">
        <f t="shared" si="37"/>
        <v>0</v>
      </c>
    </row>
    <row r="74" spans="2:33" ht="15" customHeight="1" x14ac:dyDescent="0.3">
      <c r="B74" s="196" t="s">
        <v>7</v>
      </c>
      <c r="C74" s="197" t="s">
        <v>15</v>
      </c>
      <c r="D74" s="198" t="str">
        <f t="shared" si="19"/>
        <v>C</v>
      </c>
      <c r="E74" s="199">
        <v>44630.114583333336</v>
      </c>
      <c r="F74" s="200" t="s">
        <v>116</v>
      </c>
      <c r="G74" s="201">
        <v>115.976</v>
      </c>
      <c r="H74" s="201">
        <v>115.822</v>
      </c>
      <c r="I74" s="202">
        <f t="shared" si="20"/>
        <v>0.15399999999999636</v>
      </c>
      <c r="J74" s="201">
        <v>117.578</v>
      </c>
      <c r="K74" s="199">
        <v>44630.384027777778</v>
      </c>
      <c r="L74" s="201">
        <v>115.956</v>
      </c>
      <c r="M74" s="203">
        <f t="shared" si="21"/>
        <v>-0.02</v>
      </c>
      <c r="N74" s="204">
        <f t="shared" si="22"/>
        <v>-0.13</v>
      </c>
      <c r="O74" s="205">
        <f t="shared" si="23"/>
        <v>0</v>
      </c>
      <c r="P74" s="206">
        <f t="shared" si="24"/>
        <v>0</v>
      </c>
      <c r="Q74" s="206">
        <f t="shared" si="25"/>
        <v>-0.13</v>
      </c>
      <c r="R7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10736</v>
      </c>
      <c r="T7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11007</v>
      </c>
      <c r="U74" s="208">
        <f ca="1">IF(Tabla33610673487[[#This Row],[Equity]]&lt;Tabla33610673487[[#This Row],[Equity Peak]],(Tabla33610673487[[#This Row],[Equity Peak]]-Tabla33610673487[[#This Row],[Equity]])/Tabla33610673487[[#This Row],[Equity Peak]],"")</f>
        <v>2.4620695920777688E-2</v>
      </c>
      <c r="V74" s="209">
        <f t="shared" si="26"/>
        <v>-0.13</v>
      </c>
      <c r="W74" s="209">
        <f t="shared" si="27"/>
        <v>0</v>
      </c>
      <c r="X74" s="209">
        <f t="shared" si="28"/>
        <v>0</v>
      </c>
      <c r="Y74" s="209">
        <f t="shared" si="29"/>
        <v>0</v>
      </c>
      <c r="Z74" s="209">
        <f t="shared" si="30"/>
        <v>0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0.2694444444423425</v>
      </c>
      <c r="AE74" s="210">
        <f t="shared" si="35"/>
        <v>0</v>
      </c>
      <c r="AF74" s="210">
        <f t="shared" si="36"/>
        <v>0.2694444444423425</v>
      </c>
      <c r="AG74" s="210">
        <f t="shared" si="37"/>
        <v>0</v>
      </c>
    </row>
    <row r="75" spans="2:33" ht="15" customHeight="1" x14ac:dyDescent="0.3">
      <c r="B75" s="196" t="s">
        <v>7</v>
      </c>
      <c r="C75" s="197" t="s">
        <v>15</v>
      </c>
      <c r="D75" s="198" t="str">
        <f t="shared" si="19"/>
        <v>C</v>
      </c>
      <c r="E75" s="199">
        <v>44629.104166666664</v>
      </c>
      <c r="F75" s="200" t="s">
        <v>116</v>
      </c>
      <c r="G75" s="201">
        <v>115.854</v>
      </c>
      <c r="H75" s="201">
        <v>115.7</v>
      </c>
      <c r="I75" s="202">
        <f t="shared" si="20"/>
        <v>0.15399999999999636</v>
      </c>
      <c r="J75" s="201">
        <v>117.458</v>
      </c>
      <c r="K75" s="199">
        <v>44629.307638888888</v>
      </c>
      <c r="L75" s="201">
        <v>115.759</v>
      </c>
      <c r="M75" s="203">
        <f t="shared" si="21"/>
        <v>-9.5000000000000001E-2</v>
      </c>
      <c r="N75" s="204">
        <f t="shared" si="22"/>
        <v>-0.62</v>
      </c>
      <c r="O75" s="205">
        <f t="shared" si="23"/>
        <v>0</v>
      </c>
      <c r="P75" s="206">
        <f t="shared" si="24"/>
        <v>0</v>
      </c>
      <c r="Q75" s="206">
        <f t="shared" si="25"/>
        <v>-0.62</v>
      </c>
      <c r="R7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10749</v>
      </c>
      <c r="T7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11007</v>
      </c>
      <c r="U75" s="208">
        <f ca="1">IF(Tabla33610673487[[#This Row],[Equity]]&lt;Tabla33610673487[[#This Row],[Equity Peak]],(Tabla33610673487[[#This Row],[Equity Peak]]-Tabla33610673487[[#This Row],[Equity]])/Tabla33610673487[[#This Row],[Equity Peak]],"")</f>
        <v>2.3439629326792041E-2</v>
      </c>
      <c r="V75" s="209">
        <f t="shared" si="26"/>
        <v>-0.62</v>
      </c>
      <c r="W75" s="209">
        <f t="shared" si="27"/>
        <v>0</v>
      </c>
      <c r="X75" s="209">
        <f t="shared" si="28"/>
        <v>0</v>
      </c>
      <c r="Y75" s="209">
        <f t="shared" si="29"/>
        <v>0</v>
      </c>
      <c r="Z75" s="209">
        <f t="shared" si="30"/>
        <v>0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0.20347222222335404</v>
      </c>
      <c r="AE75" s="210">
        <f t="shared" si="35"/>
        <v>0</v>
      </c>
      <c r="AF75" s="210">
        <f t="shared" si="36"/>
        <v>0.20347222222335404</v>
      </c>
      <c r="AG75" s="210">
        <f t="shared" si="37"/>
        <v>0</v>
      </c>
    </row>
    <row r="76" spans="2:33" ht="15" customHeight="1" x14ac:dyDescent="0.3">
      <c r="B76" s="196" t="s">
        <v>7</v>
      </c>
      <c r="C76" s="197" t="s">
        <v>15</v>
      </c>
      <c r="D76" s="198" t="str">
        <f t="shared" si="19"/>
        <v>C</v>
      </c>
      <c r="E76" s="199">
        <v>44623.427083333336</v>
      </c>
      <c r="F76" s="200" t="s">
        <v>116</v>
      </c>
      <c r="G76" s="201">
        <v>115.779</v>
      </c>
      <c r="H76" s="201">
        <v>115.614</v>
      </c>
      <c r="I76" s="202">
        <f t="shared" si="20"/>
        <v>0.16499999999999204</v>
      </c>
      <c r="J76" s="201">
        <v>117.49</v>
      </c>
      <c r="K76" s="199">
        <v>44623.666666666664</v>
      </c>
      <c r="L76" s="201">
        <v>115.621</v>
      </c>
      <c r="M76" s="203">
        <f t="shared" si="21"/>
        <v>-0.158</v>
      </c>
      <c r="N76" s="204">
        <f t="shared" si="22"/>
        <v>-0.96</v>
      </c>
      <c r="O76" s="205">
        <f t="shared" si="23"/>
        <v>0</v>
      </c>
      <c r="P76" s="206">
        <f t="shared" si="24"/>
        <v>0</v>
      </c>
      <c r="Q76" s="206">
        <f t="shared" si="25"/>
        <v>-0.96</v>
      </c>
      <c r="R7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10811</v>
      </c>
      <c r="T7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11007</v>
      </c>
      <c r="U76" s="208">
        <f ca="1">IF(Tabla33610673487[[#This Row],[Equity]]&lt;Tabla33610673487[[#This Row],[Equity Peak]],(Tabla33610673487[[#This Row],[Equity Peak]]-Tabla33610673487[[#This Row],[Equity]])/Tabla33610673487[[#This Row],[Equity Peak]],"")</f>
        <v>1.7806850186245116E-2</v>
      </c>
      <c r="V76" s="209">
        <f t="shared" si="26"/>
        <v>-0.96</v>
      </c>
      <c r="W76" s="209">
        <f t="shared" si="27"/>
        <v>0</v>
      </c>
      <c r="X76" s="209">
        <f t="shared" si="28"/>
        <v>0</v>
      </c>
      <c r="Y76" s="209">
        <f t="shared" si="29"/>
        <v>0</v>
      </c>
      <c r="Z76" s="209">
        <f t="shared" si="30"/>
        <v>0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0.23958333332848269</v>
      </c>
      <c r="AE76" s="210">
        <f t="shared" si="35"/>
        <v>0</v>
      </c>
      <c r="AF76" s="210">
        <f t="shared" si="36"/>
        <v>0.23958333332848269</v>
      </c>
      <c r="AG76" s="210">
        <f t="shared" si="37"/>
        <v>0</v>
      </c>
    </row>
    <row r="77" spans="2:33" ht="15" customHeight="1" x14ac:dyDescent="0.3">
      <c r="B77" s="196" t="s">
        <v>7</v>
      </c>
      <c r="C77" s="197" t="s">
        <v>13</v>
      </c>
      <c r="D77" s="198" t="str">
        <f t="shared" si="19"/>
        <v>C</v>
      </c>
      <c r="E77" s="199">
        <v>44616.375</v>
      </c>
      <c r="F77" s="200" t="s">
        <v>116</v>
      </c>
      <c r="G77" s="201">
        <v>114.431</v>
      </c>
      <c r="H77" s="201">
        <v>114.571</v>
      </c>
      <c r="I77" s="202">
        <f t="shared" si="20"/>
        <v>0.14000000000000057</v>
      </c>
      <c r="J77" s="201">
        <v>112.974</v>
      </c>
      <c r="K77" s="199">
        <v>44616.404166666667</v>
      </c>
      <c r="L77" s="201">
        <v>114.571</v>
      </c>
      <c r="M77" s="203">
        <f t="shared" si="21"/>
        <v>-0.14000000000000001</v>
      </c>
      <c r="N77" s="204">
        <f t="shared" si="22"/>
        <v>-1</v>
      </c>
      <c r="O77" s="205">
        <f t="shared" si="23"/>
        <v>0</v>
      </c>
      <c r="P77" s="206">
        <f t="shared" si="24"/>
        <v>0</v>
      </c>
      <c r="Q77" s="206">
        <f t="shared" si="25"/>
        <v>-1</v>
      </c>
      <c r="R7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10907</v>
      </c>
      <c r="T7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11007</v>
      </c>
      <c r="U77" s="208">
        <f ca="1">IF(Tabla33610673487[[#This Row],[Equity]]&lt;Tabla33610673487[[#This Row],[Equity Peak]],(Tabla33610673487[[#This Row],[Equity Peak]]-Tabla33610673487[[#This Row],[Equity]])/Tabla33610673487[[#This Row],[Equity Peak]],"")</f>
        <v>9.0851276460434272E-3</v>
      </c>
      <c r="V77" s="209">
        <f t="shared" si="26"/>
        <v>-1</v>
      </c>
      <c r="W77" s="209">
        <f t="shared" si="27"/>
        <v>0</v>
      </c>
      <c r="X77" s="209">
        <f t="shared" si="28"/>
        <v>0</v>
      </c>
      <c r="Y77" s="209">
        <f t="shared" si="29"/>
        <v>0</v>
      </c>
      <c r="Z77" s="209">
        <f t="shared" si="30"/>
        <v>0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2.9166666667151731E-2</v>
      </c>
      <c r="AE77" s="210">
        <f t="shared" si="35"/>
        <v>0</v>
      </c>
      <c r="AF77" s="210">
        <f t="shared" si="36"/>
        <v>2.9166666667151731E-2</v>
      </c>
      <c r="AG77" s="210">
        <f t="shared" si="37"/>
        <v>0</v>
      </c>
    </row>
    <row r="78" spans="2:33" ht="15" customHeight="1" x14ac:dyDescent="0.3">
      <c r="B78" s="196" t="s">
        <v>7</v>
      </c>
      <c r="C78" s="197" t="s">
        <v>13</v>
      </c>
      <c r="D78" s="198" t="str">
        <f t="shared" si="19"/>
        <v>C</v>
      </c>
      <c r="E78" s="199">
        <v>44613.854166666664</v>
      </c>
      <c r="F78" s="200" t="s">
        <v>116</v>
      </c>
      <c r="G78" s="201">
        <v>114.76900000000001</v>
      </c>
      <c r="H78" s="201">
        <v>114.914</v>
      </c>
      <c r="I78" s="202">
        <f t="shared" si="20"/>
        <v>0.14499999999999602</v>
      </c>
      <c r="J78" s="201">
        <v>113.265</v>
      </c>
      <c r="K78" s="199">
        <v>44614.119444444441</v>
      </c>
      <c r="L78" s="201">
        <v>114.765</v>
      </c>
      <c r="M78" s="203">
        <f t="shared" si="21"/>
        <v>4.0000000000000001E-3</v>
      </c>
      <c r="N78" s="204">
        <f t="shared" si="22"/>
        <v>0.03</v>
      </c>
      <c r="O78" s="205">
        <f t="shared" si="23"/>
        <v>0</v>
      </c>
      <c r="P78" s="206">
        <f t="shared" si="24"/>
        <v>0.03</v>
      </c>
      <c r="Q78" s="206">
        <f t="shared" si="25"/>
        <v>0</v>
      </c>
      <c r="R7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11007</v>
      </c>
      <c r="T7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11007</v>
      </c>
      <c r="U78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8" s="209">
        <f t="shared" si="26"/>
        <v>0.03</v>
      </c>
      <c r="W78" s="209">
        <f t="shared" si="27"/>
        <v>0</v>
      </c>
      <c r="X78" s="209">
        <f t="shared" si="28"/>
        <v>0</v>
      </c>
      <c r="Y78" s="209">
        <f t="shared" si="29"/>
        <v>0</v>
      </c>
      <c r="Z78" s="209">
        <f t="shared" si="30"/>
        <v>0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0.26527777777664596</v>
      </c>
      <c r="AE78" s="210">
        <f t="shared" si="35"/>
        <v>0.26527777777664596</v>
      </c>
      <c r="AF78" s="210">
        <f t="shared" si="36"/>
        <v>0</v>
      </c>
      <c r="AG78" s="210">
        <f t="shared" si="37"/>
        <v>0</v>
      </c>
    </row>
    <row r="79" spans="2:33" ht="15" customHeight="1" x14ac:dyDescent="0.3">
      <c r="B79" s="196" t="s">
        <v>7</v>
      </c>
      <c r="C79" s="197" t="s">
        <v>15</v>
      </c>
      <c r="D79" s="198" t="str">
        <f t="shared" si="19"/>
        <v>C</v>
      </c>
      <c r="E79" s="199">
        <v>44602.46875</v>
      </c>
      <c r="F79" s="200" t="s">
        <v>116</v>
      </c>
      <c r="G79" s="201">
        <v>115.822</v>
      </c>
      <c r="H79" s="201">
        <v>115.693</v>
      </c>
      <c r="I79" s="202">
        <f t="shared" si="20"/>
        <v>0.12900000000000489</v>
      </c>
      <c r="J79" s="201">
        <v>117.163</v>
      </c>
      <c r="K79" s="199">
        <v>44602.709722222222</v>
      </c>
      <c r="L79" s="201">
        <v>116.071</v>
      </c>
      <c r="M79" s="203">
        <f t="shared" si="21"/>
        <v>0.249</v>
      </c>
      <c r="N79" s="204">
        <f t="shared" si="22"/>
        <v>1.93</v>
      </c>
      <c r="O79" s="205">
        <f t="shared" si="23"/>
        <v>0</v>
      </c>
      <c r="P79" s="206">
        <f t="shared" si="24"/>
        <v>1.93</v>
      </c>
      <c r="Q79" s="206">
        <f t="shared" si="25"/>
        <v>0</v>
      </c>
      <c r="R7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11004</v>
      </c>
      <c r="T7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11004</v>
      </c>
      <c r="U79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9" s="209">
        <f t="shared" si="26"/>
        <v>1.93</v>
      </c>
      <c r="W79" s="209">
        <f t="shared" si="27"/>
        <v>0</v>
      </c>
      <c r="X79" s="209">
        <f t="shared" si="28"/>
        <v>0</v>
      </c>
      <c r="Y79" s="209">
        <f t="shared" si="29"/>
        <v>0</v>
      </c>
      <c r="Z79" s="209">
        <f t="shared" si="30"/>
        <v>0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0.24097222222189885</v>
      </c>
      <c r="AE79" s="210">
        <f t="shared" si="35"/>
        <v>0.24097222222189885</v>
      </c>
      <c r="AF79" s="210">
        <f t="shared" si="36"/>
        <v>0</v>
      </c>
      <c r="AG79" s="210">
        <f t="shared" si="37"/>
        <v>0</v>
      </c>
    </row>
    <row r="80" spans="2:33" ht="15" customHeight="1" x14ac:dyDescent="0.3">
      <c r="B80" s="196" t="s">
        <v>7</v>
      </c>
      <c r="C80" s="197" t="s">
        <v>15</v>
      </c>
      <c r="D80" s="198" t="str">
        <f t="shared" si="19"/>
        <v>C</v>
      </c>
      <c r="E80" s="199">
        <v>44588.510416666664</v>
      </c>
      <c r="F80" s="200" t="s">
        <v>116</v>
      </c>
      <c r="G80" s="201">
        <v>115.078</v>
      </c>
      <c r="H80" s="201">
        <v>114.91200000000001</v>
      </c>
      <c r="I80" s="202">
        <f t="shared" si="20"/>
        <v>0.16599999999999682</v>
      </c>
      <c r="J80" s="201">
        <v>116.809</v>
      </c>
      <c r="K80" s="199">
        <v>44588.868750000001</v>
      </c>
      <c r="L80" s="201">
        <v>115.214</v>
      </c>
      <c r="M80" s="203">
        <f t="shared" si="21"/>
        <v>0.13600000000000001</v>
      </c>
      <c r="N80" s="204">
        <f t="shared" si="22"/>
        <v>0.82</v>
      </c>
      <c r="O80" s="205">
        <f t="shared" si="23"/>
        <v>0</v>
      </c>
      <c r="P80" s="206">
        <f t="shared" si="24"/>
        <v>0.82</v>
      </c>
      <c r="Q80" s="206">
        <f t="shared" si="25"/>
        <v>0</v>
      </c>
      <c r="R8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8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10811</v>
      </c>
      <c r="T8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10811</v>
      </c>
      <c r="U80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80" s="209">
        <f t="shared" si="26"/>
        <v>0.82</v>
      </c>
      <c r="W80" s="209">
        <f t="shared" si="27"/>
        <v>0</v>
      </c>
      <c r="X80" s="209">
        <f t="shared" si="28"/>
        <v>0</v>
      </c>
      <c r="Y80" s="209">
        <f t="shared" si="29"/>
        <v>0</v>
      </c>
      <c r="Z80" s="209">
        <f t="shared" si="30"/>
        <v>0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0.35833333333721384</v>
      </c>
      <c r="AE80" s="210">
        <f t="shared" si="35"/>
        <v>0.35833333333721384</v>
      </c>
      <c r="AF80" s="210">
        <f t="shared" si="36"/>
        <v>0</v>
      </c>
      <c r="AG80" s="210">
        <f t="shared" si="37"/>
        <v>0</v>
      </c>
    </row>
    <row r="81" spans="2:33" ht="15" customHeight="1" x14ac:dyDescent="0.3">
      <c r="B81" s="196" t="s">
        <v>7</v>
      </c>
      <c r="C81" s="197" t="s">
        <v>13</v>
      </c>
      <c r="D81" s="198" t="str">
        <f t="shared" si="19"/>
        <v>C</v>
      </c>
      <c r="E81" s="199">
        <v>44573.729166666664</v>
      </c>
      <c r="F81" s="200" t="s">
        <v>116</v>
      </c>
      <c r="G81" s="201">
        <v>114.929</v>
      </c>
      <c r="H81" s="201">
        <v>115.07299999999999</v>
      </c>
      <c r="I81" s="202">
        <f t="shared" si="20"/>
        <v>0.14399999999999125</v>
      </c>
      <c r="J81" s="201">
        <v>113.43600000000001</v>
      </c>
      <c r="K81" s="199">
        <v>44573.984722222223</v>
      </c>
      <c r="L81" s="201">
        <v>114.621</v>
      </c>
      <c r="M81" s="203">
        <f t="shared" si="21"/>
        <v>0.308</v>
      </c>
      <c r="N81" s="204">
        <f t="shared" si="22"/>
        <v>2.14</v>
      </c>
      <c r="O81" s="205">
        <f t="shared" si="23"/>
        <v>0</v>
      </c>
      <c r="P81" s="206">
        <f t="shared" si="24"/>
        <v>2.14</v>
      </c>
      <c r="Q81" s="206">
        <f t="shared" si="25"/>
        <v>0</v>
      </c>
      <c r="R8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8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10729</v>
      </c>
      <c r="T8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10729</v>
      </c>
      <c r="U81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81" s="209">
        <f t="shared" si="26"/>
        <v>2.14</v>
      </c>
      <c r="W81" s="209">
        <f t="shared" si="27"/>
        <v>0</v>
      </c>
      <c r="X81" s="209">
        <f t="shared" si="28"/>
        <v>0</v>
      </c>
      <c r="Y81" s="209">
        <f t="shared" si="29"/>
        <v>0</v>
      </c>
      <c r="Z81" s="209">
        <f t="shared" si="30"/>
        <v>0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0.25555555555911269</v>
      </c>
      <c r="AE81" s="210">
        <f t="shared" si="35"/>
        <v>0.25555555555911269</v>
      </c>
      <c r="AF81" s="210">
        <f t="shared" si="36"/>
        <v>0</v>
      </c>
      <c r="AG81" s="210">
        <f t="shared" si="37"/>
        <v>0</v>
      </c>
    </row>
    <row r="82" spans="2:33" ht="15" customHeight="1" x14ac:dyDescent="0.3">
      <c r="B82" s="196" t="s">
        <v>7</v>
      </c>
      <c r="C82" s="197" t="s">
        <v>15</v>
      </c>
      <c r="D82" s="198" t="str">
        <f t="shared" ref="D82:D85" si="38">IF(E82&lt;&gt;"",IF(K82&lt;&gt;"","C","O"),"")</f>
        <v>C</v>
      </c>
      <c r="E82" s="199">
        <v>44565.125</v>
      </c>
      <c r="F82" s="200" t="s">
        <v>116</v>
      </c>
      <c r="G82" s="201">
        <v>115.39100000000001</v>
      </c>
      <c r="H82" s="201">
        <v>115.291</v>
      </c>
      <c r="I82" s="202">
        <f t="shared" ref="I82:I85" si="39">ABS(G82-H82)</f>
        <v>0.10000000000000853</v>
      </c>
      <c r="J82" s="201">
        <v>116.43</v>
      </c>
      <c r="K82" s="199">
        <v>44565.710416666669</v>
      </c>
      <c r="L82" s="201">
        <v>116.148</v>
      </c>
      <c r="M82" s="203">
        <f t="shared" ref="M82:M85" si="40">ROUND(IF(C82="L",(L82-G82),(G82-L82)),4)</f>
        <v>0.75700000000000001</v>
      </c>
      <c r="N82" s="204">
        <f t="shared" ref="N82:N85" si="41">IFERROR(ROUND((M82/I82),2),"")</f>
        <v>7.57</v>
      </c>
      <c r="O82" s="205">
        <f t="shared" ref="O82:O85" si="42">IF(D82="O",IF(N82&lt;0,N82,0),0)</f>
        <v>0</v>
      </c>
      <c r="P82" s="206">
        <f t="shared" si="24"/>
        <v>7.57</v>
      </c>
      <c r="Q82" s="206">
        <f t="shared" si="25"/>
        <v>0</v>
      </c>
      <c r="R8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8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10515</v>
      </c>
      <c r="T8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10515</v>
      </c>
      <c r="U82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82" s="209">
        <f t="shared" si="26"/>
        <v>7.57</v>
      </c>
      <c r="W82" s="209">
        <f t="shared" ref="W82:W85" si="43">IF(D82="O",IF(V82&lt;0,V82,0),0)</f>
        <v>0</v>
      </c>
      <c r="X82" s="209">
        <f t="shared" si="28"/>
        <v>0</v>
      </c>
      <c r="Y82" s="209">
        <f t="shared" ref="Y82:Y85" si="44">IF(D82="O",IF(X82&lt;0,X82,0),0)</f>
        <v>0</v>
      </c>
      <c r="Z82" s="209">
        <f t="shared" si="30"/>
        <v>0</v>
      </c>
      <c r="AA82" s="205">
        <f t="shared" ref="AA82:AA85" si="45">IF(D82="O",IF(Z82&lt;0,Z82,0),0)</f>
        <v>0</v>
      </c>
      <c r="AB82" s="209">
        <f t="shared" si="32"/>
        <v>0</v>
      </c>
      <c r="AC82" s="205">
        <f t="shared" ref="AC82:AC85" si="46">IF(D82="O",IF(AB82&lt;0,AB82,0),0)</f>
        <v>0</v>
      </c>
      <c r="AD82" s="210">
        <f t="shared" si="34"/>
        <v>0.58541666666860692</v>
      </c>
      <c r="AE82" s="210">
        <f t="shared" ref="AE82:AE85" si="47">IF(N82&gt;0,AD82,0)</f>
        <v>0.58541666666860692</v>
      </c>
      <c r="AF82" s="210">
        <f t="shared" si="36"/>
        <v>0</v>
      </c>
      <c r="AG82" s="210">
        <f t="shared" si="37"/>
        <v>0</v>
      </c>
    </row>
    <row r="83" spans="2:33" ht="15" customHeight="1" x14ac:dyDescent="0.3">
      <c r="B83" s="196" t="s">
        <v>7</v>
      </c>
      <c r="C83" s="197" t="s">
        <v>15</v>
      </c>
      <c r="D83" s="198" t="str">
        <f t="shared" si="38"/>
        <v>C</v>
      </c>
      <c r="E83" s="199">
        <v>44564.729166666664</v>
      </c>
      <c r="F83" s="200" t="s">
        <v>116</v>
      </c>
      <c r="G83" s="201">
        <v>115.36499999999999</v>
      </c>
      <c r="H83" s="201">
        <v>115.26600000000001</v>
      </c>
      <c r="I83" s="202">
        <f t="shared" si="39"/>
        <v>9.8999999999989541E-2</v>
      </c>
      <c r="J83" s="201">
        <v>116.396</v>
      </c>
      <c r="K83" s="199">
        <v>44564.785416666666</v>
      </c>
      <c r="L83" s="201">
        <v>115.26600000000001</v>
      </c>
      <c r="M83" s="203">
        <f t="shared" si="40"/>
        <v>-9.9000000000000005E-2</v>
      </c>
      <c r="N83" s="204">
        <f t="shared" si="41"/>
        <v>-1</v>
      </c>
      <c r="O83" s="205">
        <f t="shared" si="42"/>
        <v>0</v>
      </c>
      <c r="P83" s="206">
        <f t="shared" si="24"/>
        <v>0</v>
      </c>
      <c r="Q83" s="206">
        <f t="shared" si="25"/>
        <v>-1</v>
      </c>
      <c r="R8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8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9758</v>
      </c>
      <c r="T8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10000</v>
      </c>
      <c r="U83" s="208">
        <f ca="1">IF(Tabla33610673487[[#This Row],[Equity]]&lt;Tabla33610673487[[#This Row],[Equity Peak]],(Tabla33610673487[[#This Row],[Equity Peak]]-Tabla33610673487[[#This Row],[Equity]])/Tabla33610673487[[#This Row],[Equity Peak]],"")</f>
        <v>2.4199999999999999E-2</v>
      </c>
      <c r="V83" s="209">
        <f t="shared" si="26"/>
        <v>-1</v>
      </c>
      <c r="W83" s="209">
        <f t="shared" si="43"/>
        <v>0</v>
      </c>
      <c r="X83" s="209">
        <f t="shared" si="28"/>
        <v>0</v>
      </c>
      <c r="Y83" s="209">
        <f t="shared" si="44"/>
        <v>0</v>
      </c>
      <c r="Z83" s="209">
        <f t="shared" si="30"/>
        <v>0</v>
      </c>
      <c r="AA83" s="205">
        <f t="shared" si="45"/>
        <v>0</v>
      </c>
      <c r="AB83" s="209">
        <f t="shared" si="32"/>
        <v>0</v>
      </c>
      <c r="AC83" s="205">
        <f t="shared" si="46"/>
        <v>0</v>
      </c>
      <c r="AD83" s="210">
        <f t="shared" si="34"/>
        <v>5.6250000001455192E-2</v>
      </c>
      <c r="AE83" s="210">
        <f t="shared" si="47"/>
        <v>0</v>
      </c>
      <c r="AF83" s="210">
        <f t="shared" si="36"/>
        <v>5.6250000001455192E-2</v>
      </c>
      <c r="AG83" s="210">
        <f t="shared" si="37"/>
        <v>0</v>
      </c>
    </row>
    <row r="84" spans="2:33" ht="15" customHeight="1" x14ac:dyDescent="0.3">
      <c r="B84" s="196" t="s">
        <v>7</v>
      </c>
      <c r="C84" s="197" t="s">
        <v>15</v>
      </c>
      <c r="D84" s="198" t="str">
        <f t="shared" si="38"/>
        <v>C</v>
      </c>
      <c r="E84" s="199">
        <v>44564.34375</v>
      </c>
      <c r="F84" s="200" t="s">
        <v>116</v>
      </c>
      <c r="G84" s="201">
        <v>115.34099999999999</v>
      </c>
      <c r="H84" s="201">
        <v>115.247</v>
      </c>
      <c r="I84" s="202">
        <f t="shared" si="39"/>
        <v>9.3999999999994088E-2</v>
      </c>
      <c r="J84" s="201">
        <v>116.32299999999999</v>
      </c>
      <c r="K84" s="199">
        <v>44564.421527777777</v>
      </c>
      <c r="L84" s="201">
        <v>115.264</v>
      </c>
      <c r="M84" s="203">
        <f t="shared" si="40"/>
        <v>-7.6999999999999999E-2</v>
      </c>
      <c r="N84" s="204">
        <f t="shared" si="41"/>
        <v>-0.82</v>
      </c>
      <c r="O84" s="205">
        <f t="shared" si="42"/>
        <v>0</v>
      </c>
      <c r="P84" s="206">
        <f t="shared" si="24"/>
        <v>0</v>
      </c>
      <c r="Q84" s="206">
        <f t="shared" si="25"/>
        <v>-0.82</v>
      </c>
      <c r="R8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8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9858</v>
      </c>
      <c r="T8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10000</v>
      </c>
      <c r="U84" s="208">
        <f ca="1">IF(Tabla33610673487[[#This Row],[Equity]]&lt;Tabla33610673487[[#This Row],[Equity Peak]],(Tabla33610673487[[#This Row],[Equity Peak]]-Tabla33610673487[[#This Row],[Equity]])/Tabla33610673487[[#This Row],[Equity Peak]],"")</f>
        <v>1.4200000000000001E-2</v>
      </c>
      <c r="V84" s="209">
        <f t="shared" si="26"/>
        <v>-0.82</v>
      </c>
      <c r="W84" s="209">
        <f t="shared" si="43"/>
        <v>0</v>
      </c>
      <c r="X84" s="209">
        <f t="shared" si="28"/>
        <v>0</v>
      </c>
      <c r="Y84" s="209">
        <f t="shared" si="44"/>
        <v>0</v>
      </c>
      <c r="Z84" s="209">
        <f t="shared" si="30"/>
        <v>0</v>
      </c>
      <c r="AA84" s="205">
        <f t="shared" si="45"/>
        <v>0</v>
      </c>
      <c r="AB84" s="209">
        <f t="shared" si="32"/>
        <v>0</v>
      </c>
      <c r="AC84" s="205">
        <f t="shared" si="46"/>
        <v>0</v>
      </c>
      <c r="AD84" s="210">
        <f t="shared" si="34"/>
        <v>7.7777777776645962E-2</v>
      </c>
      <c r="AE84" s="210">
        <f t="shared" si="47"/>
        <v>0</v>
      </c>
      <c r="AF84" s="210">
        <f t="shared" si="36"/>
        <v>7.7777777776645962E-2</v>
      </c>
      <c r="AG84" s="210">
        <f t="shared" si="37"/>
        <v>0</v>
      </c>
    </row>
    <row r="85" spans="2:33" ht="15" customHeight="1" x14ac:dyDescent="0.3">
      <c r="B85" s="181" t="s">
        <v>7</v>
      </c>
      <c r="C85" s="182" t="s">
        <v>15</v>
      </c>
      <c r="D85" s="183" t="str">
        <f t="shared" si="38"/>
        <v>C</v>
      </c>
      <c r="E85" s="184">
        <v>44564.104166666664</v>
      </c>
      <c r="F85" s="185" t="s">
        <v>116</v>
      </c>
      <c r="G85" s="186">
        <v>115.242</v>
      </c>
      <c r="H85" s="186">
        <v>115.146</v>
      </c>
      <c r="I85" s="65">
        <f t="shared" si="39"/>
        <v>9.6000000000003638E-2</v>
      </c>
      <c r="J85" s="186">
        <v>116.24299999999999</v>
      </c>
      <c r="K85" s="184">
        <v>44564.157638888886</v>
      </c>
      <c r="L85" s="186">
        <v>115.184</v>
      </c>
      <c r="M85" s="187">
        <f t="shared" si="40"/>
        <v>-5.8000000000000003E-2</v>
      </c>
      <c r="N85" s="188">
        <f t="shared" si="41"/>
        <v>-0.6</v>
      </c>
      <c r="O85" s="189">
        <f t="shared" si="42"/>
        <v>0</v>
      </c>
      <c r="P85" s="190">
        <f t="shared" si="24"/>
        <v>0</v>
      </c>
      <c r="Q85" s="190">
        <f t="shared" si="25"/>
        <v>-0.6</v>
      </c>
      <c r="R85" s="190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85" s="191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9940</v>
      </c>
      <c r="T85" s="191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10000</v>
      </c>
      <c r="U85" s="192">
        <f ca="1">IF(Tabla33610673487[[#This Row],[Equity]]&lt;Tabla33610673487[[#This Row],[Equity Peak]],(Tabla33610673487[[#This Row],[Equity Peak]]-Tabla33610673487[[#This Row],[Equity]])/Tabla33610673487[[#This Row],[Equity Peak]],"")</f>
        <v>6.0000000000000001E-3</v>
      </c>
      <c r="V85" s="193">
        <f t="shared" si="26"/>
        <v>-0.6</v>
      </c>
      <c r="W85" s="193">
        <f t="shared" si="43"/>
        <v>0</v>
      </c>
      <c r="X85" s="193">
        <f t="shared" si="28"/>
        <v>0</v>
      </c>
      <c r="Y85" s="193">
        <f t="shared" si="44"/>
        <v>0</v>
      </c>
      <c r="Z85" s="193">
        <f t="shared" si="30"/>
        <v>0</v>
      </c>
      <c r="AA85" s="189">
        <f t="shared" si="45"/>
        <v>0</v>
      </c>
      <c r="AB85" s="193">
        <f t="shared" si="32"/>
        <v>0</v>
      </c>
      <c r="AC85" s="189">
        <f t="shared" si="46"/>
        <v>0</v>
      </c>
      <c r="AD85" s="194">
        <f t="shared" si="34"/>
        <v>5.3472222221898846E-2</v>
      </c>
      <c r="AE85" s="194">
        <f t="shared" si="47"/>
        <v>0</v>
      </c>
      <c r="AF85" s="194">
        <f t="shared" si="36"/>
        <v>5.3472222221898846E-2</v>
      </c>
      <c r="AG85" s="194">
        <f t="shared" si="37"/>
        <v>0</v>
      </c>
    </row>
  </sheetData>
  <sheetProtection algorithmName="SHA-512" hashValue="0zu7JFyYNaTgfP6ankB/rrfS4mD5AFXCknLp1ARJfIpXKRlJA9STfy6KcGk7SFIaeSw8cYepIdX+5JxanSHASQ==" saltValue="BrQy5FYKbmTPZZL8sWtXR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9" priority="3" operator="equal">
      <formula>"OK"</formula>
    </cfRule>
    <cfRule type="cellIs" dxfId="38" priority="4" operator="equal">
      <formula>"warning"</formula>
    </cfRule>
  </conditionalFormatting>
  <conditionalFormatting sqref="F13">
    <cfRule type="cellIs" dxfId="37" priority="1" operator="equal">
      <formula>"OK"</formula>
    </cfRule>
    <cfRule type="cellIs" dxfId="36" priority="2" operator="equal">
      <formula>"Error!!"</formula>
    </cfRule>
  </conditionalFormatting>
  <conditionalFormatting sqref="E15:H15 K15:L15">
    <cfRule type="expression" dxfId="35" priority="5">
      <formula>+$D15=#REF!</formula>
    </cfRule>
    <cfRule type="expression" dxfId="34" priority="6">
      <formula>+$D15=#REF!</formula>
    </cfRule>
  </conditionalFormatting>
  <conditionalFormatting sqref="D15 K16:L17 D16:H85 J17:L85">
    <cfRule type="expression" dxfId="33" priority="7">
      <formula>+$D15=$AG$8</formula>
    </cfRule>
    <cfRule type="expression" dxfId="3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8:B85" xr:uid="{C8B75768-2A9C-4DDB-978F-19794C356DE7}">
      <formula1>$AE$4:$AE$7</formula1>
    </dataValidation>
    <dataValidation type="list" allowBlank="1" showInputMessage="1" showErrorMessage="1" promptTitle="Instrument Type" prompt="Select Type from List_x000a_" sqref="B15:B17" xr:uid="{E02DF4FB-26E3-4931-86B9-5CBD72BC10FC}">
      <formula1>$AE$4:$AE$6</formula1>
    </dataValidation>
    <dataValidation type="list" allowBlank="1" showInputMessage="1" showErrorMessage="1" promptTitle="Trade Direction" prompt="Select from List" sqref="C15:C18" xr:uid="{8B2CD69A-6E38-429C-9C4B-4B88E19C5E68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A5E-EC00-4F42-9588-5FC233762EE6}">
  <sheetPr codeName="Hoja15">
    <pageSetUpPr fitToPage="1"/>
  </sheetPr>
  <dimension ref="A1:AX93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L18" sqref="L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COUNTA(Tabla33610673489[Inst])</f>
        <v>77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-1.4000000000000006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-1.4000000000000006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COUNTIF(Tabla33610673489[No. of Rs],"&gt;0")</f>
        <v>15</v>
      </c>
      <c r="G7" s="24">
        <f>IFERROR((F7/$F$6),"")</f>
        <v>0.19480519480519481</v>
      </c>
      <c r="H7" s="78">
        <f>IFERROR((+P13/F7),"")</f>
        <v>3.5326666666666666</v>
      </c>
      <c r="I7" s="227">
        <f>H7/H9</f>
        <v>4.0269412269412275</v>
      </c>
      <c r="J7" s="227">
        <f>AVERAGE(Tabla33610673489[No. of Rs])</f>
        <v>-1.8181818181818188E-2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OFFSET(Tabla33610673489[[#Headers],[Equity]],1,0)</f>
        <v>9860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COUNTIF(Tabla33610673489[No. of Rs],"&lt;0")</f>
        <v>62</v>
      </c>
      <c r="G9" s="32">
        <f>IFERROR((F9/$F$6),"")</f>
        <v>0.80519480519480524</v>
      </c>
      <c r="H9" s="79">
        <f>IFERROR((-Q13/F9),"")</f>
        <v>0.87725806451612898</v>
      </c>
      <c r="I9" s="229"/>
      <c r="J9" s="229"/>
      <c r="K9" s="149"/>
      <c r="L9" s="230" t="s">
        <v>106</v>
      </c>
      <c r="M9" s="231"/>
      <c r="N9" s="125">
        <f ca="1">MAX(Tabla33610673489[Drawdown])</f>
        <v>0.20719929762949957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OFFSET(Tabla33610673489[[#Headers],[Drawdown]],1,0)</f>
        <v>0.13432835820895522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IF(COUNTIFS(Tabla33610673489[O/C],"O")&lt;1,"None",COUNTIFS(Tabla33610673489[O/C],"O"))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SUM(Tabla33610673489[No. of Rs])</f>
        <v>-1.4000000000000006</v>
      </c>
      <c r="O13" s="42">
        <f>SUM(Tabla33610673489[Heat])</f>
        <v>0</v>
      </c>
      <c r="P13" s="43">
        <f>SUM(Tabla33610673489[[ TR WIN]])</f>
        <v>52.99</v>
      </c>
      <c r="Q13" s="43">
        <f>SUM(Tabla33610673489[[ TR LOSS]])</f>
        <v>-54.389999999999993</v>
      </c>
      <c r="R13" s="114"/>
      <c r="S13" s="115"/>
      <c r="T13" s="115"/>
      <c r="U13" s="121"/>
      <c r="V13" s="44">
        <f>SUM(Tabla33610673489[Currency])</f>
        <v>0</v>
      </c>
      <c r="W13" s="44">
        <f>SUM(Tabla33610673489[Heat3])</f>
        <v>0</v>
      </c>
      <c r="X13" s="44">
        <f>SUM(Tabla33610673489[Commodities])</f>
        <v>-1.4000000000000006</v>
      </c>
      <c r="Y13" s="44">
        <f>SUM(Tabla33610673489[Heat4])</f>
        <v>0</v>
      </c>
      <c r="Z13" s="44">
        <f>SUM(Tabla33610673489[Index])</f>
        <v>0</v>
      </c>
      <c r="AA13" s="44">
        <f>SUM(Tabla33610673489[Heat5])</f>
        <v>0</v>
      </c>
      <c r="AB13" s="44">
        <f>SUM(Tabla33610673489[Cryptocurrency])</f>
        <v>0</v>
      </c>
      <c r="AC13" s="44">
        <f>SUM(Tabla33610673489[Heat6])</f>
        <v>0</v>
      </c>
      <c r="AD13" s="75">
        <f>AVERAGEIF(Tabla33610673489[Length of 
Trade],"&lt;&gt;0")</f>
        <v>0.3819444444436465</v>
      </c>
      <c r="AE13" s="75">
        <f>AVERAGEIF(Tabla33610673489[Win],"&lt;&gt;0")</f>
        <v>1.3624074074066206</v>
      </c>
      <c r="AF13" s="75">
        <f>AVERAGEIF(Tabla33610673489[Loss],"&lt;&gt;0")</f>
        <v>0.14473566308163666</v>
      </c>
      <c r="AG13" s="76" t="e">
        <f>AVERAGEIF(Tabla33610673489[Breakeven],"&lt;&gt;0")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19</v>
      </c>
      <c r="C17" s="197" t="s">
        <v>15</v>
      </c>
      <c r="D17" s="233" t="str">
        <f>IF(E17&lt;&gt;"",IF(K17&lt;&gt;"","C","O"),"")</f>
        <v>C</v>
      </c>
      <c r="E17" s="234">
        <v>44873.6875</v>
      </c>
      <c r="F17" s="200" t="s">
        <v>88</v>
      </c>
      <c r="G17" s="235">
        <v>1676.35</v>
      </c>
      <c r="H17" s="236">
        <v>1672.02</v>
      </c>
      <c r="I17" s="237">
        <f>ABS(G17-H17)</f>
        <v>4.3299999999999272</v>
      </c>
      <c r="J17" s="235">
        <v>1706.68</v>
      </c>
      <c r="K17" s="199">
        <v>44873.72152777778</v>
      </c>
      <c r="L17" s="235">
        <v>1706.65</v>
      </c>
      <c r="M17" s="238">
        <f>ROUND(IF(C17="L",(L17-G17),(G17-L17)),4)</f>
        <v>30.3</v>
      </c>
      <c r="N17" s="239">
        <f>IFERROR(ROUND((M17/I17),2),"")</f>
        <v>7</v>
      </c>
      <c r="O17" s="240">
        <f>IF(D17="O",IF(N17&lt;0,N17,0),0)</f>
        <v>0</v>
      </c>
      <c r="P17" s="241">
        <f>IF(N17&gt;= 0,N17,0)</f>
        <v>7</v>
      </c>
      <c r="Q17" s="241">
        <f>IF(N17&lt;0,N17,0)</f>
        <v>0</v>
      </c>
      <c r="R17" s="241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" s="242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9860</v>
      </c>
      <c r="T17" s="242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17" s="243">
        <f ca="1">IF(Tabla33610673489[[#This Row],[Equity]]&lt;Tabla33610673489[[#This Row],[Equity Peak]],(Tabla33610673489[[#This Row],[Equity Peak]]-Tabla33610673489[[#This Row],[Equity]])/Tabla33610673489[[#This Row],[Equity Peak]],"")</f>
        <v>0.13432835820895522</v>
      </c>
      <c r="V17" s="244">
        <f>IF(B17="FX",N17,0)</f>
        <v>0</v>
      </c>
      <c r="W17" s="244">
        <f>IF(D17="O",IF(V17&lt;0,V17,0),0)</f>
        <v>0</v>
      </c>
      <c r="X17" s="244">
        <f>IF(B17="COM",N17,0)</f>
        <v>7</v>
      </c>
      <c r="Y17" s="244">
        <f>IF(D17="O",IF(X17&lt;0,X17,0),0)</f>
        <v>0</v>
      </c>
      <c r="Z17" s="244">
        <f>IF(B17="IND",N17,0)</f>
        <v>0</v>
      </c>
      <c r="AA17" s="240">
        <f>IF(D17="O",IF(Z17&lt;0,Z17,0),0)</f>
        <v>0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3.4027777779556345E-2</v>
      </c>
      <c r="AE17" s="245">
        <f>IF(N17&gt;0,AD17,0)</f>
        <v>3.4027777779556345E-2</v>
      </c>
      <c r="AF17" s="245">
        <f>IF(N17&lt;0,AD17,0)</f>
        <v>0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196" t="s">
        <v>19</v>
      </c>
      <c r="C18" s="197" t="s">
        <v>15</v>
      </c>
      <c r="D18" s="198" t="str">
        <f t="shared" ref="D18:D49" si="0">IF(E18&lt;&gt;"",IF(K18&lt;&gt;"","C","O"),"")</f>
        <v>C</v>
      </c>
      <c r="E18" s="199">
        <v>44869.895833333336</v>
      </c>
      <c r="F18" s="200" t="s">
        <v>88</v>
      </c>
      <c r="G18" s="201">
        <v>1675.99</v>
      </c>
      <c r="H18" s="201">
        <v>1671.94</v>
      </c>
      <c r="I18" s="202">
        <f t="shared" ref="I18:I49" si="1">ABS(G18-H18)</f>
        <v>4.0499999999999545</v>
      </c>
      <c r="J18" s="201">
        <v>1724.57</v>
      </c>
      <c r="K18" s="199">
        <v>44869.99722222222</v>
      </c>
      <c r="L18" s="201">
        <v>1680.79</v>
      </c>
      <c r="M18" s="203">
        <f t="shared" ref="M18:M49" si="2">ROUND(IF(C18="L",(L18-G18),(G18-L18)),4)</f>
        <v>4.8</v>
      </c>
      <c r="N18" s="204">
        <f t="shared" ref="N18:N49" si="3">IFERROR(ROUND((M18/I18),2),"")</f>
        <v>1.19</v>
      </c>
      <c r="O18" s="205">
        <f t="shared" ref="O18:O49" si="4">IF(D18="O",IF(N18&lt;0,N18,0),0)</f>
        <v>0</v>
      </c>
      <c r="P18" s="206">
        <f t="shared" ref="P18:P49" si="5">IF(N18&gt;= 0,N18,0)</f>
        <v>1.19</v>
      </c>
      <c r="Q18" s="206">
        <f t="shared" ref="Q18:Q49" si="6">IF(N18&lt;0,N18,0)</f>
        <v>0</v>
      </c>
      <c r="R1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9160</v>
      </c>
      <c r="T1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18" s="208">
        <f ca="1">IF(Tabla33610673489[[#This Row],[Equity]]&lt;Tabla33610673489[[#This Row],[Equity Peak]],(Tabla33610673489[[#This Row],[Equity Peak]]-Tabla33610673489[[#This Row],[Equity]])/Tabla33610673489[[#This Row],[Equity Peak]],"")</f>
        <v>0.1957857769973661</v>
      </c>
      <c r="V18" s="209">
        <f t="shared" ref="V18:V49" si="7">IF(B18="FX",N18,0)</f>
        <v>0</v>
      </c>
      <c r="W18" s="209">
        <f t="shared" ref="W18:W49" si="8">IF(D18="O",IF(V18&lt;0,V18,0),0)</f>
        <v>0</v>
      </c>
      <c r="X18" s="209">
        <f t="shared" ref="X18:X49" si="9">IF(B18="COM",N18,0)</f>
        <v>1.19</v>
      </c>
      <c r="Y18" s="209">
        <f t="shared" ref="Y18:Y49" si="10">IF(D18="O",IF(X18&lt;0,X18,0),0)</f>
        <v>0</v>
      </c>
      <c r="Z18" s="209">
        <f t="shared" ref="Z18:Z49" si="11">IF(B18="IND",N18,0)</f>
        <v>0</v>
      </c>
      <c r="AA18" s="205">
        <f t="shared" ref="AA18:AA49" si="12">IF(D18="O",IF(Z18&lt;0,Z18,0),0)</f>
        <v>0</v>
      </c>
      <c r="AB18" s="209">
        <f t="shared" ref="AB18:AB49" si="13">IF(B18="CRYPTO",N18,0)</f>
        <v>0</v>
      </c>
      <c r="AC18" s="205">
        <f t="shared" ref="AC18:AC49" si="14">IF(D18="O",IF(AB18&lt;0,AB18,0),0)</f>
        <v>0</v>
      </c>
      <c r="AD18" s="210">
        <f t="shared" ref="AD18:AD49" si="15">IF(K18&lt;&gt;"",K18-E18,0)</f>
        <v>0.101388888884685</v>
      </c>
      <c r="AE18" s="210">
        <f t="shared" ref="AE18:AE49" si="16">IF(N18&gt;0,AD18,0)</f>
        <v>0.101388888884685</v>
      </c>
      <c r="AF18" s="210">
        <f t="shared" ref="AF18:AF49" si="17">IF(N18&lt;0,AD18,0)</f>
        <v>0</v>
      </c>
      <c r="AG18" s="210">
        <f t="shared" ref="AG18:AG49" si="18">IF(N18=0,AD18,0)</f>
        <v>0</v>
      </c>
      <c r="AH18" s="176"/>
      <c r="AI18" s="109"/>
    </row>
    <row r="19" spans="1:35" ht="15" customHeight="1" x14ac:dyDescent="0.3">
      <c r="B19" s="196" t="s">
        <v>19</v>
      </c>
      <c r="C19" s="197" t="s">
        <v>13</v>
      </c>
      <c r="D19" s="198" t="str">
        <f t="shared" si="0"/>
        <v>C</v>
      </c>
      <c r="E19" s="199">
        <v>44868.614583333336</v>
      </c>
      <c r="F19" s="200" t="s">
        <v>88</v>
      </c>
      <c r="G19" s="201">
        <v>1616.79</v>
      </c>
      <c r="H19" s="201">
        <v>1620.9</v>
      </c>
      <c r="I19" s="202">
        <f t="shared" si="1"/>
        <v>4.1100000000001273</v>
      </c>
      <c r="J19" s="201">
        <v>1567.42</v>
      </c>
      <c r="K19" s="199">
        <v>44868.626388888886</v>
      </c>
      <c r="L19" s="201">
        <v>1620.9</v>
      </c>
      <c r="M19" s="203">
        <f t="shared" si="2"/>
        <v>-4.1100000000000003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9041</v>
      </c>
      <c r="T1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19" s="208">
        <f ca="1">IF(Tabla33610673489[[#This Row],[Equity]]&lt;Tabla33610673489[[#This Row],[Equity Peak]],(Tabla33610673489[[#This Row],[Equity Peak]]-Tabla33610673489[[#This Row],[Equity]])/Tabla33610673489[[#This Row],[Equity Peak]],"")</f>
        <v>0.20623353819139595</v>
      </c>
      <c r="V19" s="209">
        <f t="shared" si="7"/>
        <v>0</v>
      </c>
      <c r="W19" s="209">
        <f t="shared" si="8"/>
        <v>0</v>
      </c>
      <c r="X19" s="209">
        <f t="shared" si="9"/>
        <v>-1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1.1805555550381541E-2</v>
      </c>
      <c r="AE19" s="210">
        <f t="shared" si="16"/>
        <v>0</v>
      </c>
      <c r="AF19" s="210">
        <f t="shared" si="17"/>
        <v>1.1805555550381541E-2</v>
      </c>
      <c r="AG19" s="210">
        <f t="shared" si="18"/>
        <v>0</v>
      </c>
    </row>
    <row r="20" spans="1:35" ht="15" customHeight="1" x14ac:dyDescent="0.3">
      <c r="B20" s="196" t="s">
        <v>19</v>
      </c>
      <c r="C20" s="197" t="s">
        <v>13</v>
      </c>
      <c r="D20" s="198" t="str">
        <f t="shared" si="0"/>
        <v>C</v>
      </c>
      <c r="E20" s="199">
        <v>44855.28125</v>
      </c>
      <c r="F20" s="200" t="s">
        <v>88</v>
      </c>
      <c r="G20" s="201">
        <v>1621.07</v>
      </c>
      <c r="H20" s="201">
        <v>1624.31</v>
      </c>
      <c r="I20" s="202">
        <f t="shared" si="1"/>
        <v>3.2400000000000091</v>
      </c>
      <c r="J20" s="201">
        <v>1582.14</v>
      </c>
      <c r="K20" s="199">
        <v>44855.433333333334</v>
      </c>
      <c r="L20" s="201">
        <v>1624.31</v>
      </c>
      <c r="M20" s="203">
        <f t="shared" si="2"/>
        <v>-3.24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9141</v>
      </c>
      <c r="T2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0" s="208">
        <f ca="1">IF(Tabla33610673489[[#This Row],[Equity]]&lt;Tabla33610673489[[#This Row],[Equity Peak]],(Tabla33610673489[[#This Row],[Equity Peak]]-Tabla33610673489[[#This Row],[Equity]])/Tabla33610673489[[#This Row],[Equity Peak]],"")</f>
        <v>0.1974539069359087</v>
      </c>
      <c r="V20" s="209">
        <f t="shared" si="7"/>
        <v>0</v>
      </c>
      <c r="W20" s="209">
        <f t="shared" si="8"/>
        <v>0</v>
      </c>
      <c r="X20" s="209">
        <f t="shared" si="9"/>
        <v>-1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0.15208333333430346</v>
      </c>
      <c r="AE20" s="210">
        <f t="shared" si="16"/>
        <v>0</v>
      </c>
      <c r="AF20" s="210">
        <f t="shared" si="17"/>
        <v>0.15208333333430346</v>
      </c>
      <c r="AG20" s="210">
        <f t="shared" si="18"/>
        <v>0</v>
      </c>
    </row>
    <row r="21" spans="1:35" ht="15" customHeight="1" x14ac:dyDescent="0.3">
      <c r="B21" s="196" t="s">
        <v>19</v>
      </c>
      <c r="C21" s="197" t="s">
        <v>13</v>
      </c>
      <c r="D21" s="198" t="str">
        <f t="shared" si="0"/>
        <v>C</v>
      </c>
      <c r="E21" s="199">
        <v>44853.5625</v>
      </c>
      <c r="F21" s="200" t="s">
        <v>88</v>
      </c>
      <c r="G21" s="201">
        <v>1635.93</v>
      </c>
      <c r="H21" s="201">
        <v>1638.67</v>
      </c>
      <c r="I21" s="202">
        <f t="shared" si="1"/>
        <v>2.7400000000000091</v>
      </c>
      <c r="J21" s="201">
        <v>1603.1</v>
      </c>
      <c r="K21" s="199">
        <v>44854.538888888892</v>
      </c>
      <c r="L21" s="201">
        <v>1635.95</v>
      </c>
      <c r="M21" s="203">
        <f t="shared" si="2"/>
        <v>-0.02</v>
      </c>
      <c r="N21" s="204">
        <f t="shared" si="3"/>
        <v>-0.01</v>
      </c>
      <c r="O21" s="205">
        <f t="shared" si="4"/>
        <v>0</v>
      </c>
      <c r="P21" s="206">
        <f t="shared" si="5"/>
        <v>0</v>
      </c>
      <c r="Q21" s="206">
        <f t="shared" si="6"/>
        <v>-0.01</v>
      </c>
      <c r="R2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9241</v>
      </c>
      <c r="T2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1" s="208">
        <f ca="1">IF(Tabla33610673489[[#This Row],[Equity]]&lt;Tabla33610673489[[#This Row],[Equity Peak]],(Tabla33610673489[[#This Row],[Equity Peak]]-Tabla33610673489[[#This Row],[Equity]])/Tabla33610673489[[#This Row],[Equity Peak]],"")</f>
        <v>0.18867427568042142</v>
      </c>
      <c r="V21" s="209">
        <f t="shared" si="7"/>
        <v>0</v>
      </c>
      <c r="W21" s="209">
        <f t="shared" si="8"/>
        <v>0</v>
      </c>
      <c r="X21" s="209">
        <f t="shared" si="9"/>
        <v>-0.01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0.97638888889196096</v>
      </c>
      <c r="AE21" s="210">
        <f t="shared" si="16"/>
        <v>0</v>
      </c>
      <c r="AF21" s="210">
        <f t="shared" si="17"/>
        <v>0.97638888889196096</v>
      </c>
      <c r="AG21" s="210">
        <f t="shared" si="18"/>
        <v>0</v>
      </c>
    </row>
    <row r="22" spans="1:35" ht="15" customHeight="1" x14ac:dyDescent="0.3">
      <c r="B22" s="196" t="s">
        <v>19</v>
      </c>
      <c r="C22" s="197" t="s">
        <v>13</v>
      </c>
      <c r="D22" s="198" t="str">
        <f t="shared" si="0"/>
        <v>C</v>
      </c>
      <c r="E22" s="199">
        <v>44853.427083333336</v>
      </c>
      <c r="F22" s="200" t="s">
        <v>88</v>
      </c>
      <c r="G22" s="201">
        <v>1638.52</v>
      </c>
      <c r="H22" s="201">
        <v>1641.23</v>
      </c>
      <c r="I22" s="202">
        <f t="shared" si="1"/>
        <v>2.7100000000000364</v>
      </c>
      <c r="J22" s="201">
        <v>1605.99</v>
      </c>
      <c r="K22" s="199">
        <v>44853.444444444445</v>
      </c>
      <c r="L22" s="201">
        <v>1641.23</v>
      </c>
      <c r="M22" s="203">
        <f t="shared" si="2"/>
        <v>-2.71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9242</v>
      </c>
      <c r="T2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2" s="208">
        <f ca="1">IF(Tabla33610673489[[#This Row],[Equity]]&lt;Tabla33610673489[[#This Row],[Equity Peak]],(Tabla33610673489[[#This Row],[Equity Peak]]-Tabla33610673489[[#This Row],[Equity]])/Tabla33610673489[[#This Row],[Equity Peak]],"")</f>
        <v>0.18858647936786654</v>
      </c>
      <c r="V22" s="209">
        <f t="shared" si="7"/>
        <v>0</v>
      </c>
      <c r="W22" s="209">
        <f t="shared" si="8"/>
        <v>0</v>
      </c>
      <c r="X22" s="209">
        <f t="shared" si="9"/>
        <v>-1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1.7361111109494232E-2</v>
      </c>
      <c r="AE22" s="210">
        <f t="shared" si="16"/>
        <v>0</v>
      </c>
      <c r="AF22" s="210">
        <f t="shared" si="17"/>
        <v>1.7361111109494232E-2</v>
      </c>
      <c r="AG22" s="210">
        <f t="shared" si="18"/>
        <v>0</v>
      </c>
    </row>
    <row r="23" spans="1:35" ht="15" customHeight="1" x14ac:dyDescent="0.3">
      <c r="B23" s="196" t="s">
        <v>19</v>
      </c>
      <c r="C23" s="197" t="s">
        <v>15</v>
      </c>
      <c r="D23" s="198" t="str">
        <f t="shared" si="0"/>
        <v>C</v>
      </c>
      <c r="E23" s="199">
        <v>44837.864583333336</v>
      </c>
      <c r="F23" s="200" t="s">
        <v>88</v>
      </c>
      <c r="G23" s="201">
        <v>1695.89</v>
      </c>
      <c r="H23" s="201">
        <v>1691.59</v>
      </c>
      <c r="I23" s="202">
        <f t="shared" si="1"/>
        <v>4.3000000000001819</v>
      </c>
      <c r="J23" s="201">
        <v>1747.55</v>
      </c>
      <c r="K23" s="199">
        <v>44839.53125</v>
      </c>
      <c r="L23" s="201">
        <v>1709.3</v>
      </c>
      <c r="M23" s="203">
        <f t="shared" si="2"/>
        <v>13.41</v>
      </c>
      <c r="N23" s="204">
        <f t="shared" si="3"/>
        <v>3.12</v>
      </c>
      <c r="O23" s="205">
        <f t="shared" si="4"/>
        <v>0</v>
      </c>
      <c r="P23" s="206">
        <f t="shared" si="5"/>
        <v>3.12</v>
      </c>
      <c r="Q23" s="206">
        <f t="shared" si="6"/>
        <v>0</v>
      </c>
      <c r="R2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9342</v>
      </c>
      <c r="T2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3" s="208">
        <f ca="1">IF(Tabla33610673489[[#This Row],[Equity]]&lt;Tabla33610673489[[#This Row],[Equity Peak]],(Tabla33610673489[[#This Row],[Equity Peak]]-Tabla33610673489[[#This Row],[Equity]])/Tabla33610673489[[#This Row],[Equity Peak]],"")</f>
        <v>0.17980684811237929</v>
      </c>
      <c r="V23" s="209">
        <f t="shared" si="7"/>
        <v>0</v>
      </c>
      <c r="W23" s="209">
        <f t="shared" si="8"/>
        <v>0</v>
      </c>
      <c r="X23" s="209">
        <f t="shared" si="9"/>
        <v>3.12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1.6666666666642413</v>
      </c>
      <c r="AE23" s="210">
        <f t="shared" si="16"/>
        <v>1.6666666666642413</v>
      </c>
      <c r="AF23" s="210">
        <f t="shared" si="17"/>
        <v>0</v>
      </c>
      <c r="AG23" s="210">
        <f t="shared" si="18"/>
        <v>0</v>
      </c>
    </row>
    <row r="24" spans="1:35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44837.760416666664</v>
      </c>
      <c r="F24" s="200" t="s">
        <v>88</v>
      </c>
      <c r="G24" s="201">
        <v>1691.63</v>
      </c>
      <c r="H24" s="201">
        <v>1687.7</v>
      </c>
      <c r="I24" s="202">
        <f t="shared" si="1"/>
        <v>3.9300000000000637</v>
      </c>
      <c r="J24" s="201">
        <v>1738.77</v>
      </c>
      <c r="K24" s="199">
        <v>44837.774305555555</v>
      </c>
      <c r="L24" s="201">
        <v>1687.7</v>
      </c>
      <c r="M24" s="203">
        <f t="shared" si="2"/>
        <v>-3.93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9030</v>
      </c>
      <c r="T2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4" s="208">
        <f ca="1">IF(Tabla33610673489[[#This Row],[Equity]]&lt;Tabla33610673489[[#This Row],[Equity Peak]],(Tabla33610673489[[#This Row],[Equity Peak]]-Tabla33610673489[[#This Row],[Equity]])/Tabla33610673489[[#This Row],[Equity Peak]],"")</f>
        <v>0.20719929762949957</v>
      </c>
      <c r="V24" s="209">
        <f t="shared" si="7"/>
        <v>0</v>
      </c>
      <c r="W24" s="209">
        <f t="shared" si="8"/>
        <v>0</v>
      </c>
      <c r="X24" s="209">
        <f t="shared" si="9"/>
        <v>-1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1.3888888890505768E-2</v>
      </c>
      <c r="AE24" s="210">
        <f t="shared" si="16"/>
        <v>0</v>
      </c>
      <c r="AF24" s="210">
        <f t="shared" si="17"/>
        <v>1.3888888890505768E-2</v>
      </c>
      <c r="AG24" s="210">
        <f t="shared" si="18"/>
        <v>0</v>
      </c>
    </row>
    <row r="25" spans="1:35" ht="15" customHeight="1" x14ac:dyDescent="0.3">
      <c r="B25" s="196" t="s">
        <v>19</v>
      </c>
      <c r="C25" s="197" t="s">
        <v>13</v>
      </c>
      <c r="D25" s="198" t="str">
        <f t="shared" si="0"/>
        <v>C</v>
      </c>
      <c r="E25" s="199">
        <v>44832.427083333336</v>
      </c>
      <c r="F25" s="200" t="s">
        <v>88</v>
      </c>
      <c r="G25" s="201">
        <v>1618.13</v>
      </c>
      <c r="H25" s="201">
        <v>1621.49</v>
      </c>
      <c r="I25" s="202">
        <f t="shared" si="1"/>
        <v>3.3599999999999</v>
      </c>
      <c r="J25" s="201">
        <v>1577.84</v>
      </c>
      <c r="K25" s="199">
        <v>44832.45416666667</v>
      </c>
      <c r="L25" s="201">
        <v>1621.49</v>
      </c>
      <c r="M25" s="203">
        <f t="shared" si="2"/>
        <v>-3.36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9130</v>
      </c>
      <c r="T2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5" s="208">
        <f ca="1">IF(Tabla33610673489[[#This Row],[Equity]]&lt;Tabla33610673489[[#This Row],[Equity Peak]],(Tabla33610673489[[#This Row],[Equity Peak]]-Tabla33610673489[[#This Row],[Equity]])/Tabla33610673489[[#This Row],[Equity Peak]],"")</f>
        <v>0.19841966637401229</v>
      </c>
      <c r="V25" s="209">
        <f t="shared" si="7"/>
        <v>0</v>
      </c>
      <c r="W25" s="209">
        <f t="shared" si="8"/>
        <v>0</v>
      </c>
      <c r="X25" s="209">
        <f t="shared" si="9"/>
        <v>-1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2.7083333334303461E-2</v>
      </c>
      <c r="AE25" s="210">
        <f t="shared" si="16"/>
        <v>0</v>
      </c>
      <c r="AF25" s="210">
        <f t="shared" si="17"/>
        <v>2.7083333334303461E-2</v>
      </c>
      <c r="AG25" s="210">
        <f t="shared" si="18"/>
        <v>0</v>
      </c>
    </row>
    <row r="26" spans="1:35" ht="15" customHeight="1" x14ac:dyDescent="0.3">
      <c r="B26" s="196" t="s">
        <v>19</v>
      </c>
      <c r="C26" s="197" t="s">
        <v>13</v>
      </c>
      <c r="D26" s="198" t="str">
        <f t="shared" si="0"/>
        <v>C</v>
      </c>
      <c r="E26" s="199">
        <v>44830.84375</v>
      </c>
      <c r="F26" s="200" t="s">
        <v>88</v>
      </c>
      <c r="G26" s="201">
        <v>1626.01</v>
      </c>
      <c r="H26" s="201">
        <v>1631.24</v>
      </c>
      <c r="I26" s="202">
        <f t="shared" si="1"/>
        <v>5.2300000000000182</v>
      </c>
      <c r="J26" s="201">
        <v>1563.23</v>
      </c>
      <c r="K26" s="199">
        <v>44830.917361111111</v>
      </c>
      <c r="L26" s="201">
        <v>1631.24</v>
      </c>
      <c r="M26" s="203">
        <f t="shared" si="2"/>
        <v>-5.23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9230</v>
      </c>
      <c r="T2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6" s="208">
        <f ca="1">IF(Tabla33610673489[[#This Row],[Equity]]&lt;Tabla33610673489[[#This Row],[Equity Peak]],(Tabla33610673489[[#This Row],[Equity Peak]]-Tabla33610673489[[#This Row],[Equity]])/Tabla33610673489[[#This Row],[Equity Peak]],"")</f>
        <v>0.18964003511852504</v>
      </c>
      <c r="V26" s="209">
        <f t="shared" si="7"/>
        <v>0</v>
      </c>
      <c r="W26" s="209">
        <f t="shared" si="8"/>
        <v>0</v>
      </c>
      <c r="X26" s="209">
        <f t="shared" si="9"/>
        <v>-1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7.3611111110949423E-2</v>
      </c>
      <c r="AE26" s="210">
        <f t="shared" si="16"/>
        <v>0</v>
      </c>
      <c r="AF26" s="210">
        <f t="shared" si="17"/>
        <v>7.3611111110949423E-2</v>
      </c>
      <c r="AG26" s="210">
        <f t="shared" si="18"/>
        <v>0</v>
      </c>
    </row>
    <row r="27" spans="1:35" ht="15" customHeight="1" x14ac:dyDescent="0.3">
      <c r="B27" s="196" t="s">
        <v>19</v>
      </c>
      <c r="C27" s="197" t="s">
        <v>13</v>
      </c>
      <c r="D27" s="198" t="str">
        <f t="shared" si="0"/>
        <v>C</v>
      </c>
      <c r="E27" s="199">
        <v>44830.15625</v>
      </c>
      <c r="F27" s="200" t="s">
        <v>88</v>
      </c>
      <c r="G27" s="201">
        <v>1639.15</v>
      </c>
      <c r="H27" s="201">
        <v>1643.9</v>
      </c>
      <c r="I27" s="202">
        <f t="shared" si="1"/>
        <v>4.75</v>
      </c>
      <c r="J27" s="201">
        <v>1582.1</v>
      </c>
      <c r="K27" s="199">
        <v>44830.171527777777</v>
      </c>
      <c r="L27" s="201">
        <v>1641.23</v>
      </c>
      <c r="M27" s="203">
        <f t="shared" si="2"/>
        <v>-2.08</v>
      </c>
      <c r="N27" s="204">
        <f t="shared" si="3"/>
        <v>-0.44</v>
      </c>
      <c r="O27" s="205">
        <f t="shared" si="4"/>
        <v>0</v>
      </c>
      <c r="P27" s="206">
        <f t="shared" si="5"/>
        <v>0</v>
      </c>
      <c r="Q27" s="206">
        <f t="shared" si="6"/>
        <v>-0.44</v>
      </c>
      <c r="R2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9330</v>
      </c>
      <c r="T2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7" s="208">
        <f ca="1">IF(Tabla33610673489[[#This Row],[Equity]]&lt;Tabla33610673489[[#This Row],[Equity Peak]],(Tabla33610673489[[#This Row],[Equity Peak]]-Tabla33610673489[[#This Row],[Equity]])/Tabla33610673489[[#This Row],[Equity Peak]],"")</f>
        <v>0.18086040386303776</v>
      </c>
      <c r="V27" s="209">
        <f t="shared" si="7"/>
        <v>0</v>
      </c>
      <c r="W27" s="209">
        <f t="shared" si="8"/>
        <v>0</v>
      </c>
      <c r="X27" s="209">
        <f t="shared" si="9"/>
        <v>-0.44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1.5277777776645962E-2</v>
      </c>
      <c r="AE27" s="210">
        <f t="shared" si="16"/>
        <v>0</v>
      </c>
      <c r="AF27" s="210">
        <f t="shared" si="17"/>
        <v>1.5277777776645962E-2</v>
      </c>
      <c r="AG27" s="210">
        <f t="shared" si="18"/>
        <v>0</v>
      </c>
    </row>
    <row r="28" spans="1:35" ht="15" customHeight="1" x14ac:dyDescent="0.3">
      <c r="B28" s="196" t="s">
        <v>19</v>
      </c>
      <c r="C28" s="197" t="s">
        <v>13</v>
      </c>
      <c r="D28" s="198" t="str">
        <f t="shared" si="0"/>
        <v>C</v>
      </c>
      <c r="E28" s="199">
        <v>44827.916666666664</v>
      </c>
      <c r="F28" s="200" t="s">
        <v>88</v>
      </c>
      <c r="G28" s="201">
        <v>1640.3</v>
      </c>
      <c r="H28" s="201">
        <v>1644.71</v>
      </c>
      <c r="I28" s="202">
        <f t="shared" si="1"/>
        <v>4.4100000000000819</v>
      </c>
      <c r="J28" s="201">
        <v>1587.43</v>
      </c>
      <c r="K28" s="199">
        <v>44827.945833333331</v>
      </c>
      <c r="L28" s="201">
        <v>1644.71</v>
      </c>
      <c r="M28" s="203">
        <f t="shared" si="2"/>
        <v>-4.41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9374</v>
      </c>
      <c r="T2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8" s="208">
        <f ca="1">IF(Tabla33610673489[[#This Row],[Equity]]&lt;Tabla33610673489[[#This Row],[Equity Peak]],(Tabla33610673489[[#This Row],[Equity Peak]]-Tabla33610673489[[#This Row],[Equity]])/Tabla33610673489[[#This Row],[Equity Peak]],"")</f>
        <v>0.17699736611062336</v>
      </c>
      <c r="V28" s="209">
        <f t="shared" si="7"/>
        <v>0</v>
      </c>
      <c r="W28" s="209">
        <f t="shared" si="8"/>
        <v>0</v>
      </c>
      <c r="X28" s="209">
        <f t="shared" si="9"/>
        <v>-1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2.9166666667151731E-2</v>
      </c>
      <c r="AE28" s="210">
        <f t="shared" si="16"/>
        <v>0</v>
      </c>
      <c r="AF28" s="210">
        <f t="shared" si="17"/>
        <v>2.9166666667151731E-2</v>
      </c>
      <c r="AG28" s="210">
        <f t="shared" si="18"/>
        <v>0</v>
      </c>
    </row>
    <row r="29" spans="1:35" ht="15" customHeight="1" x14ac:dyDescent="0.3">
      <c r="B29" s="196" t="s">
        <v>19</v>
      </c>
      <c r="C29" s="197" t="s">
        <v>13</v>
      </c>
      <c r="D29" s="198" t="str">
        <f t="shared" si="0"/>
        <v>C</v>
      </c>
      <c r="E29" s="199">
        <v>44827.583333333336</v>
      </c>
      <c r="F29" s="200" t="s">
        <v>88</v>
      </c>
      <c r="G29" s="201">
        <v>1643.5</v>
      </c>
      <c r="H29" s="201">
        <v>1646.55</v>
      </c>
      <c r="I29" s="202">
        <f t="shared" si="1"/>
        <v>3.0499999999999545</v>
      </c>
      <c r="J29" s="201">
        <v>1606.86</v>
      </c>
      <c r="K29" s="199">
        <v>44827.601388888892</v>
      </c>
      <c r="L29" s="201">
        <v>1646.55</v>
      </c>
      <c r="M29" s="203">
        <f t="shared" si="2"/>
        <v>-3.05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9474</v>
      </c>
      <c r="T2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29" s="208">
        <f ca="1">IF(Tabla33610673489[[#This Row],[Equity]]&lt;Tabla33610673489[[#This Row],[Equity Peak]],(Tabla33610673489[[#This Row],[Equity Peak]]-Tabla33610673489[[#This Row],[Equity]])/Tabla33610673489[[#This Row],[Equity Peak]],"")</f>
        <v>0.16821773485513608</v>
      </c>
      <c r="V29" s="209">
        <f t="shared" si="7"/>
        <v>0</v>
      </c>
      <c r="W29" s="209">
        <f t="shared" si="8"/>
        <v>0</v>
      </c>
      <c r="X29" s="209">
        <f t="shared" si="9"/>
        <v>-1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1.8055555556202307E-2</v>
      </c>
      <c r="AE29" s="210">
        <f t="shared" si="16"/>
        <v>0</v>
      </c>
      <c r="AF29" s="210">
        <f t="shared" si="17"/>
        <v>1.8055555556202307E-2</v>
      </c>
      <c r="AG29" s="210">
        <f t="shared" si="18"/>
        <v>0</v>
      </c>
    </row>
    <row r="30" spans="1:35" ht="15" customHeight="1" x14ac:dyDescent="0.3">
      <c r="B30" s="196" t="s">
        <v>19</v>
      </c>
      <c r="C30" s="197" t="s">
        <v>13</v>
      </c>
      <c r="D30" s="198" t="str">
        <f t="shared" si="0"/>
        <v>C</v>
      </c>
      <c r="E30" s="199">
        <v>44819.75</v>
      </c>
      <c r="F30" s="200" t="s">
        <v>88</v>
      </c>
      <c r="G30" s="201">
        <v>1668.44</v>
      </c>
      <c r="H30" s="201">
        <v>1671.8</v>
      </c>
      <c r="I30" s="202">
        <f t="shared" si="1"/>
        <v>3.3599999999999</v>
      </c>
      <c r="J30" s="201">
        <v>1628.07</v>
      </c>
      <c r="K30" s="199">
        <v>44820.713194444441</v>
      </c>
      <c r="L30" s="201">
        <v>1668.48</v>
      </c>
      <c r="M30" s="203">
        <f t="shared" si="2"/>
        <v>-0.04</v>
      </c>
      <c r="N30" s="204">
        <f t="shared" si="3"/>
        <v>-0.01</v>
      </c>
      <c r="O30" s="205">
        <f t="shared" si="4"/>
        <v>0</v>
      </c>
      <c r="P30" s="206">
        <f t="shared" si="5"/>
        <v>0</v>
      </c>
      <c r="Q30" s="206">
        <f t="shared" si="6"/>
        <v>-0.01</v>
      </c>
      <c r="R3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9574</v>
      </c>
      <c r="T3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0" s="208">
        <f ca="1">IF(Tabla33610673489[[#This Row],[Equity]]&lt;Tabla33610673489[[#This Row],[Equity Peak]],(Tabla33610673489[[#This Row],[Equity Peak]]-Tabla33610673489[[#This Row],[Equity]])/Tabla33610673489[[#This Row],[Equity Peak]],"")</f>
        <v>0.15943810359964883</v>
      </c>
      <c r="V30" s="209">
        <f t="shared" si="7"/>
        <v>0</v>
      </c>
      <c r="W30" s="209">
        <f t="shared" si="8"/>
        <v>0</v>
      </c>
      <c r="X30" s="209">
        <f t="shared" si="9"/>
        <v>-0.01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0.96319444444088731</v>
      </c>
      <c r="AE30" s="210">
        <f t="shared" si="16"/>
        <v>0</v>
      </c>
      <c r="AF30" s="210">
        <f t="shared" si="17"/>
        <v>0.96319444444088731</v>
      </c>
      <c r="AG30" s="210">
        <f t="shared" si="18"/>
        <v>0</v>
      </c>
    </row>
    <row r="31" spans="1:35" ht="15" customHeight="1" x14ac:dyDescent="0.3">
      <c r="B31" s="196" t="s">
        <v>19</v>
      </c>
      <c r="C31" s="197" t="s">
        <v>13</v>
      </c>
      <c r="D31" s="198" t="str">
        <f t="shared" si="0"/>
        <v>C</v>
      </c>
      <c r="E31" s="199">
        <v>44819.59375</v>
      </c>
      <c r="F31" s="200" t="s">
        <v>88</v>
      </c>
      <c r="G31" s="201">
        <v>1685.21</v>
      </c>
      <c r="H31" s="201">
        <v>1687.53</v>
      </c>
      <c r="I31" s="202">
        <f t="shared" si="1"/>
        <v>2.3199999999999363</v>
      </c>
      <c r="J31" s="201">
        <v>1657.33</v>
      </c>
      <c r="K31" s="199">
        <v>44819.647222222222</v>
      </c>
      <c r="L31" s="201">
        <v>1687.53</v>
      </c>
      <c r="M31" s="203">
        <f t="shared" si="2"/>
        <v>-2.3199999999999998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9575</v>
      </c>
      <c r="T3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1" s="208">
        <f ca="1">IF(Tabla33610673489[[#This Row],[Equity]]&lt;Tabla33610673489[[#This Row],[Equity Peak]],(Tabla33610673489[[#This Row],[Equity Peak]]-Tabla33610673489[[#This Row],[Equity]])/Tabla33610673489[[#This Row],[Equity Peak]],"")</f>
        <v>0.15935030728709393</v>
      </c>
      <c r="V31" s="209">
        <f t="shared" si="7"/>
        <v>0</v>
      </c>
      <c r="W31" s="209">
        <f t="shared" si="8"/>
        <v>0</v>
      </c>
      <c r="X31" s="209">
        <f t="shared" si="9"/>
        <v>-1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5.3472222221898846E-2</v>
      </c>
      <c r="AE31" s="210">
        <f t="shared" si="16"/>
        <v>0</v>
      </c>
      <c r="AF31" s="210">
        <f t="shared" si="17"/>
        <v>5.3472222221898846E-2</v>
      </c>
      <c r="AG31" s="210">
        <f t="shared" si="18"/>
        <v>0</v>
      </c>
    </row>
    <row r="32" spans="1:35" ht="15" customHeight="1" x14ac:dyDescent="0.3">
      <c r="B32" s="196" t="s">
        <v>19</v>
      </c>
      <c r="C32" s="197" t="s">
        <v>13</v>
      </c>
      <c r="D32" s="198" t="str">
        <f t="shared" si="0"/>
        <v>C</v>
      </c>
      <c r="E32" s="199">
        <v>44819.333333333336</v>
      </c>
      <c r="F32" s="200" t="s">
        <v>88</v>
      </c>
      <c r="G32" s="201">
        <v>1687.49</v>
      </c>
      <c r="H32" s="201">
        <v>1690.01</v>
      </c>
      <c r="I32" s="202">
        <f t="shared" si="1"/>
        <v>2.5199999999999818</v>
      </c>
      <c r="J32" s="201">
        <v>1657.2</v>
      </c>
      <c r="K32" s="199">
        <v>44819.529861111114</v>
      </c>
      <c r="L32" s="201">
        <v>1690.01</v>
      </c>
      <c r="M32" s="203">
        <f t="shared" si="2"/>
        <v>-2.52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9675</v>
      </c>
      <c r="T3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2" s="208">
        <f ca="1">IF(Tabla33610673489[[#This Row],[Equity]]&lt;Tabla33610673489[[#This Row],[Equity Peak]],(Tabla33610673489[[#This Row],[Equity Peak]]-Tabla33610673489[[#This Row],[Equity]])/Tabla33610673489[[#This Row],[Equity Peak]],"")</f>
        <v>0.15057067603160668</v>
      </c>
      <c r="V32" s="209">
        <f t="shared" si="7"/>
        <v>0</v>
      </c>
      <c r="W32" s="209">
        <f t="shared" si="8"/>
        <v>0</v>
      </c>
      <c r="X32" s="209">
        <f t="shared" si="9"/>
        <v>-1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0.19652777777810115</v>
      </c>
      <c r="AE32" s="210">
        <f t="shared" si="16"/>
        <v>0</v>
      </c>
      <c r="AF32" s="210">
        <f t="shared" si="17"/>
        <v>0.19652777777810115</v>
      </c>
      <c r="AG32" s="210">
        <f t="shared" si="18"/>
        <v>0</v>
      </c>
    </row>
    <row r="33" spans="2:33" ht="15" customHeight="1" x14ac:dyDescent="0.3">
      <c r="B33" s="196" t="s">
        <v>19</v>
      </c>
      <c r="C33" s="197" t="s">
        <v>13</v>
      </c>
      <c r="D33" s="198" t="str">
        <f t="shared" si="0"/>
        <v>C</v>
      </c>
      <c r="E33" s="199">
        <v>44805.177083333336</v>
      </c>
      <c r="F33" s="200" t="s">
        <v>88</v>
      </c>
      <c r="G33" s="201">
        <v>1705.42</v>
      </c>
      <c r="H33" s="201">
        <v>1708.83</v>
      </c>
      <c r="I33" s="202">
        <f t="shared" si="1"/>
        <v>3.4099999999998545</v>
      </c>
      <c r="J33" s="201">
        <v>1664.51</v>
      </c>
      <c r="K33" s="199">
        <v>44806.517361111109</v>
      </c>
      <c r="L33" s="201">
        <v>1705.37</v>
      </c>
      <c r="M33" s="203">
        <f t="shared" si="2"/>
        <v>0.05</v>
      </c>
      <c r="N33" s="204">
        <f t="shared" si="3"/>
        <v>0.01</v>
      </c>
      <c r="O33" s="205">
        <f t="shared" si="4"/>
        <v>0</v>
      </c>
      <c r="P33" s="206">
        <f t="shared" si="5"/>
        <v>0.01</v>
      </c>
      <c r="Q33" s="206">
        <f t="shared" si="6"/>
        <v>0</v>
      </c>
      <c r="R3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9775</v>
      </c>
      <c r="T3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3" s="208">
        <f ca="1">IF(Tabla33610673489[[#This Row],[Equity]]&lt;Tabla33610673489[[#This Row],[Equity Peak]],(Tabla33610673489[[#This Row],[Equity Peak]]-Tabla33610673489[[#This Row],[Equity]])/Tabla33610673489[[#This Row],[Equity Peak]],"")</f>
        <v>0.1417910447761194</v>
      </c>
      <c r="V33" s="209">
        <f t="shared" si="7"/>
        <v>0</v>
      </c>
      <c r="W33" s="209">
        <f t="shared" si="8"/>
        <v>0</v>
      </c>
      <c r="X33" s="209">
        <f t="shared" si="9"/>
        <v>0.01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1.3402777777737356</v>
      </c>
      <c r="AE33" s="210">
        <f t="shared" si="16"/>
        <v>1.3402777777737356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19</v>
      </c>
      <c r="C34" s="197" t="s">
        <v>13</v>
      </c>
      <c r="D34" s="198" t="str">
        <f t="shared" si="0"/>
        <v>C</v>
      </c>
      <c r="E34" s="199">
        <v>44804.479166666664</v>
      </c>
      <c r="F34" s="200" t="s">
        <v>88</v>
      </c>
      <c r="G34" s="201">
        <v>1715.11</v>
      </c>
      <c r="H34" s="201">
        <v>1717.46</v>
      </c>
      <c r="I34" s="202">
        <f t="shared" si="1"/>
        <v>2.3500000000001364</v>
      </c>
      <c r="J34" s="201">
        <v>1686.86</v>
      </c>
      <c r="K34" s="199">
        <v>44804.616666666669</v>
      </c>
      <c r="L34" s="201">
        <v>1716.29</v>
      </c>
      <c r="M34" s="203">
        <f t="shared" si="2"/>
        <v>-1.18</v>
      </c>
      <c r="N34" s="204">
        <f t="shared" si="3"/>
        <v>-0.5</v>
      </c>
      <c r="O34" s="205">
        <f t="shared" si="4"/>
        <v>0</v>
      </c>
      <c r="P34" s="206">
        <f t="shared" si="5"/>
        <v>0</v>
      </c>
      <c r="Q34" s="206">
        <f t="shared" si="6"/>
        <v>-0.5</v>
      </c>
      <c r="R3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9774</v>
      </c>
      <c r="T3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4" s="208">
        <f ca="1">IF(Tabla33610673489[[#This Row],[Equity]]&lt;Tabla33610673489[[#This Row],[Equity Peak]],(Tabla33610673489[[#This Row],[Equity Peak]]-Tabla33610673489[[#This Row],[Equity]])/Tabla33610673489[[#This Row],[Equity Peak]],"")</f>
        <v>0.14187884108867427</v>
      </c>
      <c r="V34" s="209">
        <f t="shared" si="7"/>
        <v>0</v>
      </c>
      <c r="W34" s="209">
        <f t="shared" si="8"/>
        <v>0</v>
      </c>
      <c r="X34" s="209">
        <f t="shared" si="9"/>
        <v>-0.5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0.13750000000436557</v>
      </c>
      <c r="AE34" s="210">
        <f t="shared" si="16"/>
        <v>0</v>
      </c>
      <c r="AF34" s="210">
        <f t="shared" si="17"/>
        <v>0.13750000000436557</v>
      </c>
      <c r="AG34" s="210">
        <f t="shared" si="18"/>
        <v>0</v>
      </c>
    </row>
    <row r="35" spans="2:33" ht="15" customHeight="1" x14ac:dyDescent="0.3">
      <c r="B35" s="196" t="s">
        <v>19</v>
      </c>
      <c r="C35" s="197" t="s">
        <v>13</v>
      </c>
      <c r="D35" s="198" t="str">
        <f t="shared" si="0"/>
        <v>C</v>
      </c>
      <c r="E35" s="199">
        <v>44804.427083333336</v>
      </c>
      <c r="F35" s="200" t="s">
        <v>88</v>
      </c>
      <c r="G35" s="201">
        <v>1720.11</v>
      </c>
      <c r="H35" s="201">
        <v>1722.46</v>
      </c>
      <c r="I35" s="202">
        <f t="shared" si="1"/>
        <v>2.3500000000001364</v>
      </c>
      <c r="J35" s="201">
        <v>1691.92</v>
      </c>
      <c r="K35" s="199">
        <v>44804.4375</v>
      </c>
      <c r="L35" s="201">
        <v>1722.46</v>
      </c>
      <c r="M35" s="203">
        <f t="shared" si="2"/>
        <v>-2.35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9824</v>
      </c>
      <c r="T3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5" s="208">
        <f ca="1">IF(Tabla33610673489[[#This Row],[Equity]]&lt;Tabla33610673489[[#This Row],[Equity Peak]],(Tabla33610673489[[#This Row],[Equity Peak]]-Tabla33610673489[[#This Row],[Equity]])/Tabla33610673489[[#This Row],[Equity Peak]],"")</f>
        <v>0.13748902546093064</v>
      </c>
      <c r="V35" s="209">
        <f t="shared" si="7"/>
        <v>0</v>
      </c>
      <c r="W35" s="209">
        <f t="shared" si="8"/>
        <v>0</v>
      </c>
      <c r="X35" s="209">
        <f t="shared" si="9"/>
        <v>-1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1.0416666664241347E-2</v>
      </c>
      <c r="AE35" s="210">
        <f t="shared" si="16"/>
        <v>0</v>
      </c>
      <c r="AF35" s="210">
        <f t="shared" si="17"/>
        <v>1.0416666664241347E-2</v>
      </c>
      <c r="AG35" s="210">
        <f t="shared" si="18"/>
        <v>0</v>
      </c>
    </row>
    <row r="36" spans="2:33" ht="15" customHeight="1" x14ac:dyDescent="0.3">
      <c r="B36" s="196" t="s">
        <v>19</v>
      </c>
      <c r="C36" s="197" t="s">
        <v>13</v>
      </c>
      <c r="D36" s="198" t="str">
        <f t="shared" si="0"/>
        <v>C</v>
      </c>
      <c r="E36" s="199">
        <v>44802.1875</v>
      </c>
      <c r="F36" s="200" t="s">
        <v>88</v>
      </c>
      <c r="G36" s="201">
        <v>1727.26</v>
      </c>
      <c r="H36" s="201">
        <v>1730.99</v>
      </c>
      <c r="I36" s="202">
        <f t="shared" si="1"/>
        <v>3.7300000000000182</v>
      </c>
      <c r="J36" s="201">
        <v>1682.55</v>
      </c>
      <c r="K36" s="199">
        <v>44802.574999999997</v>
      </c>
      <c r="L36" s="201">
        <v>1729.29</v>
      </c>
      <c r="M36" s="203">
        <f t="shared" si="2"/>
        <v>-2.0299999999999998</v>
      </c>
      <c r="N36" s="204">
        <f t="shared" si="3"/>
        <v>-0.54</v>
      </c>
      <c r="O36" s="205">
        <f t="shared" si="4"/>
        <v>0</v>
      </c>
      <c r="P36" s="206">
        <f t="shared" si="5"/>
        <v>0</v>
      </c>
      <c r="Q36" s="206">
        <f t="shared" si="6"/>
        <v>-0.54</v>
      </c>
      <c r="R3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9924</v>
      </c>
      <c r="T3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6" s="208">
        <f ca="1">IF(Tabla33610673489[[#This Row],[Equity]]&lt;Tabla33610673489[[#This Row],[Equity Peak]],(Tabla33610673489[[#This Row],[Equity Peak]]-Tabla33610673489[[#This Row],[Equity]])/Tabla33610673489[[#This Row],[Equity Peak]],"")</f>
        <v>0.12870939420544336</v>
      </c>
      <c r="V36" s="209">
        <f t="shared" si="7"/>
        <v>0</v>
      </c>
      <c r="W36" s="209">
        <f t="shared" si="8"/>
        <v>0</v>
      </c>
      <c r="X36" s="209">
        <f t="shared" si="9"/>
        <v>-0.54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0.38749999999708962</v>
      </c>
      <c r="AE36" s="210">
        <f t="shared" si="16"/>
        <v>0</v>
      </c>
      <c r="AF36" s="210">
        <f t="shared" si="17"/>
        <v>0.38749999999708962</v>
      </c>
      <c r="AG36" s="210">
        <f t="shared" si="18"/>
        <v>0</v>
      </c>
    </row>
    <row r="37" spans="2:33" ht="15" customHeight="1" x14ac:dyDescent="0.3">
      <c r="B37" s="196" t="s">
        <v>19</v>
      </c>
      <c r="C37" s="197" t="s">
        <v>13</v>
      </c>
      <c r="D37" s="198" t="str">
        <f t="shared" si="0"/>
        <v>C</v>
      </c>
      <c r="E37" s="199">
        <v>44795.34375</v>
      </c>
      <c r="F37" s="200" t="s">
        <v>88</v>
      </c>
      <c r="G37" s="201">
        <v>1743.16</v>
      </c>
      <c r="H37" s="201">
        <v>1745.74</v>
      </c>
      <c r="I37" s="202">
        <f t="shared" si="1"/>
        <v>2.5799999999999272</v>
      </c>
      <c r="J37" s="201">
        <v>1712.18</v>
      </c>
      <c r="K37" s="199">
        <v>44795.736805555556</v>
      </c>
      <c r="L37" s="201">
        <v>1739.74</v>
      </c>
      <c r="M37" s="203">
        <f t="shared" si="2"/>
        <v>3.42</v>
      </c>
      <c r="N37" s="204">
        <f t="shared" si="3"/>
        <v>1.33</v>
      </c>
      <c r="O37" s="205">
        <f t="shared" si="4"/>
        <v>0</v>
      </c>
      <c r="P37" s="206">
        <f t="shared" si="5"/>
        <v>1.33</v>
      </c>
      <c r="Q37" s="206">
        <f t="shared" si="6"/>
        <v>0</v>
      </c>
      <c r="R3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9978</v>
      </c>
      <c r="T3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7" s="208">
        <f ca="1">IF(Tabla33610673489[[#This Row],[Equity]]&lt;Tabla33610673489[[#This Row],[Equity Peak]],(Tabla33610673489[[#This Row],[Equity Peak]]-Tabla33610673489[[#This Row],[Equity]])/Tabla33610673489[[#This Row],[Equity Peak]],"")</f>
        <v>0.12396839332748025</v>
      </c>
      <c r="V37" s="209">
        <f t="shared" si="7"/>
        <v>0</v>
      </c>
      <c r="W37" s="209">
        <f t="shared" si="8"/>
        <v>0</v>
      </c>
      <c r="X37" s="209">
        <f t="shared" si="9"/>
        <v>1.33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0.39305555555620231</v>
      </c>
      <c r="AE37" s="210">
        <f t="shared" si="16"/>
        <v>0.39305555555620231</v>
      </c>
      <c r="AF37" s="210">
        <f t="shared" si="17"/>
        <v>0</v>
      </c>
      <c r="AG37" s="210">
        <f t="shared" si="18"/>
        <v>0</v>
      </c>
    </row>
    <row r="38" spans="2:33" ht="15" customHeight="1" x14ac:dyDescent="0.3">
      <c r="B38" s="196" t="s">
        <v>19</v>
      </c>
      <c r="C38" s="197" t="s">
        <v>13</v>
      </c>
      <c r="D38" s="198" t="str">
        <f t="shared" si="0"/>
        <v>C</v>
      </c>
      <c r="E38" s="199">
        <v>44792.739583333336</v>
      </c>
      <c r="F38" s="200" t="s">
        <v>88</v>
      </c>
      <c r="G38" s="201">
        <v>1746.97</v>
      </c>
      <c r="H38" s="201">
        <v>1749.7</v>
      </c>
      <c r="I38" s="202">
        <f t="shared" si="1"/>
        <v>2.7300000000000182</v>
      </c>
      <c r="J38" s="201">
        <v>1714.2</v>
      </c>
      <c r="K38" s="199">
        <v>44792.75277777778</v>
      </c>
      <c r="L38" s="201">
        <v>1749.7</v>
      </c>
      <c r="M38" s="203">
        <f t="shared" si="2"/>
        <v>-2.73</v>
      </c>
      <c r="N38" s="204">
        <f t="shared" si="3"/>
        <v>-1</v>
      </c>
      <c r="O38" s="205">
        <f t="shared" si="4"/>
        <v>0</v>
      </c>
      <c r="P38" s="206">
        <f t="shared" si="5"/>
        <v>0</v>
      </c>
      <c r="Q38" s="206">
        <f t="shared" si="6"/>
        <v>-1</v>
      </c>
      <c r="R3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9845</v>
      </c>
      <c r="T3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8" s="208">
        <f ca="1">IF(Tabla33610673489[[#This Row],[Equity]]&lt;Tabla33610673489[[#This Row],[Equity Peak]],(Tabla33610673489[[#This Row],[Equity Peak]]-Tabla33610673489[[#This Row],[Equity]])/Tabla33610673489[[#This Row],[Equity Peak]],"")</f>
        <v>0.1356453028972783</v>
      </c>
      <c r="V38" s="209">
        <f t="shared" si="7"/>
        <v>0</v>
      </c>
      <c r="W38" s="209">
        <f t="shared" si="8"/>
        <v>0</v>
      </c>
      <c r="X38" s="209">
        <f t="shared" si="9"/>
        <v>-1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1.3194444443797693E-2</v>
      </c>
      <c r="AE38" s="210">
        <f t="shared" si="16"/>
        <v>0</v>
      </c>
      <c r="AF38" s="210">
        <f t="shared" si="17"/>
        <v>1.3194444443797693E-2</v>
      </c>
      <c r="AG38" s="210">
        <f t="shared" si="18"/>
        <v>0</v>
      </c>
    </row>
    <row r="39" spans="2:33" ht="15" customHeight="1" x14ac:dyDescent="0.3">
      <c r="B39" s="196" t="s">
        <v>19</v>
      </c>
      <c r="C39" s="197" t="s">
        <v>13</v>
      </c>
      <c r="D39" s="198" t="str">
        <f t="shared" si="0"/>
        <v>C</v>
      </c>
      <c r="E39" s="199">
        <v>44792.552083333336</v>
      </c>
      <c r="F39" s="200" t="s">
        <v>88</v>
      </c>
      <c r="G39" s="201">
        <v>1750.03</v>
      </c>
      <c r="H39" s="201">
        <v>1752.32</v>
      </c>
      <c r="I39" s="202">
        <f t="shared" si="1"/>
        <v>2.2899999999999636</v>
      </c>
      <c r="J39" s="201">
        <v>1722.6</v>
      </c>
      <c r="K39" s="199">
        <v>44792.585416666669</v>
      </c>
      <c r="L39" s="201">
        <v>1752.32</v>
      </c>
      <c r="M39" s="203">
        <f t="shared" si="2"/>
        <v>-2.29</v>
      </c>
      <c r="N39" s="204">
        <f t="shared" si="3"/>
        <v>-1</v>
      </c>
      <c r="O39" s="205">
        <f t="shared" si="4"/>
        <v>0</v>
      </c>
      <c r="P39" s="206">
        <f t="shared" si="5"/>
        <v>0</v>
      </c>
      <c r="Q39" s="206">
        <f t="shared" si="6"/>
        <v>-1</v>
      </c>
      <c r="R3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9945</v>
      </c>
      <c r="T3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39" s="208">
        <f ca="1">IF(Tabla33610673489[[#This Row],[Equity]]&lt;Tabla33610673489[[#This Row],[Equity Peak]],(Tabla33610673489[[#This Row],[Equity Peak]]-Tabla33610673489[[#This Row],[Equity]])/Tabla33610673489[[#This Row],[Equity Peak]],"")</f>
        <v>0.12686567164179105</v>
      </c>
      <c r="V39" s="209">
        <f t="shared" si="7"/>
        <v>0</v>
      </c>
      <c r="W39" s="209">
        <f t="shared" si="8"/>
        <v>0</v>
      </c>
      <c r="X39" s="209">
        <f t="shared" si="9"/>
        <v>-1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3.3333333332848269E-2</v>
      </c>
      <c r="AE39" s="210">
        <f t="shared" si="16"/>
        <v>0</v>
      </c>
      <c r="AF39" s="210">
        <f t="shared" si="17"/>
        <v>3.3333333332848269E-2</v>
      </c>
      <c r="AG39" s="210">
        <f t="shared" si="18"/>
        <v>0</v>
      </c>
    </row>
    <row r="40" spans="2:33" ht="15" customHeight="1" x14ac:dyDescent="0.3">
      <c r="B40" s="196" t="s">
        <v>19</v>
      </c>
      <c r="C40" s="197" t="s">
        <v>13</v>
      </c>
      <c r="D40" s="198" t="str">
        <f t="shared" si="0"/>
        <v>C</v>
      </c>
      <c r="E40" s="199">
        <v>44792.302083333336</v>
      </c>
      <c r="F40" s="200" t="s">
        <v>88</v>
      </c>
      <c r="G40" s="201">
        <v>1752.62</v>
      </c>
      <c r="H40" s="201">
        <v>1755.36</v>
      </c>
      <c r="I40" s="202">
        <f t="shared" si="1"/>
        <v>2.7400000000000091</v>
      </c>
      <c r="J40" s="201">
        <v>1719.75</v>
      </c>
      <c r="K40" s="199">
        <v>44792.363888888889</v>
      </c>
      <c r="L40" s="201">
        <v>1755.36</v>
      </c>
      <c r="M40" s="203">
        <f t="shared" si="2"/>
        <v>-2.74</v>
      </c>
      <c r="N40" s="204">
        <f t="shared" si="3"/>
        <v>-1</v>
      </c>
      <c r="O40" s="205">
        <f t="shared" si="4"/>
        <v>0</v>
      </c>
      <c r="P40" s="206">
        <f t="shared" si="5"/>
        <v>0</v>
      </c>
      <c r="Q40" s="206">
        <f t="shared" si="6"/>
        <v>-1</v>
      </c>
      <c r="R4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10045</v>
      </c>
      <c r="T4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0" s="208">
        <f ca="1">IF(Tabla33610673489[[#This Row],[Equity]]&lt;Tabla33610673489[[#This Row],[Equity Peak]],(Tabla33610673489[[#This Row],[Equity Peak]]-Tabla33610673489[[#This Row],[Equity]])/Tabla33610673489[[#This Row],[Equity Peak]],"")</f>
        <v>0.11808604038630377</v>
      </c>
      <c r="V40" s="209">
        <f t="shared" si="7"/>
        <v>0</v>
      </c>
      <c r="W40" s="209">
        <f t="shared" si="8"/>
        <v>0</v>
      </c>
      <c r="X40" s="209">
        <f t="shared" si="9"/>
        <v>-1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6.1805555553291924E-2</v>
      </c>
      <c r="AE40" s="210">
        <f t="shared" si="16"/>
        <v>0</v>
      </c>
      <c r="AF40" s="210">
        <f t="shared" si="17"/>
        <v>6.1805555553291924E-2</v>
      </c>
      <c r="AG40" s="210">
        <f t="shared" si="18"/>
        <v>0</v>
      </c>
    </row>
    <row r="41" spans="2:33" ht="15" customHeight="1" x14ac:dyDescent="0.3">
      <c r="B41" s="196" t="s">
        <v>19</v>
      </c>
      <c r="C41" s="197" t="s">
        <v>15</v>
      </c>
      <c r="D41" s="198" t="str">
        <f t="shared" si="0"/>
        <v>C</v>
      </c>
      <c r="E41" s="199">
        <v>44783.65625</v>
      </c>
      <c r="F41" s="200" t="s">
        <v>88</v>
      </c>
      <c r="G41" s="201">
        <v>1806.32</v>
      </c>
      <c r="H41" s="201">
        <v>1804.06</v>
      </c>
      <c r="I41" s="202">
        <f t="shared" si="1"/>
        <v>2.2599999999999909</v>
      </c>
      <c r="J41" s="201">
        <v>1833.49</v>
      </c>
      <c r="K41" s="199">
        <v>44783.657638888886</v>
      </c>
      <c r="L41" s="201">
        <v>1804.06</v>
      </c>
      <c r="M41" s="203">
        <f t="shared" si="2"/>
        <v>-2.2599999999999998</v>
      </c>
      <c r="N41" s="204">
        <f t="shared" si="3"/>
        <v>-1</v>
      </c>
      <c r="O41" s="205">
        <f t="shared" si="4"/>
        <v>0</v>
      </c>
      <c r="P41" s="206">
        <f t="shared" si="5"/>
        <v>0</v>
      </c>
      <c r="Q41" s="206">
        <f t="shared" si="6"/>
        <v>-1</v>
      </c>
      <c r="R4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10145</v>
      </c>
      <c r="T4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1" s="208">
        <f ca="1">IF(Tabla33610673489[[#This Row],[Equity]]&lt;Tabla33610673489[[#This Row],[Equity Peak]],(Tabla33610673489[[#This Row],[Equity Peak]]-Tabla33610673489[[#This Row],[Equity]])/Tabla33610673489[[#This Row],[Equity Peak]],"")</f>
        <v>0.1093064091308165</v>
      </c>
      <c r="V41" s="209">
        <f t="shared" si="7"/>
        <v>0</v>
      </c>
      <c r="W41" s="209">
        <f t="shared" si="8"/>
        <v>0</v>
      </c>
      <c r="X41" s="209">
        <f t="shared" si="9"/>
        <v>-1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1.3888888861401938E-3</v>
      </c>
      <c r="AE41" s="210">
        <f t="shared" si="16"/>
        <v>0</v>
      </c>
      <c r="AF41" s="210">
        <f t="shared" si="17"/>
        <v>1.3888888861401938E-3</v>
      </c>
      <c r="AG41" s="210">
        <f t="shared" si="18"/>
        <v>0</v>
      </c>
    </row>
    <row r="42" spans="2:33" ht="15" customHeight="1" x14ac:dyDescent="0.3">
      <c r="B42" s="196" t="s">
        <v>19</v>
      </c>
      <c r="C42" s="197" t="s">
        <v>15</v>
      </c>
      <c r="D42" s="198" t="str">
        <f t="shared" si="0"/>
        <v>C</v>
      </c>
      <c r="E42" s="199">
        <v>44782.677083333336</v>
      </c>
      <c r="F42" s="200" t="s">
        <v>88</v>
      </c>
      <c r="G42" s="201">
        <v>1796.32</v>
      </c>
      <c r="H42" s="201">
        <v>1793.79</v>
      </c>
      <c r="I42" s="202">
        <f t="shared" si="1"/>
        <v>2.5299999999999727</v>
      </c>
      <c r="J42" s="201">
        <v>1826.66</v>
      </c>
      <c r="K42" s="199">
        <v>44782.73333333333</v>
      </c>
      <c r="L42" s="201">
        <v>1793.79</v>
      </c>
      <c r="M42" s="203">
        <f t="shared" si="2"/>
        <v>-2.5299999999999998</v>
      </c>
      <c r="N42" s="204">
        <f t="shared" si="3"/>
        <v>-1</v>
      </c>
      <c r="O42" s="205">
        <f t="shared" si="4"/>
        <v>0</v>
      </c>
      <c r="P42" s="206">
        <f t="shared" si="5"/>
        <v>0</v>
      </c>
      <c r="Q42" s="206">
        <f t="shared" si="6"/>
        <v>-1</v>
      </c>
      <c r="R4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10245</v>
      </c>
      <c r="T4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2" s="208">
        <f ca="1">IF(Tabla33610673489[[#This Row],[Equity]]&lt;Tabla33610673489[[#This Row],[Equity Peak]],(Tabla33610673489[[#This Row],[Equity Peak]]-Tabla33610673489[[#This Row],[Equity]])/Tabla33610673489[[#This Row],[Equity Peak]],"")</f>
        <v>0.10052677787532924</v>
      </c>
      <c r="V42" s="209">
        <f t="shared" si="7"/>
        <v>0</v>
      </c>
      <c r="W42" s="209">
        <f t="shared" si="8"/>
        <v>0</v>
      </c>
      <c r="X42" s="209">
        <f t="shared" si="9"/>
        <v>-1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5.6249999994179234E-2</v>
      </c>
      <c r="AE42" s="210">
        <f t="shared" si="16"/>
        <v>0</v>
      </c>
      <c r="AF42" s="210">
        <f t="shared" si="17"/>
        <v>5.6249999994179234E-2</v>
      </c>
      <c r="AG42" s="210">
        <f t="shared" si="18"/>
        <v>0</v>
      </c>
    </row>
    <row r="43" spans="2:33" ht="15" customHeight="1" x14ac:dyDescent="0.3">
      <c r="B43" s="196" t="s">
        <v>19</v>
      </c>
      <c r="C43" s="197" t="s">
        <v>15</v>
      </c>
      <c r="D43" s="198" t="str">
        <f t="shared" si="0"/>
        <v>C</v>
      </c>
      <c r="E43" s="199">
        <v>44777.875</v>
      </c>
      <c r="F43" s="200" t="s">
        <v>88</v>
      </c>
      <c r="G43" s="201">
        <v>1791.9</v>
      </c>
      <c r="H43" s="201">
        <v>1788.63</v>
      </c>
      <c r="I43" s="202">
        <f t="shared" si="1"/>
        <v>3.2699999999999818</v>
      </c>
      <c r="J43" s="201">
        <v>1831.12</v>
      </c>
      <c r="K43" s="199">
        <v>44778.390277777777</v>
      </c>
      <c r="L43" s="201">
        <v>1788.63</v>
      </c>
      <c r="M43" s="203">
        <f t="shared" si="2"/>
        <v>-3.27</v>
      </c>
      <c r="N43" s="204">
        <f t="shared" si="3"/>
        <v>-1</v>
      </c>
      <c r="O43" s="205">
        <f t="shared" si="4"/>
        <v>0</v>
      </c>
      <c r="P43" s="206">
        <f t="shared" si="5"/>
        <v>0</v>
      </c>
      <c r="Q43" s="206">
        <f t="shared" si="6"/>
        <v>-1</v>
      </c>
      <c r="R4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10345</v>
      </c>
      <c r="T4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3" s="208">
        <f ca="1">IF(Tabla33610673489[[#This Row],[Equity]]&lt;Tabla33610673489[[#This Row],[Equity Peak]],(Tabla33610673489[[#This Row],[Equity Peak]]-Tabla33610673489[[#This Row],[Equity]])/Tabla33610673489[[#This Row],[Equity Peak]],"")</f>
        <v>9.1747146619841971E-2</v>
      </c>
      <c r="V43" s="209">
        <f t="shared" si="7"/>
        <v>0</v>
      </c>
      <c r="W43" s="209">
        <f t="shared" si="8"/>
        <v>0</v>
      </c>
      <c r="X43" s="209">
        <f t="shared" si="9"/>
        <v>-1</v>
      </c>
      <c r="Y43" s="209">
        <f t="shared" si="10"/>
        <v>0</v>
      </c>
      <c r="Z43" s="209">
        <f t="shared" si="11"/>
        <v>0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0.51527777777664596</v>
      </c>
      <c r="AE43" s="210">
        <f t="shared" si="16"/>
        <v>0</v>
      </c>
      <c r="AF43" s="210">
        <f t="shared" si="17"/>
        <v>0.51527777777664596</v>
      </c>
      <c r="AG43" s="210">
        <f t="shared" si="18"/>
        <v>0</v>
      </c>
    </row>
    <row r="44" spans="2:33" ht="15" customHeight="1" x14ac:dyDescent="0.3">
      <c r="B44" s="196" t="s">
        <v>19</v>
      </c>
      <c r="C44" s="197" t="s">
        <v>15</v>
      </c>
      <c r="D44" s="198" t="str">
        <f t="shared" si="0"/>
        <v>C</v>
      </c>
      <c r="E44" s="199">
        <v>44775.645833333336</v>
      </c>
      <c r="F44" s="200" t="s">
        <v>88</v>
      </c>
      <c r="G44" s="201">
        <v>1785.34</v>
      </c>
      <c r="H44" s="201">
        <v>1782.54</v>
      </c>
      <c r="I44" s="202">
        <f t="shared" si="1"/>
        <v>2.7999999999999545</v>
      </c>
      <c r="J44" s="201">
        <v>1818.94</v>
      </c>
      <c r="K44" s="199">
        <v>44775.668749999997</v>
      </c>
      <c r="L44" s="201">
        <v>1782.54</v>
      </c>
      <c r="M44" s="203">
        <f t="shared" si="2"/>
        <v>-2.8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10445</v>
      </c>
      <c r="T4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4" s="208">
        <f ca="1">IF(Tabla33610673489[[#This Row],[Equity]]&lt;Tabla33610673489[[#This Row],[Equity Peak]],(Tabla33610673489[[#This Row],[Equity Peak]]-Tabla33610673489[[#This Row],[Equity]])/Tabla33610673489[[#This Row],[Equity Peak]],"")</f>
        <v>8.2967515364354691E-2</v>
      </c>
      <c r="V44" s="209">
        <f t="shared" si="7"/>
        <v>0</v>
      </c>
      <c r="W44" s="209">
        <f t="shared" si="8"/>
        <v>0</v>
      </c>
      <c r="X44" s="209">
        <f t="shared" si="9"/>
        <v>-1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2.2916666661330964E-2</v>
      </c>
      <c r="AE44" s="210">
        <f t="shared" si="16"/>
        <v>0</v>
      </c>
      <c r="AF44" s="210">
        <f t="shared" si="17"/>
        <v>2.2916666661330964E-2</v>
      </c>
      <c r="AG44" s="210">
        <f t="shared" si="18"/>
        <v>0</v>
      </c>
    </row>
    <row r="45" spans="2:33" ht="15" customHeight="1" x14ac:dyDescent="0.3">
      <c r="B45" s="196" t="s">
        <v>19</v>
      </c>
      <c r="C45" s="197" t="s">
        <v>15</v>
      </c>
      <c r="D45" s="198" t="str">
        <f t="shared" si="0"/>
        <v>C</v>
      </c>
      <c r="E45" s="199">
        <v>44775.15625</v>
      </c>
      <c r="F45" s="200" t="s">
        <v>88</v>
      </c>
      <c r="G45" s="201">
        <v>1778.73</v>
      </c>
      <c r="H45" s="201">
        <v>1775.18</v>
      </c>
      <c r="I45" s="202">
        <f t="shared" si="1"/>
        <v>3.5499999999999545</v>
      </c>
      <c r="J45" s="201">
        <v>1821.29</v>
      </c>
      <c r="K45" s="199">
        <v>44775.240277777775</v>
      </c>
      <c r="L45" s="201">
        <v>1775.18</v>
      </c>
      <c r="M45" s="203">
        <f t="shared" si="2"/>
        <v>-3.55</v>
      </c>
      <c r="N45" s="204">
        <f t="shared" si="3"/>
        <v>-1</v>
      </c>
      <c r="O45" s="205">
        <f t="shared" si="4"/>
        <v>0</v>
      </c>
      <c r="P45" s="206">
        <f t="shared" si="5"/>
        <v>0</v>
      </c>
      <c r="Q45" s="206">
        <f t="shared" si="6"/>
        <v>-1</v>
      </c>
      <c r="R4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10545</v>
      </c>
      <c r="T4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5" s="208">
        <f ca="1">IF(Tabla33610673489[[#This Row],[Equity]]&lt;Tabla33610673489[[#This Row],[Equity Peak]],(Tabla33610673489[[#This Row],[Equity Peak]]-Tabla33610673489[[#This Row],[Equity]])/Tabla33610673489[[#This Row],[Equity Peak]],"")</f>
        <v>7.4187884108867425E-2</v>
      </c>
      <c r="V45" s="209">
        <f t="shared" si="7"/>
        <v>0</v>
      </c>
      <c r="W45" s="209">
        <f t="shared" si="8"/>
        <v>0</v>
      </c>
      <c r="X45" s="209">
        <f t="shared" si="9"/>
        <v>-1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8.4027777775190771E-2</v>
      </c>
      <c r="AE45" s="210">
        <f t="shared" si="16"/>
        <v>0</v>
      </c>
      <c r="AF45" s="210">
        <f t="shared" si="17"/>
        <v>8.4027777775190771E-2</v>
      </c>
      <c r="AG45" s="210">
        <f t="shared" si="18"/>
        <v>0</v>
      </c>
    </row>
    <row r="46" spans="2:33" ht="15" customHeight="1" x14ac:dyDescent="0.3">
      <c r="B46" s="196" t="s">
        <v>19</v>
      </c>
      <c r="C46" s="197" t="s">
        <v>15</v>
      </c>
      <c r="D46" s="198" t="str">
        <f t="shared" si="0"/>
        <v>C</v>
      </c>
      <c r="E46" s="199">
        <v>44774.53125</v>
      </c>
      <c r="F46" s="200" t="s">
        <v>88</v>
      </c>
      <c r="G46" s="201">
        <v>1771.03</v>
      </c>
      <c r="H46" s="201">
        <v>1768.37</v>
      </c>
      <c r="I46" s="202">
        <f t="shared" si="1"/>
        <v>2.6600000000000819</v>
      </c>
      <c r="J46" s="201">
        <v>1802.92</v>
      </c>
      <c r="K46" s="199">
        <v>44774.648611111108</v>
      </c>
      <c r="L46" s="201">
        <v>1768.37</v>
      </c>
      <c r="M46" s="203">
        <f t="shared" si="2"/>
        <v>-2.66</v>
      </c>
      <c r="N46" s="204">
        <f t="shared" si="3"/>
        <v>-1</v>
      </c>
      <c r="O46" s="205">
        <f t="shared" si="4"/>
        <v>0</v>
      </c>
      <c r="P46" s="206">
        <f t="shared" si="5"/>
        <v>0</v>
      </c>
      <c r="Q46" s="206">
        <f t="shared" si="6"/>
        <v>-1</v>
      </c>
      <c r="R4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10645</v>
      </c>
      <c r="T4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6" s="208">
        <f ca="1">IF(Tabla33610673489[[#This Row],[Equity]]&lt;Tabla33610673489[[#This Row],[Equity Peak]],(Tabla33610673489[[#This Row],[Equity Peak]]-Tabla33610673489[[#This Row],[Equity]])/Tabla33610673489[[#This Row],[Equity Peak]],"")</f>
        <v>6.5408252853380158E-2</v>
      </c>
      <c r="V46" s="209">
        <f t="shared" si="7"/>
        <v>0</v>
      </c>
      <c r="W46" s="209">
        <f t="shared" si="8"/>
        <v>0</v>
      </c>
      <c r="X46" s="209">
        <f t="shared" si="9"/>
        <v>-1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0.11736111110803904</v>
      </c>
      <c r="AE46" s="210">
        <f t="shared" si="16"/>
        <v>0</v>
      </c>
      <c r="AF46" s="210">
        <f t="shared" si="17"/>
        <v>0.11736111110803904</v>
      </c>
      <c r="AG46" s="210">
        <f t="shared" si="18"/>
        <v>0</v>
      </c>
    </row>
    <row r="47" spans="2:33" ht="15" customHeight="1" x14ac:dyDescent="0.3">
      <c r="B47" s="196" t="s">
        <v>19</v>
      </c>
      <c r="C47" s="197" t="s">
        <v>15</v>
      </c>
      <c r="D47" s="198" t="str">
        <f t="shared" si="0"/>
        <v>C</v>
      </c>
      <c r="E47" s="199">
        <v>44771.260416666664</v>
      </c>
      <c r="F47" s="200" t="s">
        <v>88</v>
      </c>
      <c r="G47" s="201">
        <v>1758.09</v>
      </c>
      <c r="H47" s="201">
        <v>1754.49</v>
      </c>
      <c r="I47" s="202">
        <f t="shared" si="1"/>
        <v>3.5999999999999091</v>
      </c>
      <c r="J47" s="201">
        <v>1801.33</v>
      </c>
      <c r="K47" s="199">
        <v>44771.534722222219</v>
      </c>
      <c r="L47" s="201">
        <v>1757.63</v>
      </c>
      <c r="M47" s="203">
        <f t="shared" si="2"/>
        <v>-0.46</v>
      </c>
      <c r="N47" s="204">
        <f t="shared" si="3"/>
        <v>-0.13</v>
      </c>
      <c r="O47" s="205">
        <f t="shared" si="4"/>
        <v>0</v>
      </c>
      <c r="P47" s="206">
        <f t="shared" si="5"/>
        <v>0</v>
      </c>
      <c r="Q47" s="206">
        <f t="shared" si="6"/>
        <v>-0.13</v>
      </c>
      <c r="R4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10745</v>
      </c>
      <c r="T4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7" s="208">
        <f ca="1">IF(Tabla33610673489[[#This Row],[Equity]]&lt;Tabla33610673489[[#This Row],[Equity Peak]],(Tabla33610673489[[#This Row],[Equity Peak]]-Tabla33610673489[[#This Row],[Equity]])/Tabla33610673489[[#This Row],[Equity Peak]],"")</f>
        <v>5.6628621597892892E-2</v>
      </c>
      <c r="V47" s="209">
        <f t="shared" si="7"/>
        <v>0</v>
      </c>
      <c r="W47" s="209">
        <f t="shared" si="8"/>
        <v>0</v>
      </c>
      <c r="X47" s="209">
        <f t="shared" si="9"/>
        <v>-0.13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0.27430555555474712</v>
      </c>
      <c r="AE47" s="210">
        <f t="shared" si="16"/>
        <v>0</v>
      </c>
      <c r="AF47" s="210">
        <f t="shared" si="17"/>
        <v>0.27430555555474712</v>
      </c>
      <c r="AG47" s="210">
        <f t="shared" si="18"/>
        <v>0</v>
      </c>
    </row>
    <row r="48" spans="2:33" ht="15" customHeight="1" x14ac:dyDescent="0.3">
      <c r="B48" s="196" t="s">
        <v>19</v>
      </c>
      <c r="C48" s="197" t="s">
        <v>15</v>
      </c>
      <c r="D48" s="198" t="str">
        <f t="shared" si="0"/>
        <v>C</v>
      </c>
      <c r="E48" s="199">
        <v>44770.75</v>
      </c>
      <c r="F48" s="200" t="s">
        <v>88</v>
      </c>
      <c r="G48" s="201">
        <v>1755.26</v>
      </c>
      <c r="H48" s="201">
        <v>1751.46</v>
      </c>
      <c r="I48" s="202">
        <f t="shared" si="1"/>
        <v>3.7999999999999545</v>
      </c>
      <c r="J48" s="201">
        <v>1800.91</v>
      </c>
      <c r="K48" s="199">
        <v>44770.803472222222</v>
      </c>
      <c r="L48" s="201">
        <v>1751.46</v>
      </c>
      <c r="M48" s="203">
        <f t="shared" si="2"/>
        <v>-3.8</v>
      </c>
      <c r="N48" s="204">
        <f t="shared" si="3"/>
        <v>-1</v>
      </c>
      <c r="O48" s="205">
        <f t="shared" si="4"/>
        <v>0</v>
      </c>
      <c r="P48" s="206">
        <f t="shared" si="5"/>
        <v>0</v>
      </c>
      <c r="Q48" s="206">
        <f t="shared" si="6"/>
        <v>-1</v>
      </c>
      <c r="R4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10758</v>
      </c>
      <c r="T4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8" s="208">
        <f ca="1">IF(Tabla33610673489[[#This Row],[Equity]]&lt;Tabla33610673489[[#This Row],[Equity Peak]],(Tabla33610673489[[#This Row],[Equity Peak]]-Tabla33610673489[[#This Row],[Equity]])/Tabla33610673489[[#This Row],[Equity Peak]],"")</f>
        <v>5.5487269534679542E-2</v>
      </c>
      <c r="V48" s="209">
        <f t="shared" si="7"/>
        <v>0</v>
      </c>
      <c r="W48" s="209">
        <f t="shared" si="8"/>
        <v>0</v>
      </c>
      <c r="X48" s="209">
        <f t="shared" si="9"/>
        <v>-1</v>
      </c>
      <c r="Y48" s="209">
        <f t="shared" si="10"/>
        <v>0</v>
      </c>
      <c r="Z48" s="209">
        <f t="shared" si="11"/>
        <v>0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5.3472222221898846E-2</v>
      </c>
      <c r="AE48" s="210">
        <f t="shared" si="16"/>
        <v>0</v>
      </c>
      <c r="AF48" s="210">
        <f t="shared" si="17"/>
        <v>5.3472222221898846E-2</v>
      </c>
      <c r="AG48" s="210">
        <f t="shared" si="18"/>
        <v>0</v>
      </c>
    </row>
    <row r="49" spans="2:33" ht="15" customHeight="1" x14ac:dyDescent="0.3">
      <c r="B49" s="196" t="s">
        <v>19</v>
      </c>
      <c r="C49" s="197" t="s">
        <v>15</v>
      </c>
      <c r="D49" s="198" t="str">
        <f t="shared" si="0"/>
        <v>C</v>
      </c>
      <c r="E49" s="199">
        <v>44770.6875</v>
      </c>
      <c r="F49" s="200" t="s">
        <v>88</v>
      </c>
      <c r="G49" s="201">
        <v>1752.62</v>
      </c>
      <c r="H49" s="201">
        <v>1748.9</v>
      </c>
      <c r="I49" s="202">
        <f t="shared" si="1"/>
        <v>3.7199999999997999</v>
      </c>
      <c r="J49" s="201">
        <v>1797.26</v>
      </c>
      <c r="K49" s="199">
        <v>44770.702777777777</v>
      </c>
      <c r="L49" s="201">
        <v>1748.9</v>
      </c>
      <c r="M49" s="203">
        <f t="shared" si="2"/>
        <v>-3.72</v>
      </c>
      <c r="N49" s="204">
        <f t="shared" si="3"/>
        <v>-1</v>
      </c>
      <c r="O49" s="205">
        <f t="shared" si="4"/>
        <v>0</v>
      </c>
      <c r="P49" s="206">
        <f t="shared" si="5"/>
        <v>0</v>
      </c>
      <c r="Q49" s="206">
        <f t="shared" si="6"/>
        <v>-1</v>
      </c>
      <c r="R4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10858</v>
      </c>
      <c r="T4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49" s="208">
        <f ca="1">IF(Tabla33610673489[[#This Row],[Equity]]&lt;Tabla33610673489[[#This Row],[Equity Peak]],(Tabla33610673489[[#This Row],[Equity Peak]]-Tabla33610673489[[#This Row],[Equity]])/Tabla33610673489[[#This Row],[Equity Peak]],"")</f>
        <v>4.6707638279192276E-2</v>
      </c>
      <c r="V49" s="209">
        <f t="shared" si="7"/>
        <v>0</v>
      </c>
      <c r="W49" s="209">
        <f t="shared" si="8"/>
        <v>0</v>
      </c>
      <c r="X49" s="209">
        <f t="shared" si="9"/>
        <v>-1</v>
      </c>
      <c r="Y49" s="209">
        <f t="shared" si="10"/>
        <v>0</v>
      </c>
      <c r="Z49" s="209">
        <f t="shared" si="11"/>
        <v>0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1.5277777776645962E-2</v>
      </c>
      <c r="AE49" s="210">
        <f t="shared" si="16"/>
        <v>0</v>
      </c>
      <c r="AF49" s="210">
        <f t="shared" si="17"/>
        <v>1.5277777776645962E-2</v>
      </c>
      <c r="AG49" s="210">
        <f t="shared" si="18"/>
        <v>0</v>
      </c>
    </row>
    <row r="50" spans="2:33" ht="15" customHeight="1" x14ac:dyDescent="0.3">
      <c r="B50" s="196" t="s">
        <v>19</v>
      </c>
      <c r="C50" s="197" t="s">
        <v>15</v>
      </c>
      <c r="D50" s="198" t="str">
        <f t="shared" ref="D50:D81" si="19">IF(E50&lt;&gt;"",IF(K50&lt;&gt;"","C","O"),"")</f>
        <v>C</v>
      </c>
      <c r="E50" s="199">
        <v>44770.46875</v>
      </c>
      <c r="F50" s="200" t="s">
        <v>88</v>
      </c>
      <c r="G50" s="201">
        <v>1747.42</v>
      </c>
      <c r="H50" s="201">
        <v>1743.79</v>
      </c>
      <c r="I50" s="202">
        <f t="shared" ref="I50:I81" si="20">ABS(G50-H50)</f>
        <v>3.6300000000001091</v>
      </c>
      <c r="J50" s="201">
        <v>1790.96</v>
      </c>
      <c r="K50" s="199">
        <v>44770.534722222219</v>
      </c>
      <c r="L50" s="201">
        <v>1743.79</v>
      </c>
      <c r="M50" s="203">
        <f t="shared" ref="M50:M81" si="21">ROUND(IF(C50="L",(L50-G50),(G50-L50)),4)</f>
        <v>-3.63</v>
      </c>
      <c r="N50" s="204">
        <f t="shared" ref="N50:N81" si="22">IFERROR(ROUND((M50/I50),2),"")</f>
        <v>-1</v>
      </c>
      <c r="O50" s="205">
        <f t="shared" ref="O50:O81" si="23">IF(D50="O",IF(N50&lt;0,N50,0),0)</f>
        <v>0</v>
      </c>
      <c r="P50" s="206">
        <f t="shared" ref="P50:P81" si="24">IF(N50&gt;= 0,N50,0)</f>
        <v>0</v>
      </c>
      <c r="Q50" s="206">
        <f t="shared" ref="Q50:Q81" si="25">IF(N50&lt;0,N50,0)</f>
        <v>-1</v>
      </c>
      <c r="R5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10958</v>
      </c>
      <c r="T5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0" s="208">
        <f ca="1">IF(Tabla33610673489[[#This Row],[Equity]]&lt;Tabla33610673489[[#This Row],[Equity Peak]],(Tabla33610673489[[#This Row],[Equity Peak]]-Tabla33610673489[[#This Row],[Equity]])/Tabla33610673489[[#This Row],[Equity Peak]],"")</f>
        <v>3.7928007023705003E-2</v>
      </c>
      <c r="V50" s="209">
        <f t="shared" ref="V50:V81" si="26">IF(B50="FX",N50,0)</f>
        <v>0</v>
      </c>
      <c r="W50" s="209">
        <f t="shared" ref="W50:W81" si="27">IF(D50="O",IF(V50&lt;0,V50,0),0)</f>
        <v>0</v>
      </c>
      <c r="X50" s="209">
        <f t="shared" ref="X50:X81" si="28">IF(B50="COM",N50,0)</f>
        <v>-1</v>
      </c>
      <c r="Y50" s="209">
        <f t="shared" ref="Y50:Y81" si="29">IF(D50="O",IF(X50&lt;0,X50,0),0)</f>
        <v>0</v>
      </c>
      <c r="Z50" s="209">
        <f t="shared" ref="Z50:Z81" si="30">IF(B50="IND",N50,0)</f>
        <v>0</v>
      </c>
      <c r="AA50" s="205">
        <f t="shared" ref="AA50:AA81" si="31">IF(D50="O",IF(Z50&lt;0,Z50,0),0)</f>
        <v>0</v>
      </c>
      <c r="AB50" s="209">
        <f t="shared" ref="AB50:AB81" si="32">IF(B50="CRYPTO",N50,0)</f>
        <v>0</v>
      </c>
      <c r="AC50" s="205">
        <f t="shared" ref="AC50:AC81" si="33">IF(D50="O",IF(AB50&lt;0,AB50,0),0)</f>
        <v>0</v>
      </c>
      <c r="AD50" s="210">
        <f t="shared" ref="AD50:AD81" si="34">IF(K50&lt;&gt;"",K50-E50,0)</f>
        <v>6.5972222218988463E-2</v>
      </c>
      <c r="AE50" s="210">
        <f t="shared" ref="AE50:AE81" si="35">IF(N50&gt;0,AD50,0)</f>
        <v>0</v>
      </c>
      <c r="AF50" s="210">
        <f t="shared" ref="AF50:AF81" si="36">IF(N50&lt;0,AD50,0)</f>
        <v>6.5972222218988463E-2</v>
      </c>
      <c r="AG50" s="210">
        <f t="shared" ref="AG50:AG81" si="37">IF(N50=0,AD50,0)</f>
        <v>0</v>
      </c>
    </row>
    <row r="51" spans="2:33" ht="15" customHeight="1" x14ac:dyDescent="0.3">
      <c r="B51" s="196" t="s">
        <v>19</v>
      </c>
      <c r="C51" s="197" t="s">
        <v>13</v>
      </c>
      <c r="D51" s="198" t="str">
        <f t="shared" si="19"/>
        <v>C</v>
      </c>
      <c r="E51" s="199">
        <v>44762.958333333336</v>
      </c>
      <c r="F51" s="200" t="s">
        <v>88</v>
      </c>
      <c r="G51" s="201">
        <v>1695.74</v>
      </c>
      <c r="H51" s="201">
        <v>1698.64</v>
      </c>
      <c r="I51" s="202">
        <f t="shared" si="20"/>
        <v>2.9000000000000909</v>
      </c>
      <c r="J51" s="201">
        <v>1660.97</v>
      </c>
      <c r="K51" s="199">
        <v>44763.649305555555</v>
      </c>
      <c r="L51" s="201">
        <v>1694.32</v>
      </c>
      <c r="M51" s="203">
        <f t="shared" si="21"/>
        <v>1.42</v>
      </c>
      <c r="N51" s="204">
        <f t="shared" si="22"/>
        <v>0.49</v>
      </c>
      <c r="O51" s="205">
        <f t="shared" si="23"/>
        <v>0</v>
      </c>
      <c r="P51" s="206">
        <f t="shared" si="24"/>
        <v>0.49</v>
      </c>
      <c r="Q51" s="206">
        <f t="shared" si="25"/>
        <v>0</v>
      </c>
      <c r="R5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11058</v>
      </c>
      <c r="T5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1" s="208">
        <f ca="1">IF(Tabla33610673489[[#This Row],[Equity]]&lt;Tabla33610673489[[#This Row],[Equity Peak]],(Tabla33610673489[[#This Row],[Equity Peak]]-Tabla33610673489[[#This Row],[Equity]])/Tabla33610673489[[#This Row],[Equity Peak]],"")</f>
        <v>2.9148375768217733E-2</v>
      </c>
      <c r="V51" s="209">
        <f t="shared" si="26"/>
        <v>0</v>
      </c>
      <c r="W51" s="209">
        <f t="shared" si="27"/>
        <v>0</v>
      </c>
      <c r="X51" s="209">
        <f t="shared" si="28"/>
        <v>0.49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0.69097222221898846</v>
      </c>
      <c r="AE51" s="210">
        <f t="shared" si="35"/>
        <v>0.69097222221898846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19</v>
      </c>
      <c r="C52" s="197" t="s">
        <v>13</v>
      </c>
      <c r="D52" s="198" t="str">
        <f t="shared" si="19"/>
        <v>C</v>
      </c>
      <c r="E52" s="199">
        <v>44756.677083333336</v>
      </c>
      <c r="F52" s="200" t="s">
        <v>88</v>
      </c>
      <c r="G52" s="201">
        <v>1707.17</v>
      </c>
      <c r="H52" s="201">
        <v>1710.9</v>
      </c>
      <c r="I52" s="202">
        <f t="shared" si="20"/>
        <v>3.7300000000000182</v>
      </c>
      <c r="J52" s="201">
        <v>1662.45</v>
      </c>
      <c r="K52" s="199">
        <v>44756.75</v>
      </c>
      <c r="L52" s="201">
        <v>1710.2</v>
      </c>
      <c r="M52" s="203">
        <f t="shared" si="21"/>
        <v>-3.03</v>
      </c>
      <c r="N52" s="204">
        <f t="shared" si="22"/>
        <v>-0.81</v>
      </c>
      <c r="O52" s="205">
        <f t="shared" si="23"/>
        <v>0</v>
      </c>
      <c r="P52" s="206">
        <f t="shared" si="24"/>
        <v>0</v>
      </c>
      <c r="Q52" s="206">
        <f t="shared" si="25"/>
        <v>-0.81</v>
      </c>
      <c r="R5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11009</v>
      </c>
      <c r="T5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2" s="208">
        <f ca="1">IF(Tabla33610673489[[#This Row],[Equity]]&lt;Tabla33610673489[[#This Row],[Equity Peak]],(Tabla33610673489[[#This Row],[Equity Peak]]-Tabla33610673489[[#This Row],[Equity]])/Tabla33610673489[[#This Row],[Equity Peak]],"")</f>
        <v>3.3450395083406498E-2</v>
      </c>
      <c r="V52" s="209">
        <f t="shared" si="26"/>
        <v>0</v>
      </c>
      <c r="W52" s="209">
        <f t="shared" si="27"/>
        <v>0</v>
      </c>
      <c r="X52" s="209">
        <f t="shared" si="28"/>
        <v>-0.81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7.2916666664241347E-2</v>
      </c>
      <c r="AE52" s="210">
        <f t="shared" si="35"/>
        <v>0</v>
      </c>
      <c r="AF52" s="210">
        <f t="shared" si="36"/>
        <v>7.2916666664241347E-2</v>
      </c>
      <c r="AG52" s="210">
        <f t="shared" si="37"/>
        <v>0</v>
      </c>
    </row>
    <row r="53" spans="2:33" ht="15" customHeight="1" x14ac:dyDescent="0.3">
      <c r="B53" s="196" t="s">
        <v>19</v>
      </c>
      <c r="C53" s="197" t="s">
        <v>13</v>
      </c>
      <c r="D53" s="198" t="str">
        <f t="shared" si="19"/>
        <v>C</v>
      </c>
      <c r="E53" s="199">
        <v>44755.65625</v>
      </c>
      <c r="F53" s="200" t="s">
        <v>88</v>
      </c>
      <c r="G53" s="201">
        <v>1709.18</v>
      </c>
      <c r="H53" s="201">
        <v>1712.02</v>
      </c>
      <c r="I53" s="202">
        <f t="shared" si="20"/>
        <v>2.8399999999999181</v>
      </c>
      <c r="J53" s="201">
        <v>1675.15</v>
      </c>
      <c r="K53" s="199">
        <v>44755.65902777778</v>
      </c>
      <c r="L53" s="201">
        <v>1712.02</v>
      </c>
      <c r="M53" s="203">
        <f t="shared" si="21"/>
        <v>-2.84</v>
      </c>
      <c r="N53" s="204">
        <f t="shared" si="22"/>
        <v>-1</v>
      </c>
      <c r="O53" s="205">
        <f t="shared" si="23"/>
        <v>0</v>
      </c>
      <c r="P53" s="206">
        <f t="shared" si="24"/>
        <v>0</v>
      </c>
      <c r="Q53" s="206">
        <f t="shared" si="25"/>
        <v>-1</v>
      </c>
      <c r="R5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11090</v>
      </c>
      <c r="T5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3" s="208">
        <f ca="1">IF(Tabla33610673489[[#This Row],[Equity]]&lt;Tabla33610673489[[#This Row],[Equity Peak]],(Tabla33610673489[[#This Row],[Equity Peak]]-Tabla33610673489[[#This Row],[Equity]])/Tabla33610673489[[#This Row],[Equity Peak]],"")</f>
        <v>2.6338893766461809E-2</v>
      </c>
      <c r="V53" s="209">
        <f t="shared" si="26"/>
        <v>0</v>
      </c>
      <c r="W53" s="209">
        <f t="shared" si="27"/>
        <v>0</v>
      </c>
      <c r="X53" s="209">
        <f t="shared" si="28"/>
        <v>-1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2.7777777795563452E-3</v>
      </c>
      <c r="AE53" s="210">
        <f t="shared" si="35"/>
        <v>0</v>
      </c>
      <c r="AF53" s="210">
        <f t="shared" si="36"/>
        <v>2.7777777795563452E-3</v>
      </c>
      <c r="AG53" s="210">
        <f t="shared" si="37"/>
        <v>0</v>
      </c>
    </row>
    <row r="54" spans="2:33" ht="15" customHeight="1" x14ac:dyDescent="0.3">
      <c r="B54" s="196" t="s">
        <v>19</v>
      </c>
      <c r="C54" s="197" t="s">
        <v>13</v>
      </c>
      <c r="D54" s="198" t="str">
        <f t="shared" si="19"/>
        <v>C</v>
      </c>
      <c r="E54" s="199">
        <v>44754.177083333336</v>
      </c>
      <c r="F54" s="200" t="s">
        <v>88</v>
      </c>
      <c r="G54" s="201">
        <v>1724.74</v>
      </c>
      <c r="H54" s="201">
        <v>1727.62</v>
      </c>
      <c r="I54" s="202">
        <f t="shared" si="20"/>
        <v>2.8799999999998818</v>
      </c>
      <c r="J54" s="201">
        <v>1690.14</v>
      </c>
      <c r="K54" s="199">
        <v>44754.186805555553</v>
      </c>
      <c r="L54" s="201">
        <v>1727.62</v>
      </c>
      <c r="M54" s="203">
        <f t="shared" si="21"/>
        <v>-2.88</v>
      </c>
      <c r="N54" s="204">
        <f t="shared" si="22"/>
        <v>-1</v>
      </c>
      <c r="O54" s="205">
        <f t="shared" si="23"/>
        <v>0</v>
      </c>
      <c r="P54" s="206">
        <f t="shared" si="24"/>
        <v>0</v>
      </c>
      <c r="Q54" s="206">
        <f t="shared" si="25"/>
        <v>-1</v>
      </c>
      <c r="R5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11190</v>
      </c>
      <c r="T5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4" s="208">
        <f ca="1">IF(Tabla33610673489[[#This Row],[Equity]]&lt;Tabla33610673489[[#This Row],[Equity Peak]],(Tabla33610673489[[#This Row],[Equity Peak]]-Tabla33610673489[[#This Row],[Equity]])/Tabla33610673489[[#This Row],[Equity Peak]],"")</f>
        <v>1.755926251097454E-2</v>
      </c>
      <c r="V54" s="209">
        <f t="shared" si="26"/>
        <v>0</v>
      </c>
      <c r="W54" s="209">
        <f t="shared" si="27"/>
        <v>0</v>
      </c>
      <c r="X54" s="209">
        <f t="shared" si="28"/>
        <v>-1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9.7222222175332718E-3</v>
      </c>
      <c r="AE54" s="210">
        <f t="shared" si="35"/>
        <v>0</v>
      </c>
      <c r="AF54" s="210">
        <f t="shared" si="36"/>
        <v>9.7222222175332718E-3</v>
      </c>
      <c r="AG54" s="210">
        <f t="shared" si="37"/>
        <v>0</v>
      </c>
    </row>
    <row r="55" spans="2:33" ht="15" customHeight="1" x14ac:dyDescent="0.3">
      <c r="B55" s="196" t="s">
        <v>19</v>
      </c>
      <c r="C55" s="197" t="s">
        <v>13</v>
      </c>
      <c r="D55" s="198" t="str">
        <f t="shared" si="19"/>
        <v>C</v>
      </c>
      <c r="E55" s="199">
        <v>44753.947916666664</v>
      </c>
      <c r="F55" s="200" t="s">
        <v>88</v>
      </c>
      <c r="G55" s="201">
        <v>1731.56</v>
      </c>
      <c r="H55" s="201">
        <v>1734.38</v>
      </c>
      <c r="I55" s="202">
        <f t="shared" si="20"/>
        <v>2.8200000000001637</v>
      </c>
      <c r="J55" s="201">
        <v>1697.7</v>
      </c>
      <c r="K55" s="199">
        <v>44754.089583333334</v>
      </c>
      <c r="L55" s="201">
        <v>1734.38</v>
      </c>
      <c r="M55" s="203">
        <f t="shared" si="21"/>
        <v>-2.82</v>
      </c>
      <c r="N55" s="204">
        <f t="shared" si="22"/>
        <v>-1</v>
      </c>
      <c r="O55" s="205">
        <f t="shared" si="23"/>
        <v>0</v>
      </c>
      <c r="P55" s="206">
        <f t="shared" si="24"/>
        <v>0</v>
      </c>
      <c r="Q55" s="206">
        <f t="shared" si="25"/>
        <v>-1</v>
      </c>
      <c r="R5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11290</v>
      </c>
      <c r="T5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5" s="208">
        <f ca="1">IF(Tabla33610673489[[#This Row],[Equity]]&lt;Tabla33610673489[[#This Row],[Equity Peak]],(Tabla33610673489[[#This Row],[Equity Peak]]-Tabla33610673489[[#This Row],[Equity]])/Tabla33610673489[[#This Row],[Equity Peak]],"")</f>
        <v>8.7796312554872698E-3</v>
      </c>
      <c r="V55" s="209">
        <f t="shared" si="26"/>
        <v>0</v>
      </c>
      <c r="W55" s="209">
        <f t="shared" si="27"/>
        <v>0</v>
      </c>
      <c r="X55" s="209">
        <f t="shared" si="28"/>
        <v>-1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0.14166666667006211</v>
      </c>
      <c r="AE55" s="210">
        <f t="shared" si="35"/>
        <v>0</v>
      </c>
      <c r="AF55" s="210">
        <f t="shared" si="36"/>
        <v>0.14166666667006211</v>
      </c>
      <c r="AG55" s="210">
        <f t="shared" si="37"/>
        <v>0</v>
      </c>
    </row>
    <row r="56" spans="2:33" ht="15" customHeight="1" x14ac:dyDescent="0.3">
      <c r="B56" s="196" t="s">
        <v>19</v>
      </c>
      <c r="C56" s="197" t="s">
        <v>13</v>
      </c>
      <c r="D56" s="198" t="str">
        <f t="shared" si="19"/>
        <v>C</v>
      </c>
      <c r="E56" s="199">
        <v>44747.71875</v>
      </c>
      <c r="F56" s="200" t="s">
        <v>88</v>
      </c>
      <c r="G56" s="201">
        <v>1774.43</v>
      </c>
      <c r="H56" s="201">
        <v>1777.69</v>
      </c>
      <c r="I56" s="202">
        <f t="shared" si="20"/>
        <v>3.2599999999999909</v>
      </c>
      <c r="J56" s="201">
        <v>1735.32</v>
      </c>
      <c r="K56" s="199">
        <v>44748.787499999999</v>
      </c>
      <c r="L56" s="201">
        <v>1735.32</v>
      </c>
      <c r="M56" s="203">
        <f t="shared" si="21"/>
        <v>39.11</v>
      </c>
      <c r="N56" s="204">
        <f t="shared" si="22"/>
        <v>12</v>
      </c>
      <c r="O56" s="205">
        <f t="shared" si="23"/>
        <v>0</v>
      </c>
      <c r="P56" s="206">
        <f t="shared" si="24"/>
        <v>12</v>
      </c>
      <c r="Q56" s="206">
        <f t="shared" si="25"/>
        <v>0</v>
      </c>
      <c r="R5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11390</v>
      </c>
      <c r="T5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11390</v>
      </c>
      <c r="U56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56" s="209">
        <f t="shared" si="26"/>
        <v>0</v>
      </c>
      <c r="W56" s="209">
        <f t="shared" si="27"/>
        <v>0</v>
      </c>
      <c r="X56" s="209">
        <f t="shared" si="28"/>
        <v>12</v>
      </c>
      <c r="Y56" s="209">
        <f t="shared" si="29"/>
        <v>0</v>
      </c>
      <c r="Z56" s="209">
        <f t="shared" si="30"/>
        <v>0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1.0687499999985448</v>
      </c>
      <c r="AE56" s="210">
        <f t="shared" si="35"/>
        <v>1.0687499999985448</v>
      </c>
      <c r="AF56" s="210">
        <f t="shared" si="36"/>
        <v>0</v>
      </c>
      <c r="AG56" s="210">
        <f t="shared" si="37"/>
        <v>0</v>
      </c>
    </row>
    <row r="57" spans="2:33" ht="15" customHeight="1" x14ac:dyDescent="0.3">
      <c r="B57" s="196" t="s">
        <v>19</v>
      </c>
      <c r="C57" s="197" t="s">
        <v>13</v>
      </c>
      <c r="D57" s="198" t="str">
        <f t="shared" si="19"/>
        <v>C</v>
      </c>
      <c r="E57" s="199">
        <v>44743.28125</v>
      </c>
      <c r="F57" s="200" t="s">
        <v>88</v>
      </c>
      <c r="G57" s="201">
        <v>1802.66</v>
      </c>
      <c r="H57" s="201">
        <v>1806.67</v>
      </c>
      <c r="I57" s="202">
        <f t="shared" si="20"/>
        <v>4.0099999999999909</v>
      </c>
      <c r="J57" s="201">
        <v>1754.53</v>
      </c>
      <c r="K57" s="199">
        <v>44743.693055555559</v>
      </c>
      <c r="L57" s="201">
        <v>1798.39</v>
      </c>
      <c r="M57" s="203">
        <f t="shared" si="21"/>
        <v>4.2699999999999996</v>
      </c>
      <c r="N57" s="204">
        <f t="shared" si="22"/>
        <v>1.06</v>
      </c>
      <c r="O57" s="205">
        <f t="shared" si="23"/>
        <v>0</v>
      </c>
      <c r="P57" s="206">
        <f t="shared" si="24"/>
        <v>1.06</v>
      </c>
      <c r="Q57" s="206">
        <f t="shared" si="25"/>
        <v>0</v>
      </c>
      <c r="R5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10190</v>
      </c>
      <c r="T5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57" s="208">
        <f ca="1">IF(Tabla33610673489[[#This Row],[Equity]]&lt;Tabla33610673489[[#This Row],[Equity Peak]],(Tabla33610673489[[#This Row],[Equity Peak]]-Tabla33610673489[[#This Row],[Equity]])/Tabla33610673489[[#This Row],[Equity Peak]],"")</f>
        <v>0.10093523910358214</v>
      </c>
      <c r="V57" s="209">
        <f t="shared" si="26"/>
        <v>0</v>
      </c>
      <c r="W57" s="209">
        <f t="shared" si="27"/>
        <v>0</v>
      </c>
      <c r="X57" s="209">
        <f t="shared" si="28"/>
        <v>1.06</v>
      </c>
      <c r="Y57" s="209">
        <f t="shared" si="29"/>
        <v>0</v>
      </c>
      <c r="Z57" s="209">
        <f t="shared" si="30"/>
        <v>0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0.41180555555911269</v>
      </c>
      <c r="AE57" s="210">
        <f t="shared" si="35"/>
        <v>0.41180555555911269</v>
      </c>
      <c r="AF57" s="210">
        <f t="shared" si="36"/>
        <v>0</v>
      </c>
      <c r="AG57" s="210">
        <f t="shared" si="37"/>
        <v>0</v>
      </c>
    </row>
    <row r="58" spans="2:33" ht="15" customHeight="1" x14ac:dyDescent="0.3">
      <c r="B58" s="196" t="s">
        <v>19</v>
      </c>
      <c r="C58" s="197" t="s">
        <v>13</v>
      </c>
      <c r="D58" s="198" t="str">
        <f t="shared" si="19"/>
        <v>C</v>
      </c>
      <c r="E58" s="199">
        <v>44742.614583333336</v>
      </c>
      <c r="F58" s="200" t="s">
        <v>88</v>
      </c>
      <c r="G58" s="201">
        <v>1804.08</v>
      </c>
      <c r="H58" s="201">
        <v>1806.27</v>
      </c>
      <c r="I58" s="202">
        <f t="shared" si="20"/>
        <v>2.1900000000000546</v>
      </c>
      <c r="J58" s="201">
        <v>1777.77</v>
      </c>
      <c r="K58" s="199">
        <v>44742.620138888888</v>
      </c>
      <c r="L58" s="201">
        <v>1806.27</v>
      </c>
      <c r="M58" s="203">
        <f t="shared" si="21"/>
        <v>-2.19</v>
      </c>
      <c r="N58" s="204">
        <f t="shared" si="22"/>
        <v>-1</v>
      </c>
      <c r="O58" s="205">
        <f t="shared" si="23"/>
        <v>0</v>
      </c>
      <c r="P58" s="206">
        <f t="shared" si="24"/>
        <v>0</v>
      </c>
      <c r="Q58" s="206">
        <f t="shared" si="25"/>
        <v>-1</v>
      </c>
      <c r="R5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10084</v>
      </c>
      <c r="T5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58" s="208">
        <f ca="1">IF(Tabla33610673489[[#This Row],[Equity]]&lt;Tabla33610673489[[#This Row],[Equity Peak]],(Tabla33610673489[[#This Row],[Equity Peak]]-Tabla33610673489[[#This Row],[Equity]])/Tabla33610673489[[#This Row],[Equity Peak]],"")</f>
        <v>0.11028763013940357</v>
      </c>
      <c r="V58" s="209">
        <f t="shared" si="26"/>
        <v>0</v>
      </c>
      <c r="W58" s="209">
        <f t="shared" si="27"/>
        <v>0</v>
      </c>
      <c r="X58" s="209">
        <f t="shared" si="28"/>
        <v>-1</v>
      </c>
      <c r="Y58" s="209">
        <f t="shared" si="29"/>
        <v>0</v>
      </c>
      <c r="Z58" s="209">
        <f t="shared" si="30"/>
        <v>0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5.5555555518367328E-3</v>
      </c>
      <c r="AE58" s="210">
        <f t="shared" si="35"/>
        <v>0</v>
      </c>
      <c r="AF58" s="210">
        <f t="shared" si="36"/>
        <v>5.5555555518367328E-3</v>
      </c>
      <c r="AG58" s="210">
        <f t="shared" si="37"/>
        <v>0</v>
      </c>
    </row>
    <row r="59" spans="2:33" ht="15" customHeight="1" x14ac:dyDescent="0.3">
      <c r="B59" s="196" t="s">
        <v>19</v>
      </c>
      <c r="C59" s="197" t="s">
        <v>13</v>
      </c>
      <c r="D59" s="198" t="str">
        <f t="shared" si="19"/>
        <v>C</v>
      </c>
      <c r="E59" s="199">
        <v>44726.90625</v>
      </c>
      <c r="F59" s="200" t="s">
        <v>88</v>
      </c>
      <c r="G59" s="201">
        <v>1808.87</v>
      </c>
      <c r="H59" s="201">
        <v>1812.74</v>
      </c>
      <c r="I59" s="202">
        <f t="shared" si="20"/>
        <v>3.8700000000001182</v>
      </c>
      <c r="J59" s="201">
        <v>1762.45</v>
      </c>
      <c r="K59" s="199">
        <v>44727.175000000003</v>
      </c>
      <c r="L59" s="201">
        <v>1812.74</v>
      </c>
      <c r="M59" s="203">
        <f t="shared" si="21"/>
        <v>-3.87</v>
      </c>
      <c r="N59" s="204">
        <f t="shared" si="22"/>
        <v>-1</v>
      </c>
      <c r="O59" s="205">
        <f t="shared" si="23"/>
        <v>0</v>
      </c>
      <c r="P59" s="206">
        <f t="shared" si="24"/>
        <v>0</v>
      </c>
      <c r="Q59" s="206">
        <f t="shared" si="25"/>
        <v>-1</v>
      </c>
      <c r="R5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10184</v>
      </c>
      <c r="T5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59" s="208">
        <f ca="1">IF(Tabla33610673489[[#This Row],[Equity]]&lt;Tabla33610673489[[#This Row],[Equity Peak]],(Tabla33610673489[[#This Row],[Equity Peak]]-Tabla33610673489[[#This Row],[Equity]])/Tabla33610673489[[#This Row],[Equity Peak]],"")</f>
        <v>0.10146461972825128</v>
      </c>
      <c r="V59" s="209">
        <f t="shared" si="26"/>
        <v>0</v>
      </c>
      <c r="W59" s="209">
        <f t="shared" si="27"/>
        <v>0</v>
      </c>
      <c r="X59" s="209">
        <f t="shared" si="28"/>
        <v>-1</v>
      </c>
      <c r="Y59" s="209">
        <f t="shared" si="29"/>
        <v>0</v>
      </c>
      <c r="Z59" s="209">
        <f t="shared" si="30"/>
        <v>0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0.26875000000291038</v>
      </c>
      <c r="AE59" s="210">
        <f t="shared" si="35"/>
        <v>0</v>
      </c>
      <c r="AF59" s="210">
        <f t="shared" si="36"/>
        <v>0.26875000000291038</v>
      </c>
      <c r="AG59" s="210">
        <f t="shared" si="37"/>
        <v>0</v>
      </c>
    </row>
    <row r="60" spans="2:33" ht="15" customHeight="1" x14ac:dyDescent="0.3">
      <c r="B60" s="196" t="s">
        <v>19</v>
      </c>
      <c r="C60" s="197" t="s">
        <v>13</v>
      </c>
      <c r="D60" s="198" t="str">
        <f t="shared" si="19"/>
        <v>C</v>
      </c>
      <c r="E60" s="199">
        <v>44726.791666666664</v>
      </c>
      <c r="F60" s="200" t="s">
        <v>88</v>
      </c>
      <c r="G60" s="201">
        <v>1810.48</v>
      </c>
      <c r="H60" s="201">
        <v>1814.44</v>
      </c>
      <c r="I60" s="202">
        <f t="shared" si="20"/>
        <v>3.9600000000000364</v>
      </c>
      <c r="J60" s="201">
        <v>1763.01</v>
      </c>
      <c r="K60" s="199">
        <v>44726.824305555558</v>
      </c>
      <c r="L60" s="201">
        <v>1814.44</v>
      </c>
      <c r="M60" s="203">
        <f t="shared" si="21"/>
        <v>-3.96</v>
      </c>
      <c r="N60" s="204">
        <f t="shared" si="22"/>
        <v>-1</v>
      </c>
      <c r="O60" s="205">
        <f t="shared" si="23"/>
        <v>0</v>
      </c>
      <c r="P60" s="206">
        <f t="shared" si="24"/>
        <v>0</v>
      </c>
      <c r="Q60" s="206">
        <f t="shared" si="25"/>
        <v>-1</v>
      </c>
      <c r="R6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10284</v>
      </c>
      <c r="T6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0" s="208">
        <f ca="1">IF(Tabla33610673489[[#This Row],[Equity]]&lt;Tabla33610673489[[#This Row],[Equity Peak]],(Tabla33610673489[[#This Row],[Equity Peak]]-Tabla33610673489[[#This Row],[Equity]])/Tabla33610673489[[#This Row],[Equity Peak]],"")</f>
        <v>9.2641609317099E-2</v>
      </c>
      <c r="V60" s="209">
        <f t="shared" si="26"/>
        <v>0</v>
      </c>
      <c r="W60" s="209">
        <f t="shared" si="27"/>
        <v>0</v>
      </c>
      <c r="X60" s="209">
        <f t="shared" si="28"/>
        <v>-1</v>
      </c>
      <c r="Y60" s="209">
        <f t="shared" si="29"/>
        <v>0</v>
      </c>
      <c r="Z60" s="209">
        <f t="shared" si="30"/>
        <v>0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3.2638888893416151E-2</v>
      </c>
      <c r="AE60" s="210">
        <f t="shared" si="35"/>
        <v>0</v>
      </c>
      <c r="AF60" s="210">
        <f t="shared" si="36"/>
        <v>3.2638888893416151E-2</v>
      </c>
      <c r="AG60" s="210">
        <f t="shared" si="37"/>
        <v>0</v>
      </c>
    </row>
    <row r="61" spans="2:33" ht="15" customHeight="1" x14ac:dyDescent="0.3">
      <c r="B61" s="196" t="s">
        <v>19</v>
      </c>
      <c r="C61" s="197" t="s">
        <v>13</v>
      </c>
      <c r="D61" s="198" t="str">
        <f t="shared" si="19"/>
        <v>C</v>
      </c>
      <c r="E61" s="199">
        <v>44725.927083333336</v>
      </c>
      <c r="F61" s="200" t="s">
        <v>88</v>
      </c>
      <c r="G61" s="201">
        <v>1822.47</v>
      </c>
      <c r="H61" s="201">
        <v>1826.97</v>
      </c>
      <c r="I61" s="202">
        <f t="shared" si="20"/>
        <v>4.5</v>
      </c>
      <c r="J61" s="201">
        <v>1768.43</v>
      </c>
      <c r="K61" s="199">
        <v>44726.245833333334</v>
      </c>
      <c r="L61" s="201">
        <v>1826.97</v>
      </c>
      <c r="M61" s="203">
        <f t="shared" si="21"/>
        <v>-4.5</v>
      </c>
      <c r="N61" s="204">
        <f t="shared" si="22"/>
        <v>-1</v>
      </c>
      <c r="O61" s="205">
        <f t="shared" si="23"/>
        <v>0</v>
      </c>
      <c r="P61" s="206">
        <f t="shared" si="24"/>
        <v>0</v>
      </c>
      <c r="Q61" s="206">
        <f t="shared" si="25"/>
        <v>-1</v>
      </c>
      <c r="R6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10384</v>
      </c>
      <c r="T6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1" s="208">
        <f ca="1">IF(Tabla33610673489[[#This Row],[Equity]]&lt;Tabla33610673489[[#This Row],[Equity Peak]],(Tabla33610673489[[#This Row],[Equity Peak]]-Tabla33610673489[[#This Row],[Equity]])/Tabla33610673489[[#This Row],[Equity Peak]],"")</f>
        <v>8.3818598905946715E-2</v>
      </c>
      <c r="V61" s="209">
        <f t="shared" si="26"/>
        <v>0</v>
      </c>
      <c r="W61" s="209">
        <f t="shared" si="27"/>
        <v>0</v>
      </c>
      <c r="X61" s="209">
        <f t="shared" si="28"/>
        <v>-1</v>
      </c>
      <c r="Y61" s="209">
        <f t="shared" si="29"/>
        <v>0</v>
      </c>
      <c r="Z61" s="209">
        <f t="shared" si="30"/>
        <v>0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0.31874999999854481</v>
      </c>
      <c r="AE61" s="210">
        <f t="shared" si="35"/>
        <v>0</v>
      </c>
      <c r="AF61" s="210">
        <f t="shared" si="36"/>
        <v>0.31874999999854481</v>
      </c>
      <c r="AG61" s="210">
        <f t="shared" si="37"/>
        <v>0</v>
      </c>
    </row>
    <row r="62" spans="2:33" ht="15" customHeight="1" x14ac:dyDescent="0.3">
      <c r="B62" s="196" t="s">
        <v>19</v>
      </c>
      <c r="C62" s="197" t="s">
        <v>15</v>
      </c>
      <c r="D62" s="198" t="str">
        <f t="shared" si="19"/>
        <v>C</v>
      </c>
      <c r="E62" s="199">
        <v>44725.052083333336</v>
      </c>
      <c r="F62" s="200" t="s">
        <v>88</v>
      </c>
      <c r="G62" s="201">
        <v>1877.89</v>
      </c>
      <c r="H62" s="201">
        <v>1873.11</v>
      </c>
      <c r="I62" s="202">
        <f t="shared" si="20"/>
        <v>4.7800000000002001</v>
      </c>
      <c r="J62" s="201">
        <v>1935.22</v>
      </c>
      <c r="K62" s="199">
        <v>44725.154861111114</v>
      </c>
      <c r="L62" s="201">
        <v>1873.11</v>
      </c>
      <c r="M62" s="203">
        <f t="shared" si="21"/>
        <v>-4.78</v>
      </c>
      <c r="N62" s="204">
        <f t="shared" si="22"/>
        <v>-1</v>
      </c>
      <c r="O62" s="205">
        <f t="shared" si="23"/>
        <v>0</v>
      </c>
      <c r="P62" s="206">
        <f t="shared" si="24"/>
        <v>0</v>
      </c>
      <c r="Q62" s="206">
        <f t="shared" si="25"/>
        <v>-1</v>
      </c>
      <c r="R6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10484</v>
      </c>
      <c r="T6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2" s="208">
        <f ca="1">IF(Tabla33610673489[[#This Row],[Equity]]&lt;Tabla33610673489[[#This Row],[Equity Peak]],(Tabla33610673489[[#This Row],[Equity Peak]]-Tabla33610673489[[#This Row],[Equity]])/Tabla33610673489[[#This Row],[Equity Peak]],"")</f>
        <v>7.499558849479443E-2</v>
      </c>
      <c r="V62" s="209">
        <f t="shared" si="26"/>
        <v>0</v>
      </c>
      <c r="W62" s="209">
        <f t="shared" si="27"/>
        <v>0</v>
      </c>
      <c r="X62" s="209">
        <f t="shared" si="28"/>
        <v>-1</v>
      </c>
      <c r="Y62" s="209">
        <f t="shared" si="29"/>
        <v>0</v>
      </c>
      <c r="Z62" s="209">
        <f t="shared" si="30"/>
        <v>0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0.10277777777810115</v>
      </c>
      <c r="AE62" s="210">
        <f t="shared" si="35"/>
        <v>0</v>
      </c>
      <c r="AF62" s="210">
        <f t="shared" si="36"/>
        <v>0.10277777777810115</v>
      </c>
      <c r="AG62" s="210">
        <f t="shared" si="37"/>
        <v>0</v>
      </c>
    </row>
    <row r="63" spans="2:33" ht="15" customHeight="1" x14ac:dyDescent="0.3">
      <c r="B63" s="196" t="s">
        <v>19</v>
      </c>
      <c r="C63" s="197" t="s">
        <v>15</v>
      </c>
      <c r="D63" s="198" t="str">
        <f t="shared" si="19"/>
        <v>C</v>
      </c>
      <c r="E63" s="199">
        <v>44722.8125</v>
      </c>
      <c r="F63" s="200" t="s">
        <v>88</v>
      </c>
      <c r="G63" s="201">
        <v>1874.71</v>
      </c>
      <c r="H63" s="201">
        <v>1870.42</v>
      </c>
      <c r="I63" s="202">
        <f t="shared" si="20"/>
        <v>4.2899999999999636</v>
      </c>
      <c r="J63" s="201">
        <v>1926.18</v>
      </c>
      <c r="K63" s="199">
        <v>44722.829861111109</v>
      </c>
      <c r="L63" s="201">
        <v>1870.42</v>
      </c>
      <c r="M63" s="203">
        <f t="shared" si="21"/>
        <v>-4.29</v>
      </c>
      <c r="N63" s="204">
        <f t="shared" si="22"/>
        <v>-1</v>
      </c>
      <c r="O63" s="205">
        <f t="shared" si="23"/>
        <v>0</v>
      </c>
      <c r="P63" s="206">
        <f t="shared" si="24"/>
        <v>0</v>
      </c>
      <c r="Q63" s="206">
        <f t="shared" si="25"/>
        <v>-1</v>
      </c>
      <c r="R6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10584</v>
      </c>
      <c r="T6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3" s="208">
        <f ca="1">IF(Tabla33610673489[[#This Row],[Equity]]&lt;Tabla33610673489[[#This Row],[Equity Peak]],(Tabla33610673489[[#This Row],[Equity Peak]]-Tabla33610673489[[#This Row],[Equity]])/Tabla33610673489[[#This Row],[Equity Peak]],"")</f>
        <v>6.6172578083642145E-2</v>
      </c>
      <c r="V63" s="209">
        <f t="shared" si="26"/>
        <v>0</v>
      </c>
      <c r="W63" s="209">
        <f t="shared" si="27"/>
        <v>0</v>
      </c>
      <c r="X63" s="209">
        <f t="shared" si="28"/>
        <v>-1</v>
      </c>
      <c r="Y63" s="209">
        <f t="shared" si="29"/>
        <v>0</v>
      </c>
      <c r="Z63" s="209">
        <f t="shared" si="30"/>
        <v>0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1.7361111109494232E-2</v>
      </c>
      <c r="AE63" s="210">
        <f t="shared" si="35"/>
        <v>0</v>
      </c>
      <c r="AF63" s="210">
        <f t="shared" si="36"/>
        <v>1.7361111109494232E-2</v>
      </c>
      <c r="AG63" s="210">
        <f t="shared" si="37"/>
        <v>0</v>
      </c>
    </row>
    <row r="64" spans="2:33" ht="15" customHeight="1" x14ac:dyDescent="0.3">
      <c r="B64" s="196" t="s">
        <v>19</v>
      </c>
      <c r="C64" s="197" t="s">
        <v>15</v>
      </c>
      <c r="D64" s="198" t="str">
        <f t="shared" si="19"/>
        <v>C</v>
      </c>
      <c r="E64" s="199">
        <v>44715.15625</v>
      </c>
      <c r="F64" s="200" t="s">
        <v>88</v>
      </c>
      <c r="G64" s="201">
        <v>1871.41</v>
      </c>
      <c r="H64" s="201">
        <v>1868.53</v>
      </c>
      <c r="I64" s="202">
        <f t="shared" si="20"/>
        <v>2.8800000000001091</v>
      </c>
      <c r="J64" s="201">
        <v>1906</v>
      </c>
      <c r="K64" s="199">
        <v>44715.267361111109</v>
      </c>
      <c r="L64" s="201">
        <v>1868.53</v>
      </c>
      <c r="M64" s="203">
        <f t="shared" si="21"/>
        <v>-2.88</v>
      </c>
      <c r="N64" s="204">
        <f t="shared" si="22"/>
        <v>-1</v>
      </c>
      <c r="O64" s="205">
        <f t="shared" si="23"/>
        <v>0</v>
      </c>
      <c r="P64" s="206">
        <f t="shared" si="24"/>
        <v>0</v>
      </c>
      <c r="Q64" s="206">
        <f t="shared" si="25"/>
        <v>-1</v>
      </c>
      <c r="R6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10684</v>
      </c>
      <c r="T6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4" s="208">
        <f ca="1">IF(Tabla33610673489[[#This Row],[Equity]]&lt;Tabla33610673489[[#This Row],[Equity Peak]],(Tabla33610673489[[#This Row],[Equity Peak]]-Tabla33610673489[[#This Row],[Equity]])/Tabla33610673489[[#This Row],[Equity Peak]],"")</f>
        <v>5.7349567672489853E-2</v>
      </c>
      <c r="V64" s="209">
        <f t="shared" si="26"/>
        <v>0</v>
      </c>
      <c r="W64" s="209">
        <f t="shared" si="27"/>
        <v>0</v>
      </c>
      <c r="X64" s="209">
        <f t="shared" si="28"/>
        <v>-1</v>
      </c>
      <c r="Y64" s="209">
        <f t="shared" si="29"/>
        <v>0</v>
      </c>
      <c r="Z64" s="209">
        <f t="shared" si="30"/>
        <v>0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0.11111111110949423</v>
      </c>
      <c r="AE64" s="210">
        <f t="shared" si="35"/>
        <v>0</v>
      </c>
      <c r="AF64" s="210">
        <f t="shared" si="36"/>
        <v>0.11111111110949423</v>
      </c>
      <c r="AG64" s="210">
        <f t="shared" si="37"/>
        <v>0</v>
      </c>
    </row>
    <row r="65" spans="2:33" ht="15" customHeight="1" x14ac:dyDescent="0.3">
      <c r="B65" s="196" t="s">
        <v>19</v>
      </c>
      <c r="C65" s="197" t="s">
        <v>15</v>
      </c>
      <c r="D65" s="198" t="str">
        <f t="shared" si="19"/>
        <v>C</v>
      </c>
      <c r="E65" s="199">
        <v>44714.802083333336</v>
      </c>
      <c r="F65" s="200" t="s">
        <v>88</v>
      </c>
      <c r="G65" s="201">
        <v>1869.91</v>
      </c>
      <c r="H65" s="201">
        <v>1866.94</v>
      </c>
      <c r="I65" s="202">
        <f t="shared" si="20"/>
        <v>2.9700000000000273</v>
      </c>
      <c r="J65" s="201">
        <v>1905.52</v>
      </c>
      <c r="K65" s="199">
        <v>44714.842361111114</v>
      </c>
      <c r="L65" s="201">
        <v>1866.94</v>
      </c>
      <c r="M65" s="203">
        <f t="shared" si="21"/>
        <v>-2.97</v>
      </c>
      <c r="N65" s="204">
        <f t="shared" si="22"/>
        <v>-1</v>
      </c>
      <c r="O65" s="205">
        <f t="shared" si="23"/>
        <v>0</v>
      </c>
      <c r="P65" s="206">
        <f t="shared" si="24"/>
        <v>0</v>
      </c>
      <c r="Q65" s="206">
        <f t="shared" si="25"/>
        <v>-1</v>
      </c>
      <c r="R6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10784</v>
      </c>
      <c r="T6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5" s="208">
        <f ca="1">IF(Tabla33610673489[[#This Row],[Equity]]&lt;Tabla33610673489[[#This Row],[Equity Peak]],(Tabla33610673489[[#This Row],[Equity Peak]]-Tabla33610673489[[#This Row],[Equity]])/Tabla33610673489[[#This Row],[Equity Peak]],"")</f>
        <v>4.8526557261337568E-2</v>
      </c>
      <c r="V65" s="209">
        <f t="shared" si="26"/>
        <v>0</v>
      </c>
      <c r="W65" s="209">
        <f t="shared" si="27"/>
        <v>0</v>
      </c>
      <c r="X65" s="209">
        <f t="shared" si="28"/>
        <v>-1</v>
      </c>
      <c r="Y65" s="209">
        <f t="shared" si="29"/>
        <v>0</v>
      </c>
      <c r="Z65" s="209">
        <f t="shared" si="30"/>
        <v>0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4.0277777778101154E-2</v>
      </c>
      <c r="AE65" s="210">
        <f t="shared" si="35"/>
        <v>0</v>
      </c>
      <c r="AF65" s="210">
        <f t="shared" si="36"/>
        <v>4.0277777778101154E-2</v>
      </c>
      <c r="AG65" s="210">
        <f t="shared" si="37"/>
        <v>0</v>
      </c>
    </row>
    <row r="66" spans="2:33" ht="15" customHeight="1" x14ac:dyDescent="0.3">
      <c r="B66" s="196" t="s">
        <v>19</v>
      </c>
      <c r="C66" s="197" t="s">
        <v>13</v>
      </c>
      <c r="D66" s="198" t="str">
        <f t="shared" si="19"/>
        <v>C</v>
      </c>
      <c r="E66" s="199">
        <v>44693.833333333336</v>
      </c>
      <c r="F66" s="200" t="s">
        <v>88</v>
      </c>
      <c r="G66" s="201">
        <v>1825.55</v>
      </c>
      <c r="H66" s="201">
        <v>1830.43</v>
      </c>
      <c r="I66" s="202">
        <f t="shared" si="20"/>
        <v>4.8800000000001091</v>
      </c>
      <c r="J66" s="201">
        <v>1767.04</v>
      </c>
      <c r="K66" s="199">
        <v>44697.71597222222</v>
      </c>
      <c r="L66" s="201">
        <v>1811.12</v>
      </c>
      <c r="M66" s="203">
        <f t="shared" si="21"/>
        <v>14.43</v>
      </c>
      <c r="N66" s="204">
        <f t="shared" si="22"/>
        <v>2.96</v>
      </c>
      <c r="O66" s="205">
        <f t="shared" si="23"/>
        <v>0</v>
      </c>
      <c r="P66" s="206">
        <f t="shared" si="24"/>
        <v>2.96</v>
      </c>
      <c r="Q66" s="206">
        <f t="shared" si="25"/>
        <v>0</v>
      </c>
      <c r="R6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10884</v>
      </c>
      <c r="T6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6" s="208">
        <f ca="1">IF(Tabla33610673489[[#This Row],[Equity]]&lt;Tabla33610673489[[#This Row],[Equity Peak]],(Tabla33610673489[[#This Row],[Equity Peak]]-Tabla33610673489[[#This Row],[Equity]])/Tabla33610673489[[#This Row],[Equity Peak]],"")</f>
        <v>3.9703546850185283E-2</v>
      </c>
      <c r="V66" s="209">
        <f t="shared" si="26"/>
        <v>0</v>
      </c>
      <c r="W66" s="209">
        <f t="shared" si="27"/>
        <v>0</v>
      </c>
      <c r="X66" s="209">
        <f t="shared" si="28"/>
        <v>2.96</v>
      </c>
      <c r="Y66" s="209">
        <f t="shared" si="29"/>
        <v>0</v>
      </c>
      <c r="Z66" s="209">
        <f t="shared" si="30"/>
        <v>0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3.882638888884685</v>
      </c>
      <c r="AE66" s="210">
        <f t="shared" si="35"/>
        <v>3.882638888884685</v>
      </c>
      <c r="AF66" s="210">
        <f t="shared" si="36"/>
        <v>0</v>
      </c>
      <c r="AG66" s="210">
        <f t="shared" si="37"/>
        <v>0</v>
      </c>
    </row>
    <row r="67" spans="2:33" ht="15" customHeight="1" x14ac:dyDescent="0.3">
      <c r="B67" s="196" t="s">
        <v>19</v>
      </c>
      <c r="C67" s="197" t="s">
        <v>13</v>
      </c>
      <c r="D67" s="198" t="str">
        <f t="shared" si="19"/>
        <v>C</v>
      </c>
      <c r="E67" s="199">
        <v>44691.75</v>
      </c>
      <c r="F67" s="200" t="s">
        <v>88</v>
      </c>
      <c r="G67" s="201">
        <v>1849.93</v>
      </c>
      <c r="H67" s="201">
        <v>1853.63</v>
      </c>
      <c r="I67" s="202">
        <f t="shared" si="20"/>
        <v>3.7000000000000455</v>
      </c>
      <c r="J67" s="201">
        <v>1805.52</v>
      </c>
      <c r="K67" s="199">
        <v>44692.427083333336</v>
      </c>
      <c r="L67" s="201">
        <v>1850.1</v>
      </c>
      <c r="M67" s="203">
        <f t="shared" si="21"/>
        <v>-0.17</v>
      </c>
      <c r="N67" s="204">
        <f t="shared" si="22"/>
        <v>-0.05</v>
      </c>
      <c r="O67" s="205">
        <f t="shared" si="23"/>
        <v>0</v>
      </c>
      <c r="P67" s="206">
        <f t="shared" si="24"/>
        <v>0</v>
      </c>
      <c r="Q67" s="206">
        <f t="shared" si="25"/>
        <v>-0.05</v>
      </c>
      <c r="R6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10588</v>
      </c>
      <c r="T6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7" s="208">
        <f ca="1">IF(Tabla33610673489[[#This Row],[Equity]]&lt;Tabla33610673489[[#This Row],[Equity Peak]],(Tabla33610673489[[#This Row],[Equity Peak]]-Tabla33610673489[[#This Row],[Equity]])/Tabla33610673489[[#This Row],[Equity Peak]],"")</f>
        <v>6.5819657667196052E-2</v>
      </c>
      <c r="V67" s="209">
        <f t="shared" si="26"/>
        <v>0</v>
      </c>
      <c r="W67" s="209">
        <f t="shared" si="27"/>
        <v>0</v>
      </c>
      <c r="X67" s="209">
        <f t="shared" si="28"/>
        <v>-0.05</v>
      </c>
      <c r="Y67" s="209">
        <f t="shared" si="29"/>
        <v>0</v>
      </c>
      <c r="Z67" s="209">
        <f t="shared" si="30"/>
        <v>0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0.67708333333575865</v>
      </c>
      <c r="AE67" s="210">
        <f t="shared" si="35"/>
        <v>0</v>
      </c>
      <c r="AF67" s="210">
        <f t="shared" si="36"/>
        <v>0.67708333333575865</v>
      </c>
      <c r="AG67" s="210">
        <f t="shared" si="37"/>
        <v>0</v>
      </c>
    </row>
    <row r="68" spans="2:33" ht="15" customHeight="1" x14ac:dyDescent="0.3">
      <c r="B68" s="196" t="s">
        <v>19</v>
      </c>
      <c r="C68" s="197" t="s">
        <v>13</v>
      </c>
      <c r="D68" s="198" t="str">
        <f t="shared" si="19"/>
        <v>C</v>
      </c>
      <c r="E68" s="199">
        <v>44684.489583333336</v>
      </c>
      <c r="F68" s="200" t="s">
        <v>88</v>
      </c>
      <c r="G68" s="201">
        <v>1852.19</v>
      </c>
      <c r="H68" s="201">
        <v>1855.73</v>
      </c>
      <c r="I68" s="202">
        <f t="shared" si="20"/>
        <v>3.5399999999999636</v>
      </c>
      <c r="J68" s="201">
        <v>1809.72</v>
      </c>
      <c r="K68" s="199">
        <v>44684.509027777778</v>
      </c>
      <c r="L68" s="201">
        <v>1855.73</v>
      </c>
      <c r="M68" s="203">
        <f t="shared" si="21"/>
        <v>-3.54</v>
      </c>
      <c r="N68" s="204">
        <f t="shared" si="22"/>
        <v>-1</v>
      </c>
      <c r="O68" s="205">
        <f t="shared" si="23"/>
        <v>0</v>
      </c>
      <c r="P68" s="206">
        <f t="shared" si="24"/>
        <v>0</v>
      </c>
      <c r="Q68" s="206">
        <f t="shared" si="25"/>
        <v>-1</v>
      </c>
      <c r="R6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10593</v>
      </c>
      <c r="T6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8" s="208">
        <f ca="1">IF(Tabla33610673489[[#This Row],[Equity]]&lt;Tabla33610673489[[#This Row],[Equity Peak]],(Tabla33610673489[[#This Row],[Equity Peak]]-Tabla33610673489[[#This Row],[Equity]])/Tabla33610673489[[#This Row],[Equity Peak]],"")</f>
        <v>6.537850714663844E-2</v>
      </c>
      <c r="V68" s="209">
        <f t="shared" si="26"/>
        <v>0</v>
      </c>
      <c r="W68" s="209">
        <f t="shared" si="27"/>
        <v>0</v>
      </c>
      <c r="X68" s="209">
        <f t="shared" si="28"/>
        <v>-1</v>
      </c>
      <c r="Y68" s="209">
        <f t="shared" si="29"/>
        <v>0</v>
      </c>
      <c r="Z68" s="209">
        <f t="shared" si="30"/>
        <v>0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1.9444444442342501E-2</v>
      </c>
      <c r="AE68" s="210">
        <f t="shared" si="35"/>
        <v>0</v>
      </c>
      <c r="AF68" s="210">
        <f t="shared" si="36"/>
        <v>1.9444444442342501E-2</v>
      </c>
      <c r="AG68" s="210">
        <f t="shared" si="37"/>
        <v>0</v>
      </c>
    </row>
    <row r="69" spans="2:33" ht="15" customHeight="1" x14ac:dyDescent="0.3">
      <c r="B69" s="196" t="s">
        <v>19</v>
      </c>
      <c r="C69" s="197" t="s">
        <v>13</v>
      </c>
      <c r="D69" s="198" t="str">
        <f t="shared" si="19"/>
        <v>C</v>
      </c>
      <c r="E69" s="199">
        <v>44684.427083333336</v>
      </c>
      <c r="F69" s="200" t="s">
        <v>88</v>
      </c>
      <c r="G69" s="201">
        <v>1853.93</v>
      </c>
      <c r="H69" s="201">
        <v>1857.59</v>
      </c>
      <c r="I69" s="202">
        <f t="shared" si="20"/>
        <v>3.6599999999998545</v>
      </c>
      <c r="J69" s="201">
        <v>1809.99</v>
      </c>
      <c r="K69" s="199">
        <v>44684.431944444441</v>
      </c>
      <c r="L69" s="201">
        <v>1857.59</v>
      </c>
      <c r="M69" s="203">
        <f t="shared" si="21"/>
        <v>-3.66</v>
      </c>
      <c r="N69" s="204">
        <f t="shared" si="22"/>
        <v>-1</v>
      </c>
      <c r="O69" s="205">
        <f t="shared" si="23"/>
        <v>0</v>
      </c>
      <c r="P69" s="206">
        <f t="shared" si="24"/>
        <v>0</v>
      </c>
      <c r="Q69" s="206">
        <f t="shared" si="25"/>
        <v>-1</v>
      </c>
      <c r="R6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10693</v>
      </c>
      <c r="T6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69" s="208">
        <f ca="1">IF(Tabla33610673489[[#This Row],[Equity]]&lt;Tabla33610673489[[#This Row],[Equity Peak]],(Tabla33610673489[[#This Row],[Equity Peak]]-Tabla33610673489[[#This Row],[Equity]])/Tabla33610673489[[#This Row],[Equity Peak]],"")</f>
        <v>5.6555496735486148E-2</v>
      </c>
      <c r="V69" s="209">
        <f t="shared" si="26"/>
        <v>0</v>
      </c>
      <c r="W69" s="209">
        <f t="shared" si="27"/>
        <v>0</v>
      </c>
      <c r="X69" s="209">
        <f t="shared" si="28"/>
        <v>-1</v>
      </c>
      <c r="Y69" s="209">
        <f t="shared" si="29"/>
        <v>0</v>
      </c>
      <c r="Z69" s="209">
        <f t="shared" si="30"/>
        <v>0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4.8611111051286571E-3</v>
      </c>
      <c r="AE69" s="210">
        <f t="shared" si="35"/>
        <v>0</v>
      </c>
      <c r="AF69" s="210">
        <f t="shared" si="36"/>
        <v>4.8611111051286571E-3</v>
      </c>
      <c r="AG69" s="210">
        <f t="shared" si="37"/>
        <v>0</v>
      </c>
    </row>
    <row r="70" spans="2:33" ht="15" customHeight="1" x14ac:dyDescent="0.3">
      <c r="B70" s="196" t="s">
        <v>19</v>
      </c>
      <c r="C70" s="197" t="s">
        <v>13</v>
      </c>
      <c r="D70" s="198" t="str">
        <f t="shared" si="19"/>
        <v>C</v>
      </c>
      <c r="E70" s="199">
        <v>44683.65625</v>
      </c>
      <c r="F70" s="200" t="s">
        <v>88</v>
      </c>
      <c r="G70" s="201">
        <v>1865.29</v>
      </c>
      <c r="H70" s="201">
        <v>1869.29</v>
      </c>
      <c r="I70" s="202">
        <f t="shared" si="20"/>
        <v>4</v>
      </c>
      <c r="J70" s="201">
        <v>1817.24</v>
      </c>
      <c r="K70" s="199">
        <v>44683.779166666667</v>
      </c>
      <c r="L70" s="201">
        <v>1868.8</v>
      </c>
      <c r="M70" s="203">
        <f t="shared" si="21"/>
        <v>-3.51</v>
      </c>
      <c r="N70" s="204">
        <f t="shared" si="22"/>
        <v>-0.88</v>
      </c>
      <c r="O70" s="205">
        <f t="shared" si="23"/>
        <v>0</v>
      </c>
      <c r="P70" s="206">
        <f t="shared" si="24"/>
        <v>0</v>
      </c>
      <c r="Q70" s="206">
        <f t="shared" si="25"/>
        <v>-0.88</v>
      </c>
      <c r="R7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10793</v>
      </c>
      <c r="T7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0" s="208">
        <f ca="1">IF(Tabla33610673489[[#This Row],[Equity]]&lt;Tabla33610673489[[#This Row],[Equity Peak]],(Tabla33610673489[[#This Row],[Equity Peak]]-Tabla33610673489[[#This Row],[Equity]])/Tabla33610673489[[#This Row],[Equity Peak]],"")</f>
        <v>4.7732486324333863E-2</v>
      </c>
      <c r="V70" s="209">
        <f t="shared" si="26"/>
        <v>0</v>
      </c>
      <c r="W70" s="209">
        <f t="shared" si="27"/>
        <v>0</v>
      </c>
      <c r="X70" s="209">
        <f t="shared" si="28"/>
        <v>-0.88</v>
      </c>
      <c r="Y70" s="209">
        <f t="shared" si="29"/>
        <v>0</v>
      </c>
      <c r="Z70" s="209">
        <f t="shared" si="30"/>
        <v>0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0.12291666666715173</v>
      </c>
      <c r="AE70" s="210">
        <f t="shared" si="35"/>
        <v>0</v>
      </c>
      <c r="AF70" s="210">
        <f t="shared" si="36"/>
        <v>0.12291666666715173</v>
      </c>
      <c r="AG70" s="210">
        <f t="shared" si="37"/>
        <v>0</v>
      </c>
    </row>
    <row r="71" spans="2:33" ht="15" customHeight="1" x14ac:dyDescent="0.3">
      <c r="B71" s="196" t="s">
        <v>19</v>
      </c>
      <c r="C71" s="197" t="s">
        <v>13</v>
      </c>
      <c r="D71" s="198" t="str">
        <f t="shared" si="19"/>
        <v>C</v>
      </c>
      <c r="E71" s="199">
        <v>44676.572916666664</v>
      </c>
      <c r="F71" s="200" t="s">
        <v>88</v>
      </c>
      <c r="G71" s="201">
        <v>1911.23</v>
      </c>
      <c r="H71" s="201">
        <v>1915.25</v>
      </c>
      <c r="I71" s="202">
        <f t="shared" si="20"/>
        <v>4.0199999999999818</v>
      </c>
      <c r="J71" s="201">
        <v>1863.03</v>
      </c>
      <c r="K71" s="199">
        <v>44679.532638888886</v>
      </c>
      <c r="L71" s="201">
        <v>1891.18</v>
      </c>
      <c r="M71" s="203">
        <f t="shared" si="21"/>
        <v>20.05</v>
      </c>
      <c r="N71" s="204">
        <f t="shared" si="22"/>
        <v>4.99</v>
      </c>
      <c r="O71" s="205">
        <f t="shared" si="23"/>
        <v>0</v>
      </c>
      <c r="P71" s="206">
        <f t="shared" si="24"/>
        <v>4.99</v>
      </c>
      <c r="Q71" s="206">
        <f t="shared" si="25"/>
        <v>0</v>
      </c>
      <c r="R7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10881</v>
      </c>
      <c r="T7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1" s="208">
        <f ca="1">IF(Tabla33610673489[[#This Row],[Equity]]&lt;Tabla33610673489[[#This Row],[Equity Peak]],(Tabla33610673489[[#This Row],[Equity Peak]]-Tabla33610673489[[#This Row],[Equity]])/Tabla33610673489[[#This Row],[Equity Peak]],"")</f>
        <v>3.9968237162519848E-2</v>
      </c>
      <c r="V71" s="209">
        <f t="shared" si="26"/>
        <v>0</v>
      </c>
      <c r="W71" s="209">
        <f t="shared" si="27"/>
        <v>0</v>
      </c>
      <c r="X71" s="209">
        <f t="shared" si="28"/>
        <v>4.99</v>
      </c>
      <c r="Y71" s="209">
        <f t="shared" si="29"/>
        <v>0</v>
      </c>
      <c r="Z71" s="209">
        <f t="shared" si="30"/>
        <v>0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2.9597222222218988</v>
      </c>
      <c r="AE71" s="210">
        <f t="shared" si="35"/>
        <v>2.9597222222218988</v>
      </c>
      <c r="AF71" s="210">
        <f t="shared" si="36"/>
        <v>0</v>
      </c>
      <c r="AG71" s="210">
        <f t="shared" si="37"/>
        <v>0</v>
      </c>
    </row>
    <row r="72" spans="2:33" ht="15" customHeight="1" x14ac:dyDescent="0.3">
      <c r="B72" s="196" t="s">
        <v>19</v>
      </c>
      <c r="C72" s="197" t="s">
        <v>13</v>
      </c>
      <c r="D72" s="198" t="str">
        <f t="shared" si="19"/>
        <v>C</v>
      </c>
      <c r="E72" s="199">
        <v>44676.375</v>
      </c>
      <c r="F72" s="200" t="s">
        <v>88</v>
      </c>
      <c r="G72" s="201">
        <v>1915.31</v>
      </c>
      <c r="H72" s="201">
        <v>1920.07</v>
      </c>
      <c r="I72" s="202">
        <f t="shared" si="20"/>
        <v>4.7599999999999909</v>
      </c>
      <c r="J72" s="201">
        <v>1858.22</v>
      </c>
      <c r="K72" s="199">
        <v>44676.425694444442</v>
      </c>
      <c r="L72" s="201">
        <v>1920.07</v>
      </c>
      <c r="M72" s="203">
        <f t="shared" si="21"/>
        <v>-4.76</v>
      </c>
      <c r="N72" s="204">
        <f t="shared" si="22"/>
        <v>-1</v>
      </c>
      <c r="O72" s="205">
        <f t="shared" si="23"/>
        <v>0</v>
      </c>
      <c r="P72" s="206">
        <f t="shared" si="24"/>
        <v>0</v>
      </c>
      <c r="Q72" s="206">
        <f t="shared" si="25"/>
        <v>-1</v>
      </c>
      <c r="R7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10382</v>
      </c>
      <c r="T7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2" s="208">
        <f ca="1">IF(Tabla33610673489[[#This Row],[Equity]]&lt;Tabla33610673489[[#This Row],[Equity Peak]],(Tabla33610673489[[#This Row],[Equity Peak]]-Tabla33610673489[[#This Row],[Equity]])/Tabla33610673489[[#This Row],[Equity Peak]],"")</f>
        <v>8.3995059114169754E-2</v>
      </c>
      <c r="V72" s="209">
        <f t="shared" si="26"/>
        <v>0</v>
      </c>
      <c r="W72" s="209">
        <f t="shared" si="27"/>
        <v>0</v>
      </c>
      <c r="X72" s="209">
        <f t="shared" si="28"/>
        <v>-1</v>
      </c>
      <c r="Y72" s="209">
        <f t="shared" si="29"/>
        <v>0</v>
      </c>
      <c r="Z72" s="209">
        <f t="shared" si="30"/>
        <v>0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5.0694444442342501E-2</v>
      </c>
      <c r="AE72" s="210">
        <f t="shared" si="35"/>
        <v>0</v>
      </c>
      <c r="AF72" s="210">
        <f t="shared" si="36"/>
        <v>5.0694444442342501E-2</v>
      </c>
      <c r="AG72" s="210">
        <f t="shared" si="37"/>
        <v>0</v>
      </c>
    </row>
    <row r="73" spans="2:33" ht="15" customHeight="1" x14ac:dyDescent="0.3">
      <c r="B73" s="196" t="s">
        <v>19</v>
      </c>
      <c r="C73" s="197" t="s">
        <v>15</v>
      </c>
      <c r="D73" s="198" t="str">
        <f t="shared" si="19"/>
        <v>C</v>
      </c>
      <c r="E73" s="199">
        <v>44669.114583333336</v>
      </c>
      <c r="F73" s="200" t="s">
        <v>88</v>
      </c>
      <c r="G73" s="201">
        <v>1983.18</v>
      </c>
      <c r="H73" s="201">
        <v>1978.82</v>
      </c>
      <c r="I73" s="202">
        <f t="shared" si="20"/>
        <v>4.3600000000001273</v>
      </c>
      <c r="J73" s="201">
        <v>2035.46</v>
      </c>
      <c r="K73" s="199">
        <v>44669.743750000001</v>
      </c>
      <c r="L73" s="201">
        <v>1983.14</v>
      </c>
      <c r="M73" s="203">
        <f t="shared" si="21"/>
        <v>-0.04</v>
      </c>
      <c r="N73" s="204">
        <f t="shared" si="22"/>
        <v>-0.01</v>
      </c>
      <c r="O73" s="205">
        <f t="shared" si="23"/>
        <v>0</v>
      </c>
      <c r="P73" s="206">
        <f t="shared" si="24"/>
        <v>0</v>
      </c>
      <c r="Q73" s="206">
        <f t="shared" si="25"/>
        <v>-0.01</v>
      </c>
      <c r="R7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10482</v>
      </c>
      <c r="T7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3" s="208">
        <f ca="1">IF(Tabla33610673489[[#This Row],[Equity]]&lt;Tabla33610673489[[#This Row],[Equity Peak]],(Tabla33610673489[[#This Row],[Equity Peak]]-Tabla33610673489[[#This Row],[Equity]])/Tabla33610673489[[#This Row],[Equity Peak]],"")</f>
        <v>7.5172048703017469E-2</v>
      </c>
      <c r="V73" s="209">
        <f t="shared" si="26"/>
        <v>0</v>
      </c>
      <c r="W73" s="209">
        <f t="shared" si="27"/>
        <v>0</v>
      </c>
      <c r="X73" s="209">
        <f t="shared" si="28"/>
        <v>-0.01</v>
      </c>
      <c r="Y73" s="209">
        <f t="shared" si="29"/>
        <v>0</v>
      </c>
      <c r="Z73" s="209">
        <f t="shared" si="30"/>
        <v>0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0.62916666666569654</v>
      </c>
      <c r="AE73" s="210">
        <f t="shared" si="35"/>
        <v>0</v>
      </c>
      <c r="AF73" s="210">
        <f t="shared" si="36"/>
        <v>0.62916666666569654</v>
      </c>
      <c r="AG73" s="210">
        <f t="shared" si="37"/>
        <v>0</v>
      </c>
    </row>
    <row r="74" spans="2:33" ht="15" customHeight="1" x14ac:dyDescent="0.3">
      <c r="B74" s="196" t="s">
        <v>19</v>
      </c>
      <c r="C74" s="197" t="s">
        <v>15</v>
      </c>
      <c r="D74" s="198" t="str">
        <f t="shared" si="19"/>
        <v>C</v>
      </c>
      <c r="E74" s="199">
        <v>44664.791666666664</v>
      </c>
      <c r="F74" s="200" t="s">
        <v>88</v>
      </c>
      <c r="G74" s="201">
        <v>1980.95</v>
      </c>
      <c r="H74" s="201">
        <v>1977.27</v>
      </c>
      <c r="I74" s="202">
        <f t="shared" si="20"/>
        <v>3.6800000000000637</v>
      </c>
      <c r="J74" s="201">
        <v>2025.15</v>
      </c>
      <c r="K74" s="199">
        <v>44664.913194444445</v>
      </c>
      <c r="L74" s="201">
        <v>1977.27</v>
      </c>
      <c r="M74" s="203">
        <f t="shared" si="21"/>
        <v>-3.68</v>
      </c>
      <c r="N74" s="204">
        <f t="shared" si="22"/>
        <v>-1</v>
      </c>
      <c r="O74" s="205">
        <f t="shared" si="23"/>
        <v>0</v>
      </c>
      <c r="P74" s="206">
        <f t="shared" si="24"/>
        <v>0</v>
      </c>
      <c r="Q74" s="206">
        <f t="shared" si="25"/>
        <v>-1</v>
      </c>
      <c r="R7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10483</v>
      </c>
      <c r="T7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4" s="208">
        <f ca="1">IF(Tabla33610673489[[#This Row],[Equity]]&lt;Tabla33610673489[[#This Row],[Equity Peak]],(Tabla33610673489[[#This Row],[Equity Peak]]-Tabla33610673489[[#This Row],[Equity]])/Tabla33610673489[[#This Row],[Equity Peak]],"")</f>
        <v>7.5083818598905949E-2</v>
      </c>
      <c r="V74" s="209">
        <f t="shared" si="26"/>
        <v>0</v>
      </c>
      <c r="W74" s="209">
        <f t="shared" si="27"/>
        <v>0</v>
      </c>
      <c r="X74" s="209">
        <f t="shared" si="28"/>
        <v>-1</v>
      </c>
      <c r="Y74" s="209">
        <f t="shared" si="29"/>
        <v>0</v>
      </c>
      <c r="Z74" s="209">
        <f t="shared" si="30"/>
        <v>0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0.12152777778101154</v>
      </c>
      <c r="AE74" s="210">
        <f t="shared" si="35"/>
        <v>0</v>
      </c>
      <c r="AF74" s="210">
        <f t="shared" si="36"/>
        <v>0.12152777778101154</v>
      </c>
      <c r="AG74" s="210">
        <f t="shared" si="37"/>
        <v>0</v>
      </c>
    </row>
    <row r="75" spans="2:33" ht="15" customHeight="1" x14ac:dyDescent="0.3">
      <c r="B75" s="196" t="s">
        <v>19</v>
      </c>
      <c r="C75" s="197" t="s">
        <v>15</v>
      </c>
      <c r="D75" s="198" t="str">
        <f t="shared" si="19"/>
        <v>C</v>
      </c>
      <c r="E75" s="199">
        <v>44664.635416666664</v>
      </c>
      <c r="F75" s="200" t="s">
        <v>88</v>
      </c>
      <c r="G75" s="201">
        <v>1980.29</v>
      </c>
      <c r="H75" s="201">
        <v>1977.13</v>
      </c>
      <c r="I75" s="202">
        <f t="shared" si="20"/>
        <v>3.1599999999998545</v>
      </c>
      <c r="J75" s="201">
        <v>2018.24</v>
      </c>
      <c r="K75" s="199">
        <v>44664.63958333333</v>
      </c>
      <c r="L75" s="201">
        <v>1977.13</v>
      </c>
      <c r="M75" s="203">
        <f t="shared" si="21"/>
        <v>-3.16</v>
      </c>
      <c r="N75" s="204">
        <f t="shared" si="22"/>
        <v>-1</v>
      </c>
      <c r="O75" s="205">
        <f t="shared" si="23"/>
        <v>0</v>
      </c>
      <c r="P75" s="206">
        <f t="shared" si="24"/>
        <v>0</v>
      </c>
      <c r="Q75" s="206">
        <f t="shared" si="25"/>
        <v>-1</v>
      </c>
      <c r="R7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10583</v>
      </c>
      <c r="T7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5" s="208">
        <f ca="1">IF(Tabla33610673489[[#This Row],[Equity]]&lt;Tabla33610673489[[#This Row],[Equity Peak]],(Tabla33610673489[[#This Row],[Equity Peak]]-Tabla33610673489[[#This Row],[Equity]])/Tabla33610673489[[#This Row],[Equity Peak]],"")</f>
        <v>6.6260808187753664E-2</v>
      </c>
      <c r="V75" s="209">
        <f t="shared" si="26"/>
        <v>0</v>
      </c>
      <c r="W75" s="209">
        <f t="shared" si="27"/>
        <v>0</v>
      </c>
      <c r="X75" s="209">
        <f t="shared" si="28"/>
        <v>-1</v>
      </c>
      <c r="Y75" s="209">
        <f t="shared" si="29"/>
        <v>0</v>
      </c>
      <c r="Z75" s="209">
        <f t="shared" si="30"/>
        <v>0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4.166666665696539E-3</v>
      </c>
      <c r="AE75" s="210">
        <f t="shared" si="35"/>
        <v>0</v>
      </c>
      <c r="AF75" s="210">
        <f t="shared" si="36"/>
        <v>4.166666665696539E-3</v>
      </c>
      <c r="AG75" s="210">
        <f t="shared" si="37"/>
        <v>0</v>
      </c>
    </row>
    <row r="76" spans="2:33" ht="15" customHeight="1" x14ac:dyDescent="0.3">
      <c r="B76" s="196" t="s">
        <v>19</v>
      </c>
      <c r="C76" s="197" t="s">
        <v>15</v>
      </c>
      <c r="D76" s="198" t="str">
        <f t="shared" si="19"/>
        <v>C</v>
      </c>
      <c r="E76" s="199">
        <v>44663.75</v>
      </c>
      <c r="F76" s="200" t="s">
        <v>88</v>
      </c>
      <c r="G76" s="201">
        <v>1975.72</v>
      </c>
      <c r="H76" s="201">
        <v>1971.67</v>
      </c>
      <c r="I76" s="202">
        <f t="shared" si="20"/>
        <v>4.0499999999999545</v>
      </c>
      <c r="J76" s="201">
        <v>2024.37</v>
      </c>
      <c r="K76" s="199">
        <v>44663.762499999997</v>
      </c>
      <c r="L76" s="201">
        <v>1971.67</v>
      </c>
      <c r="M76" s="203">
        <f t="shared" si="21"/>
        <v>-4.05</v>
      </c>
      <c r="N76" s="204">
        <f t="shared" si="22"/>
        <v>-1</v>
      </c>
      <c r="O76" s="205">
        <f t="shared" si="23"/>
        <v>0</v>
      </c>
      <c r="P76" s="206">
        <f t="shared" si="24"/>
        <v>0</v>
      </c>
      <c r="Q76" s="206">
        <f t="shared" si="25"/>
        <v>-1</v>
      </c>
      <c r="R7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10683</v>
      </c>
      <c r="T7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6" s="208">
        <f ca="1">IF(Tabla33610673489[[#This Row],[Equity]]&lt;Tabla33610673489[[#This Row],[Equity Peak]],(Tabla33610673489[[#This Row],[Equity Peak]]-Tabla33610673489[[#This Row],[Equity]])/Tabla33610673489[[#This Row],[Equity Peak]],"")</f>
        <v>5.7437797776601379E-2</v>
      </c>
      <c r="V76" s="209">
        <f t="shared" si="26"/>
        <v>0</v>
      </c>
      <c r="W76" s="209">
        <f t="shared" si="27"/>
        <v>0</v>
      </c>
      <c r="X76" s="209">
        <f t="shared" si="28"/>
        <v>-1</v>
      </c>
      <c r="Y76" s="209">
        <f t="shared" si="29"/>
        <v>0</v>
      </c>
      <c r="Z76" s="209">
        <f t="shared" si="30"/>
        <v>0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1.2499999997089617E-2</v>
      </c>
      <c r="AE76" s="210">
        <f t="shared" si="35"/>
        <v>0</v>
      </c>
      <c r="AF76" s="210">
        <f t="shared" si="36"/>
        <v>1.2499999997089617E-2</v>
      </c>
      <c r="AG76" s="210">
        <f t="shared" si="37"/>
        <v>0</v>
      </c>
    </row>
    <row r="77" spans="2:33" ht="15" customHeight="1" x14ac:dyDescent="0.3">
      <c r="B77" s="196" t="s">
        <v>19</v>
      </c>
      <c r="C77" s="197" t="s">
        <v>15</v>
      </c>
      <c r="D77" s="198" t="str">
        <f t="shared" si="19"/>
        <v>C</v>
      </c>
      <c r="E77" s="199">
        <v>44663.666666666664</v>
      </c>
      <c r="F77" s="200" t="s">
        <v>88</v>
      </c>
      <c r="G77" s="201">
        <v>1970.43</v>
      </c>
      <c r="H77" s="201">
        <v>1966.97</v>
      </c>
      <c r="I77" s="202">
        <f t="shared" si="20"/>
        <v>3.4600000000000364</v>
      </c>
      <c r="J77" s="201">
        <v>2012</v>
      </c>
      <c r="K77" s="199">
        <v>44663.693055555559</v>
      </c>
      <c r="L77" s="201">
        <v>1966.97</v>
      </c>
      <c r="M77" s="203">
        <f t="shared" si="21"/>
        <v>-3.46</v>
      </c>
      <c r="N77" s="204">
        <f t="shared" si="22"/>
        <v>-1</v>
      </c>
      <c r="O77" s="205">
        <f t="shared" si="23"/>
        <v>0</v>
      </c>
      <c r="P77" s="206">
        <f t="shared" si="24"/>
        <v>0</v>
      </c>
      <c r="Q77" s="206">
        <f t="shared" si="25"/>
        <v>-1</v>
      </c>
      <c r="R7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10783</v>
      </c>
      <c r="T7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7" s="208">
        <f ca="1">IF(Tabla33610673489[[#This Row],[Equity]]&lt;Tabla33610673489[[#This Row],[Equity Peak]],(Tabla33610673489[[#This Row],[Equity Peak]]-Tabla33610673489[[#This Row],[Equity]])/Tabla33610673489[[#This Row],[Equity Peak]],"")</f>
        <v>4.8614787365449094E-2</v>
      </c>
      <c r="V77" s="209">
        <f t="shared" si="26"/>
        <v>0</v>
      </c>
      <c r="W77" s="209">
        <f t="shared" si="27"/>
        <v>0</v>
      </c>
      <c r="X77" s="209">
        <f t="shared" si="28"/>
        <v>-1</v>
      </c>
      <c r="Y77" s="209">
        <f t="shared" si="29"/>
        <v>0</v>
      </c>
      <c r="Z77" s="209">
        <f t="shared" si="30"/>
        <v>0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2.6388888894871343E-2</v>
      </c>
      <c r="AE77" s="210">
        <f t="shared" si="35"/>
        <v>0</v>
      </c>
      <c r="AF77" s="210">
        <f t="shared" si="36"/>
        <v>2.6388888894871343E-2</v>
      </c>
      <c r="AG77" s="210">
        <f t="shared" si="37"/>
        <v>0</v>
      </c>
    </row>
    <row r="78" spans="2:33" ht="15" customHeight="1" x14ac:dyDescent="0.3">
      <c r="B78" s="196" t="s">
        <v>19</v>
      </c>
      <c r="C78" s="197" t="s">
        <v>15</v>
      </c>
      <c r="D78" s="198" t="str">
        <f t="shared" si="19"/>
        <v>C</v>
      </c>
      <c r="E78" s="199">
        <v>44662.65625</v>
      </c>
      <c r="F78" s="200" t="s">
        <v>88</v>
      </c>
      <c r="G78" s="201">
        <v>1965.56</v>
      </c>
      <c r="H78" s="201">
        <v>1961.95</v>
      </c>
      <c r="I78" s="202">
        <f t="shared" si="20"/>
        <v>3.6099999999999</v>
      </c>
      <c r="J78" s="201">
        <v>2008.9</v>
      </c>
      <c r="K78" s="199">
        <v>44662.668749999997</v>
      </c>
      <c r="L78" s="201">
        <v>1961.95</v>
      </c>
      <c r="M78" s="203">
        <f t="shared" si="21"/>
        <v>-3.61</v>
      </c>
      <c r="N78" s="204">
        <f t="shared" si="22"/>
        <v>-1</v>
      </c>
      <c r="O78" s="205">
        <f t="shared" si="23"/>
        <v>0</v>
      </c>
      <c r="P78" s="206">
        <f t="shared" si="24"/>
        <v>0</v>
      </c>
      <c r="Q78" s="206">
        <f t="shared" si="25"/>
        <v>-1</v>
      </c>
      <c r="R7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10883</v>
      </c>
      <c r="T7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8" s="208">
        <f ca="1">IF(Tabla33610673489[[#This Row],[Equity]]&lt;Tabla33610673489[[#This Row],[Equity Peak]],(Tabla33610673489[[#This Row],[Equity Peak]]-Tabla33610673489[[#This Row],[Equity]])/Tabla33610673489[[#This Row],[Equity Peak]],"")</f>
        <v>3.9791776954296809E-2</v>
      </c>
      <c r="V78" s="209">
        <f t="shared" si="26"/>
        <v>0</v>
      </c>
      <c r="W78" s="209">
        <f t="shared" si="27"/>
        <v>0</v>
      </c>
      <c r="X78" s="209">
        <f t="shared" si="28"/>
        <v>-1</v>
      </c>
      <c r="Y78" s="209">
        <f t="shared" si="29"/>
        <v>0</v>
      </c>
      <c r="Z78" s="209">
        <f t="shared" si="30"/>
        <v>0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1.2499999997089617E-2</v>
      </c>
      <c r="AE78" s="210">
        <f t="shared" si="35"/>
        <v>0</v>
      </c>
      <c r="AF78" s="210">
        <f t="shared" si="36"/>
        <v>1.2499999997089617E-2</v>
      </c>
      <c r="AG78" s="210">
        <f t="shared" si="37"/>
        <v>0</v>
      </c>
    </row>
    <row r="79" spans="2:33" ht="15" customHeight="1" x14ac:dyDescent="0.3">
      <c r="B79" s="196" t="s">
        <v>19</v>
      </c>
      <c r="C79" s="197" t="s">
        <v>13</v>
      </c>
      <c r="D79" s="198" t="str">
        <f t="shared" si="19"/>
        <v>C</v>
      </c>
      <c r="E79" s="199">
        <v>44649.65625</v>
      </c>
      <c r="F79" s="200" t="s">
        <v>88</v>
      </c>
      <c r="G79" s="201">
        <v>1891.53</v>
      </c>
      <c r="H79" s="201">
        <v>1895.94</v>
      </c>
      <c r="I79" s="202">
        <f t="shared" si="20"/>
        <v>4.4100000000000819</v>
      </c>
      <c r="J79" s="201">
        <v>1838.67</v>
      </c>
      <c r="K79" s="199">
        <v>44649.661111111112</v>
      </c>
      <c r="L79" s="201">
        <v>1895.94</v>
      </c>
      <c r="M79" s="203">
        <f t="shared" si="21"/>
        <v>-4.41</v>
      </c>
      <c r="N79" s="204">
        <f t="shared" si="22"/>
        <v>-1</v>
      </c>
      <c r="O79" s="205">
        <f t="shared" si="23"/>
        <v>0</v>
      </c>
      <c r="P79" s="206">
        <f t="shared" si="24"/>
        <v>0</v>
      </c>
      <c r="Q79" s="206">
        <f t="shared" si="25"/>
        <v>-1</v>
      </c>
      <c r="R7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10983</v>
      </c>
      <c r="T7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79" s="208">
        <f ca="1">IF(Tabla33610673489[[#This Row],[Equity]]&lt;Tabla33610673489[[#This Row],[Equity Peak]],(Tabla33610673489[[#This Row],[Equity Peak]]-Tabla33610673489[[#This Row],[Equity]])/Tabla33610673489[[#This Row],[Equity Peak]],"")</f>
        <v>3.0968766543144521E-2</v>
      </c>
      <c r="V79" s="209">
        <f t="shared" si="26"/>
        <v>0</v>
      </c>
      <c r="W79" s="209">
        <f t="shared" si="27"/>
        <v>0</v>
      </c>
      <c r="X79" s="209">
        <f t="shared" si="28"/>
        <v>-1</v>
      </c>
      <c r="Y79" s="209">
        <f t="shared" si="29"/>
        <v>0</v>
      </c>
      <c r="Z79" s="209">
        <f t="shared" si="30"/>
        <v>0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4.8611111124046147E-3</v>
      </c>
      <c r="AE79" s="210">
        <f t="shared" si="35"/>
        <v>0</v>
      </c>
      <c r="AF79" s="210">
        <f t="shared" si="36"/>
        <v>4.8611111124046147E-3</v>
      </c>
      <c r="AG79" s="210">
        <f t="shared" si="37"/>
        <v>0</v>
      </c>
    </row>
    <row r="80" spans="2:33" ht="15" customHeight="1" x14ac:dyDescent="0.3">
      <c r="B80" s="196" t="s">
        <v>19</v>
      </c>
      <c r="C80" s="197" t="s">
        <v>15</v>
      </c>
      <c r="D80" s="198" t="str">
        <f t="shared" si="19"/>
        <v>C</v>
      </c>
      <c r="E80" s="199">
        <v>44628.697916666664</v>
      </c>
      <c r="F80" s="200" t="s">
        <v>88</v>
      </c>
      <c r="G80" s="201">
        <v>2028.12</v>
      </c>
      <c r="H80" s="201">
        <v>2021.22</v>
      </c>
      <c r="I80" s="202">
        <f t="shared" si="20"/>
        <v>6.8999999999998636</v>
      </c>
      <c r="J80" s="201">
        <v>2110.9499999999998</v>
      </c>
      <c r="K80" s="199">
        <v>44628.814583333333</v>
      </c>
      <c r="L80" s="201">
        <v>2029.77</v>
      </c>
      <c r="M80" s="203">
        <f t="shared" si="21"/>
        <v>1.65</v>
      </c>
      <c r="N80" s="204">
        <f t="shared" si="22"/>
        <v>0.24</v>
      </c>
      <c r="O80" s="205">
        <f t="shared" si="23"/>
        <v>0</v>
      </c>
      <c r="P80" s="206">
        <f t="shared" si="24"/>
        <v>0.24</v>
      </c>
      <c r="Q80" s="206">
        <f t="shared" si="25"/>
        <v>0</v>
      </c>
      <c r="R8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11083</v>
      </c>
      <c r="T8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80" s="208">
        <f ca="1">IF(Tabla33610673489[[#This Row],[Equity]]&lt;Tabla33610673489[[#This Row],[Equity Peak]],(Tabla33610673489[[#This Row],[Equity Peak]]-Tabla33610673489[[#This Row],[Equity]])/Tabla33610673489[[#This Row],[Equity Peak]],"")</f>
        <v>2.2145756131992236E-2</v>
      </c>
      <c r="V80" s="209">
        <f t="shared" si="26"/>
        <v>0</v>
      </c>
      <c r="W80" s="209">
        <f t="shared" si="27"/>
        <v>0</v>
      </c>
      <c r="X80" s="209">
        <f t="shared" si="28"/>
        <v>0.24</v>
      </c>
      <c r="Y80" s="209">
        <f t="shared" si="29"/>
        <v>0</v>
      </c>
      <c r="Z80" s="209">
        <f t="shared" si="30"/>
        <v>0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0.11666666666860692</v>
      </c>
      <c r="AE80" s="210">
        <f t="shared" si="35"/>
        <v>0.11666666666860692</v>
      </c>
      <c r="AF80" s="210">
        <f t="shared" si="36"/>
        <v>0</v>
      </c>
      <c r="AG80" s="210">
        <f t="shared" si="37"/>
        <v>0</v>
      </c>
    </row>
    <row r="81" spans="2:33" ht="15" customHeight="1" x14ac:dyDescent="0.3">
      <c r="B81" s="196" t="s">
        <v>19</v>
      </c>
      <c r="C81" s="197" t="s">
        <v>15</v>
      </c>
      <c r="D81" s="198" t="str">
        <f t="shared" si="19"/>
        <v>C</v>
      </c>
      <c r="E81" s="199">
        <v>44628.364583333336</v>
      </c>
      <c r="F81" s="200" t="s">
        <v>88</v>
      </c>
      <c r="G81" s="201">
        <v>2009.77</v>
      </c>
      <c r="H81" s="201">
        <v>2002.51</v>
      </c>
      <c r="I81" s="202">
        <f t="shared" si="20"/>
        <v>7.2599999999999909</v>
      </c>
      <c r="J81" s="201">
        <v>2096.84</v>
      </c>
      <c r="K81" s="199">
        <v>44628.430555555555</v>
      </c>
      <c r="L81" s="201">
        <v>2002.51</v>
      </c>
      <c r="M81" s="203">
        <f t="shared" si="21"/>
        <v>-7.26</v>
      </c>
      <c r="N81" s="204">
        <f t="shared" si="22"/>
        <v>-1</v>
      </c>
      <c r="O81" s="205">
        <f t="shared" si="23"/>
        <v>0</v>
      </c>
      <c r="P81" s="206">
        <f t="shared" si="24"/>
        <v>0</v>
      </c>
      <c r="Q81" s="206">
        <f t="shared" si="25"/>
        <v>-1</v>
      </c>
      <c r="R8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11059</v>
      </c>
      <c r="T8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81" s="208">
        <f ca="1">IF(Tabla33610673489[[#This Row],[Equity]]&lt;Tabla33610673489[[#This Row],[Equity Peak]],(Tabla33610673489[[#This Row],[Equity Peak]]-Tabla33610673489[[#This Row],[Equity]])/Tabla33610673489[[#This Row],[Equity Peak]],"")</f>
        <v>2.4263278630668784E-2</v>
      </c>
      <c r="V81" s="209">
        <f t="shared" si="26"/>
        <v>0</v>
      </c>
      <c r="W81" s="209">
        <f t="shared" si="27"/>
        <v>0</v>
      </c>
      <c r="X81" s="209">
        <f t="shared" si="28"/>
        <v>-1</v>
      </c>
      <c r="Y81" s="209">
        <f t="shared" si="29"/>
        <v>0</v>
      </c>
      <c r="Z81" s="209">
        <f t="shared" si="30"/>
        <v>0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6.5972222218988463E-2</v>
      </c>
      <c r="AE81" s="210">
        <f t="shared" si="35"/>
        <v>0</v>
      </c>
      <c r="AF81" s="210">
        <f t="shared" si="36"/>
        <v>6.5972222218988463E-2</v>
      </c>
      <c r="AG81" s="210">
        <f t="shared" si="37"/>
        <v>0</v>
      </c>
    </row>
    <row r="82" spans="2:33" ht="15" customHeight="1" x14ac:dyDescent="0.3">
      <c r="B82" s="196" t="s">
        <v>19</v>
      </c>
      <c r="C82" s="197" t="s">
        <v>15</v>
      </c>
      <c r="D82" s="198" t="str">
        <f t="shared" ref="D82:D113" si="38">IF(E82&lt;&gt;"",IF(K82&lt;&gt;"","C","O"),"")</f>
        <v>C</v>
      </c>
      <c r="E82" s="199">
        <v>44627.541666666664</v>
      </c>
      <c r="F82" s="200" t="s">
        <v>88</v>
      </c>
      <c r="G82" s="201">
        <v>2002.41</v>
      </c>
      <c r="H82" s="201">
        <v>1996.42</v>
      </c>
      <c r="I82" s="202">
        <f t="shared" ref="I82:I113" si="39">ABS(G82-H82)</f>
        <v>5.9900000000000091</v>
      </c>
      <c r="J82" s="201">
        <v>2074.2600000000002</v>
      </c>
      <c r="K82" s="199">
        <v>44627.560416666667</v>
      </c>
      <c r="L82" s="201">
        <v>1996.42</v>
      </c>
      <c r="M82" s="203">
        <f t="shared" ref="M82:M113" si="40">ROUND(IF(C82="L",(L82-G82),(G82-L82)),4)</f>
        <v>-5.99</v>
      </c>
      <c r="N82" s="204">
        <f t="shared" ref="N82:N113" si="41">IFERROR(ROUND((M82/I82),2),"")</f>
        <v>-1</v>
      </c>
      <c r="O82" s="205">
        <f t="shared" ref="O82:O113" si="42">IF(D82="O",IF(N82&lt;0,N82,0),0)</f>
        <v>0</v>
      </c>
      <c r="P82" s="206">
        <f t="shared" ref="P82:P93" si="43">IF(N82&gt;= 0,N82,0)</f>
        <v>0</v>
      </c>
      <c r="Q82" s="206">
        <f t="shared" ref="Q82:Q93" si="44">IF(N82&lt;0,N82,0)</f>
        <v>-1</v>
      </c>
      <c r="R8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11159</v>
      </c>
      <c r="T8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82" s="208">
        <f ca="1">IF(Tabla33610673489[[#This Row],[Equity]]&lt;Tabla33610673489[[#This Row],[Equity Peak]],(Tabla33610673489[[#This Row],[Equity Peak]]-Tabla33610673489[[#This Row],[Equity]])/Tabla33610673489[[#This Row],[Equity Peak]],"")</f>
        <v>1.5440268219516499E-2</v>
      </c>
      <c r="V82" s="209">
        <f t="shared" ref="V82:V93" si="45">IF(B82="FX",N82,0)</f>
        <v>0</v>
      </c>
      <c r="W82" s="209">
        <f t="shared" ref="W82:W113" si="46">IF(D82="O",IF(V82&lt;0,V82,0),0)</f>
        <v>0</v>
      </c>
      <c r="X82" s="209">
        <f t="shared" ref="X82:X93" si="47">IF(B82="COM",N82,0)</f>
        <v>-1</v>
      </c>
      <c r="Y82" s="209">
        <f t="shared" ref="Y82:Y113" si="48">IF(D82="O",IF(X82&lt;0,X82,0),0)</f>
        <v>0</v>
      </c>
      <c r="Z82" s="209">
        <f t="shared" ref="Z82:Z93" si="49">IF(B82="IND",N82,0)</f>
        <v>0</v>
      </c>
      <c r="AA82" s="205">
        <f t="shared" ref="AA82:AA113" si="50">IF(D82="O",IF(Z82&lt;0,Z82,0),0)</f>
        <v>0</v>
      </c>
      <c r="AB82" s="209">
        <f t="shared" ref="AB82:AB93" si="51">IF(B82="CRYPTO",N82,0)</f>
        <v>0</v>
      </c>
      <c r="AC82" s="205">
        <f t="shared" ref="AC82:AC113" si="52">IF(D82="O",IF(AB82&lt;0,AB82,0),0)</f>
        <v>0</v>
      </c>
      <c r="AD82" s="210">
        <f t="shared" ref="AD82:AD93" si="53">IF(K82&lt;&gt;"",K82-E82,0)</f>
        <v>1.8750000002910383E-2</v>
      </c>
      <c r="AE82" s="210">
        <f t="shared" ref="AE82:AE113" si="54">IF(N82&gt;0,AD82,0)</f>
        <v>0</v>
      </c>
      <c r="AF82" s="210">
        <f t="shared" ref="AF82:AF93" si="55">IF(N82&lt;0,AD82,0)</f>
        <v>1.8750000002910383E-2</v>
      </c>
      <c r="AG82" s="210">
        <f t="shared" ref="AG82:AG93" si="56">IF(N82=0,AD82,0)</f>
        <v>0</v>
      </c>
    </row>
    <row r="83" spans="2:33" ht="15" customHeight="1" x14ac:dyDescent="0.3">
      <c r="B83" s="196" t="s">
        <v>19</v>
      </c>
      <c r="C83" s="197" t="s">
        <v>15</v>
      </c>
      <c r="D83" s="198" t="str">
        <f t="shared" si="38"/>
        <v>C</v>
      </c>
      <c r="E83" s="199">
        <v>44627.052083333336</v>
      </c>
      <c r="F83" s="200" t="s">
        <v>88</v>
      </c>
      <c r="G83" s="201">
        <v>1988.09</v>
      </c>
      <c r="H83" s="201">
        <v>1982.74</v>
      </c>
      <c r="I83" s="202">
        <f t="shared" si="39"/>
        <v>5.3499999999999091</v>
      </c>
      <c r="J83" s="201">
        <v>2052.23</v>
      </c>
      <c r="K83" s="199">
        <v>44627.331944444442</v>
      </c>
      <c r="L83" s="201">
        <v>1984.07</v>
      </c>
      <c r="M83" s="203">
        <f t="shared" si="40"/>
        <v>-4.0199999999999996</v>
      </c>
      <c r="N83" s="204">
        <f t="shared" si="41"/>
        <v>-0.75</v>
      </c>
      <c r="O83" s="205">
        <f t="shared" si="42"/>
        <v>0</v>
      </c>
      <c r="P83" s="206">
        <f t="shared" si="43"/>
        <v>0</v>
      </c>
      <c r="Q83" s="206">
        <f t="shared" si="44"/>
        <v>-0.75</v>
      </c>
      <c r="R8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11259</v>
      </c>
      <c r="T8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83" s="208">
        <f ca="1">IF(Tabla33610673489[[#This Row],[Equity]]&lt;Tabla33610673489[[#This Row],[Equity Peak]],(Tabla33610673489[[#This Row],[Equity Peak]]-Tabla33610673489[[#This Row],[Equity]])/Tabla33610673489[[#This Row],[Equity Peak]],"")</f>
        <v>6.6172578083642138E-3</v>
      </c>
      <c r="V83" s="209">
        <f t="shared" si="45"/>
        <v>0</v>
      </c>
      <c r="W83" s="209">
        <f t="shared" si="46"/>
        <v>0</v>
      </c>
      <c r="X83" s="209">
        <f t="shared" si="47"/>
        <v>-0.75</v>
      </c>
      <c r="Y83" s="209">
        <f t="shared" si="48"/>
        <v>0</v>
      </c>
      <c r="Z83" s="209">
        <f t="shared" si="49"/>
        <v>0</v>
      </c>
      <c r="AA83" s="205">
        <f t="shared" si="50"/>
        <v>0</v>
      </c>
      <c r="AB83" s="209">
        <f t="shared" si="51"/>
        <v>0</v>
      </c>
      <c r="AC83" s="205">
        <f t="shared" si="52"/>
        <v>0</v>
      </c>
      <c r="AD83" s="210">
        <f t="shared" si="53"/>
        <v>0.27986111110658385</v>
      </c>
      <c r="AE83" s="210">
        <f t="shared" si="54"/>
        <v>0</v>
      </c>
      <c r="AF83" s="210">
        <f t="shared" si="55"/>
        <v>0.27986111110658385</v>
      </c>
      <c r="AG83" s="210">
        <f t="shared" si="56"/>
        <v>0</v>
      </c>
    </row>
    <row r="84" spans="2:33" ht="15" customHeight="1" x14ac:dyDescent="0.3">
      <c r="B84" s="196" t="s">
        <v>19</v>
      </c>
      <c r="C84" s="197" t="s">
        <v>15</v>
      </c>
      <c r="D84" s="198" t="str">
        <f t="shared" si="38"/>
        <v>C</v>
      </c>
      <c r="E84" s="199">
        <v>44616.1875</v>
      </c>
      <c r="F84" s="200" t="s">
        <v>88</v>
      </c>
      <c r="G84" s="201">
        <v>1914.43</v>
      </c>
      <c r="H84" s="201">
        <v>1911.12</v>
      </c>
      <c r="I84" s="202">
        <f t="shared" si="39"/>
        <v>3.3100000000001728</v>
      </c>
      <c r="J84" s="201">
        <v>1954.12</v>
      </c>
      <c r="K84" s="199">
        <v>44616.498611111114</v>
      </c>
      <c r="L84" s="201">
        <v>1954.12</v>
      </c>
      <c r="M84" s="203">
        <f t="shared" si="40"/>
        <v>39.69</v>
      </c>
      <c r="N84" s="204">
        <f t="shared" si="41"/>
        <v>11.99</v>
      </c>
      <c r="O84" s="205">
        <f t="shared" si="42"/>
        <v>0</v>
      </c>
      <c r="P84" s="206">
        <f t="shared" si="43"/>
        <v>11.99</v>
      </c>
      <c r="Q84" s="206">
        <f t="shared" si="44"/>
        <v>0</v>
      </c>
      <c r="R8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11334</v>
      </c>
      <c r="T8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11334</v>
      </c>
      <c r="U84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4" s="209">
        <f t="shared" si="45"/>
        <v>0</v>
      </c>
      <c r="W84" s="209">
        <f t="shared" si="46"/>
        <v>0</v>
      </c>
      <c r="X84" s="209">
        <f t="shared" si="47"/>
        <v>11.99</v>
      </c>
      <c r="Y84" s="209">
        <f t="shared" si="48"/>
        <v>0</v>
      </c>
      <c r="Z84" s="209">
        <f t="shared" si="49"/>
        <v>0</v>
      </c>
      <c r="AA84" s="205">
        <f t="shared" si="50"/>
        <v>0</v>
      </c>
      <c r="AB84" s="209">
        <f t="shared" si="51"/>
        <v>0</v>
      </c>
      <c r="AC84" s="205">
        <f t="shared" si="52"/>
        <v>0</v>
      </c>
      <c r="AD84" s="210">
        <f t="shared" si="53"/>
        <v>0.31111111111385981</v>
      </c>
      <c r="AE84" s="210">
        <f t="shared" si="54"/>
        <v>0.31111111111385981</v>
      </c>
      <c r="AF84" s="210">
        <f t="shared" si="55"/>
        <v>0</v>
      </c>
      <c r="AG84" s="210">
        <f t="shared" si="56"/>
        <v>0</v>
      </c>
    </row>
    <row r="85" spans="2:33" ht="15" customHeight="1" x14ac:dyDescent="0.3">
      <c r="B85" s="196" t="s">
        <v>19</v>
      </c>
      <c r="C85" s="197" t="s">
        <v>15</v>
      </c>
      <c r="D85" s="198" t="str">
        <f t="shared" si="38"/>
        <v>C</v>
      </c>
      <c r="E85" s="199">
        <v>44614.052083333336</v>
      </c>
      <c r="F85" s="200" t="s">
        <v>88</v>
      </c>
      <c r="G85" s="201">
        <v>1912.18</v>
      </c>
      <c r="H85" s="201">
        <v>1908.89</v>
      </c>
      <c r="I85" s="202">
        <f t="shared" si="39"/>
        <v>3.2899999999999636</v>
      </c>
      <c r="J85" s="201">
        <v>1951.62</v>
      </c>
      <c r="K85" s="199">
        <v>44614.064583333333</v>
      </c>
      <c r="L85" s="201">
        <v>1908.89</v>
      </c>
      <c r="M85" s="203">
        <f t="shared" si="40"/>
        <v>-3.29</v>
      </c>
      <c r="N85" s="204">
        <f t="shared" si="41"/>
        <v>-1</v>
      </c>
      <c r="O85" s="205">
        <f t="shared" si="42"/>
        <v>0</v>
      </c>
      <c r="P85" s="206">
        <f t="shared" si="43"/>
        <v>0</v>
      </c>
      <c r="Q85" s="206">
        <f t="shared" si="44"/>
        <v>-1</v>
      </c>
      <c r="R8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10135</v>
      </c>
      <c r="T8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10235</v>
      </c>
      <c r="U85" s="208">
        <f ca="1">IF(Tabla33610673489[[#This Row],[Equity]]&lt;Tabla33610673489[[#This Row],[Equity Peak]],(Tabla33610673489[[#This Row],[Equity Peak]]-Tabla33610673489[[#This Row],[Equity]])/Tabla33610673489[[#This Row],[Equity Peak]],"")</f>
        <v>9.7703957010258913E-3</v>
      </c>
      <c r="V85" s="209">
        <f t="shared" si="45"/>
        <v>0</v>
      </c>
      <c r="W85" s="209">
        <f t="shared" si="46"/>
        <v>0</v>
      </c>
      <c r="X85" s="209">
        <f t="shared" si="47"/>
        <v>-1</v>
      </c>
      <c r="Y85" s="209">
        <f t="shared" si="48"/>
        <v>0</v>
      </c>
      <c r="Z85" s="209">
        <f t="shared" si="49"/>
        <v>0</v>
      </c>
      <c r="AA85" s="205">
        <f t="shared" si="50"/>
        <v>0</v>
      </c>
      <c r="AB85" s="209">
        <f t="shared" si="51"/>
        <v>0</v>
      </c>
      <c r="AC85" s="205">
        <f t="shared" si="52"/>
        <v>0</v>
      </c>
      <c r="AD85" s="210">
        <f t="shared" si="53"/>
        <v>1.2499999997089617E-2</v>
      </c>
      <c r="AE85" s="210">
        <f t="shared" si="54"/>
        <v>0</v>
      </c>
      <c r="AF85" s="210">
        <f t="shared" si="55"/>
        <v>1.2499999997089617E-2</v>
      </c>
      <c r="AG85" s="210">
        <f t="shared" si="56"/>
        <v>0</v>
      </c>
    </row>
    <row r="86" spans="2:33" ht="15" customHeight="1" x14ac:dyDescent="0.3">
      <c r="B86" s="196" t="s">
        <v>19</v>
      </c>
      <c r="C86" s="197" t="s">
        <v>15</v>
      </c>
      <c r="D86" s="198" t="str">
        <f t="shared" si="38"/>
        <v>C</v>
      </c>
      <c r="E86" s="199">
        <v>44609.4375</v>
      </c>
      <c r="F86" s="200" t="s">
        <v>88</v>
      </c>
      <c r="G86" s="201">
        <v>1884.61</v>
      </c>
      <c r="H86" s="201">
        <v>1880.96</v>
      </c>
      <c r="I86" s="202">
        <f t="shared" si="39"/>
        <v>3.6499999999998636</v>
      </c>
      <c r="J86" s="201">
        <v>1928.39</v>
      </c>
      <c r="K86" s="199">
        <v>44613.147222222222</v>
      </c>
      <c r="L86" s="201">
        <v>1891.93</v>
      </c>
      <c r="M86" s="203">
        <f t="shared" si="40"/>
        <v>7.32</v>
      </c>
      <c r="N86" s="204">
        <f t="shared" si="41"/>
        <v>2.0099999999999998</v>
      </c>
      <c r="O86" s="205">
        <f t="shared" si="42"/>
        <v>0</v>
      </c>
      <c r="P86" s="206">
        <f t="shared" si="43"/>
        <v>2.0099999999999998</v>
      </c>
      <c r="Q86" s="206">
        <f t="shared" si="44"/>
        <v>0</v>
      </c>
      <c r="R8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10235</v>
      </c>
      <c r="T8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10235</v>
      </c>
      <c r="U86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6" s="209">
        <f t="shared" si="45"/>
        <v>0</v>
      </c>
      <c r="W86" s="209">
        <f t="shared" si="46"/>
        <v>0</v>
      </c>
      <c r="X86" s="209">
        <f t="shared" si="47"/>
        <v>2.0099999999999998</v>
      </c>
      <c r="Y86" s="209">
        <f t="shared" si="48"/>
        <v>0</v>
      </c>
      <c r="Z86" s="209">
        <f t="shared" si="49"/>
        <v>0</v>
      </c>
      <c r="AA86" s="205">
        <f t="shared" si="50"/>
        <v>0</v>
      </c>
      <c r="AB86" s="209">
        <f t="shared" si="51"/>
        <v>0</v>
      </c>
      <c r="AC86" s="205">
        <f t="shared" si="52"/>
        <v>0</v>
      </c>
      <c r="AD86" s="210">
        <f t="shared" si="53"/>
        <v>3.7097222222218988</v>
      </c>
      <c r="AE86" s="210">
        <f t="shared" si="54"/>
        <v>3.7097222222218988</v>
      </c>
      <c r="AF86" s="210">
        <f t="shared" si="55"/>
        <v>0</v>
      </c>
      <c r="AG86" s="210">
        <f t="shared" si="56"/>
        <v>0</v>
      </c>
    </row>
    <row r="87" spans="2:33" ht="15" customHeight="1" x14ac:dyDescent="0.3">
      <c r="B87" s="196" t="s">
        <v>19</v>
      </c>
      <c r="C87" s="197" t="s">
        <v>15</v>
      </c>
      <c r="D87" s="198" t="str">
        <f t="shared" si="38"/>
        <v>C</v>
      </c>
      <c r="E87" s="199">
        <v>44603.864583333336</v>
      </c>
      <c r="F87" s="200" t="s">
        <v>88</v>
      </c>
      <c r="G87" s="201">
        <v>1850.15</v>
      </c>
      <c r="H87" s="201">
        <v>1847.25</v>
      </c>
      <c r="I87" s="202">
        <f t="shared" si="39"/>
        <v>2.9000000000000909</v>
      </c>
      <c r="J87" s="201">
        <v>1884.97</v>
      </c>
      <c r="K87" s="199">
        <v>44607.448611111111</v>
      </c>
      <c r="L87" s="201">
        <v>1863</v>
      </c>
      <c r="M87" s="203">
        <f t="shared" si="40"/>
        <v>12.85</v>
      </c>
      <c r="N87" s="204">
        <f t="shared" si="41"/>
        <v>4.43</v>
      </c>
      <c r="O87" s="205">
        <f t="shared" si="42"/>
        <v>0</v>
      </c>
      <c r="P87" s="206">
        <f t="shared" si="43"/>
        <v>4.43</v>
      </c>
      <c r="Q87" s="206">
        <f t="shared" si="44"/>
        <v>0</v>
      </c>
      <c r="R8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10034</v>
      </c>
      <c r="T8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10034</v>
      </c>
      <c r="U87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87" s="209">
        <f t="shared" si="45"/>
        <v>0</v>
      </c>
      <c r="W87" s="209">
        <f t="shared" si="46"/>
        <v>0</v>
      </c>
      <c r="X87" s="209">
        <f t="shared" si="47"/>
        <v>4.43</v>
      </c>
      <c r="Y87" s="209">
        <f t="shared" si="48"/>
        <v>0</v>
      </c>
      <c r="Z87" s="209">
        <f t="shared" si="49"/>
        <v>0</v>
      </c>
      <c r="AA87" s="205">
        <f t="shared" si="50"/>
        <v>0</v>
      </c>
      <c r="AB87" s="209">
        <f t="shared" si="51"/>
        <v>0</v>
      </c>
      <c r="AC87" s="205">
        <f t="shared" si="52"/>
        <v>0</v>
      </c>
      <c r="AD87" s="210">
        <f t="shared" si="53"/>
        <v>3.5840277777751908</v>
      </c>
      <c r="AE87" s="210">
        <f t="shared" si="54"/>
        <v>3.5840277777751908</v>
      </c>
      <c r="AF87" s="210">
        <f t="shared" si="55"/>
        <v>0</v>
      </c>
      <c r="AG87" s="210">
        <f t="shared" si="56"/>
        <v>0</v>
      </c>
    </row>
    <row r="88" spans="2:33" ht="15" customHeight="1" x14ac:dyDescent="0.3">
      <c r="B88" s="196" t="s">
        <v>19</v>
      </c>
      <c r="C88" s="197" t="s">
        <v>13</v>
      </c>
      <c r="D88" s="198" t="str">
        <f t="shared" si="38"/>
        <v>C</v>
      </c>
      <c r="E88" s="199">
        <v>44589.46875</v>
      </c>
      <c r="F88" s="200" t="s">
        <v>88</v>
      </c>
      <c r="G88" s="201">
        <v>1791.08</v>
      </c>
      <c r="H88" s="201">
        <v>1793.67</v>
      </c>
      <c r="I88" s="202">
        <f t="shared" si="39"/>
        <v>2.5900000000001455</v>
      </c>
      <c r="J88" s="201">
        <v>1759.97</v>
      </c>
      <c r="K88" s="199">
        <v>44589.634027777778</v>
      </c>
      <c r="L88" s="201">
        <v>1790.63</v>
      </c>
      <c r="M88" s="203">
        <f t="shared" si="40"/>
        <v>0.45</v>
      </c>
      <c r="N88" s="204">
        <f t="shared" si="41"/>
        <v>0.17</v>
      </c>
      <c r="O88" s="205">
        <f t="shared" si="42"/>
        <v>0</v>
      </c>
      <c r="P88" s="206">
        <f t="shared" si="43"/>
        <v>0.17</v>
      </c>
      <c r="Q88" s="206">
        <f t="shared" si="44"/>
        <v>0</v>
      </c>
      <c r="R8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9591</v>
      </c>
      <c r="T8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</v>
      </c>
      <c r="U88" s="208">
        <f ca="1">IF(Tabla33610673489[[#This Row],[Equity]]&lt;Tabla33610673489[[#This Row],[Equity Peak]],(Tabla33610673489[[#This Row],[Equity Peak]]-Tabla33610673489[[#This Row],[Equity]])/Tabla33610673489[[#This Row],[Equity Peak]],"")</f>
        <v>4.0899999999999999E-2</v>
      </c>
      <c r="V88" s="209">
        <f t="shared" si="45"/>
        <v>0</v>
      </c>
      <c r="W88" s="209">
        <f t="shared" si="46"/>
        <v>0</v>
      </c>
      <c r="X88" s="209">
        <f t="shared" si="47"/>
        <v>0.17</v>
      </c>
      <c r="Y88" s="209">
        <f t="shared" si="48"/>
        <v>0</v>
      </c>
      <c r="Z88" s="209">
        <f t="shared" si="49"/>
        <v>0</v>
      </c>
      <c r="AA88" s="205">
        <f t="shared" si="50"/>
        <v>0</v>
      </c>
      <c r="AB88" s="209">
        <f t="shared" si="51"/>
        <v>0</v>
      </c>
      <c r="AC88" s="205">
        <f t="shared" si="52"/>
        <v>0</v>
      </c>
      <c r="AD88" s="210">
        <f t="shared" si="53"/>
        <v>0.16527777777810115</v>
      </c>
      <c r="AE88" s="210">
        <f t="shared" si="54"/>
        <v>0.16527777777810115</v>
      </c>
      <c r="AF88" s="210">
        <f t="shared" si="55"/>
        <v>0</v>
      </c>
      <c r="AG88" s="210">
        <f t="shared" si="56"/>
        <v>0</v>
      </c>
    </row>
    <row r="89" spans="2:33" ht="15" customHeight="1" x14ac:dyDescent="0.3">
      <c r="B89" s="196" t="s">
        <v>19</v>
      </c>
      <c r="C89" s="197" t="s">
        <v>13</v>
      </c>
      <c r="D89" s="198" t="str">
        <f t="shared" si="38"/>
        <v>C</v>
      </c>
      <c r="E89" s="199">
        <v>44588.770833333336</v>
      </c>
      <c r="F89" s="200" t="s">
        <v>88</v>
      </c>
      <c r="G89" s="201">
        <v>1795.52</v>
      </c>
      <c r="H89" s="201">
        <v>1799.36</v>
      </c>
      <c r="I89" s="202">
        <f t="shared" si="39"/>
        <v>3.8399999999999181</v>
      </c>
      <c r="J89" s="201">
        <v>1749.38</v>
      </c>
      <c r="K89" s="199">
        <v>44589.219444444447</v>
      </c>
      <c r="L89" s="201">
        <v>1799.36</v>
      </c>
      <c r="M89" s="203">
        <f t="shared" si="40"/>
        <v>-3.84</v>
      </c>
      <c r="N89" s="204">
        <f t="shared" si="41"/>
        <v>-1</v>
      </c>
      <c r="O89" s="205">
        <f t="shared" si="42"/>
        <v>0</v>
      </c>
      <c r="P89" s="206">
        <f t="shared" si="43"/>
        <v>0</v>
      </c>
      <c r="Q89" s="206">
        <f t="shared" si="44"/>
        <v>-1</v>
      </c>
      <c r="R8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8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9574</v>
      </c>
      <c r="T8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</v>
      </c>
      <c r="U89" s="208">
        <f ca="1">IF(Tabla33610673489[[#This Row],[Equity]]&lt;Tabla33610673489[[#This Row],[Equity Peak]],(Tabla33610673489[[#This Row],[Equity Peak]]-Tabla33610673489[[#This Row],[Equity]])/Tabla33610673489[[#This Row],[Equity Peak]],"")</f>
        <v>4.2599999999999999E-2</v>
      </c>
      <c r="V89" s="209">
        <f t="shared" si="45"/>
        <v>0</v>
      </c>
      <c r="W89" s="209">
        <f t="shared" si="46"/>
        <v>0</v>
      </c>
      <c r="X89" s="209">
        <f t="shared" si="47"/>
        <v>-1</v>
      </c>
      <c r="Y89" s="209">
        <f t="shared" si="48"/>
        <v>0</v>
      </c>
      <c r="Z89" s="209">
        <f t="shared" si="49"/>
        <v>0</v>
      </c>
      <c r="AA89" s="205">
        <f t="shared" si="50"/>
        <v>0</v>
      </c>
      <c r="AB89" s="209">
        <f t="shared" si="51"/>
        <v>0</v>
      </c>
      <c r="AC89" s="205">
        <f t="shared" si="52"/>
        <v>0</v>
      </c>
      <c r="AD89" s="210">
        <f t="shared" si="53"/>
        <v>0.44861111111094942</v>
      </c>
      <c r="AE89" s="210">
        <f t="shared" si="54"/>
        <v>0</v>
      </c>
      <c r="AF89" s="210">
        <f t="shared" si="55"/>
        <v>0.44861111111094942</v>
      </c>
      <c r="AG89" s="210">
        <f t="shared" si="56"/>
        <v>0</v>
      </c>
    </row>
    <row r="90" spans="2:33" ht="15" customHeight="1" x14ac:dyDescent="0.3">
      <c r="B90" s="196" t="s">
        <v>19</v>
      </c>
      <c r="C90" s="197" t="s">
        <v>13</v>
      </c>
      <c r="D90" s="198" t="str">
        <f t="shared" si="38"/>
        <v>C</v>
      </c>
      <c r="E90" s="199">
        <v>44588.65625</v>
      </c>
      <c r="F90" s="200" t="s">
        <v>88</v>
      </c>
      <c r="G90" s="201">
        <v>1803.43</v>
      </c>
      <c r="H90" s="201">
        <v>1807.19</v>
      </c>
      <c r="I90" s="202">
        <f t="shared" si="39"/>
        <v>3.7599999999999909</v>
      </c>
      <c r="J90" s="201">
        <v>1758.28</v>
      </c>
      <c r="K90" s="199">
        <v>44588.692361111112</v>
      </c>
      <c r="L90" s="201">
        <v>1807.19</v>
      </c>
      <c r="M90" s="203">
        <f t="shared" si="40"/>
        <v>-3.76</v>
      </c>
      <c r="N90" s="204">
        <f t="shared" si="41"/>
        <v>-1</v>
      </c>
      <c r="O90" s="205">
        <f t="shared" si="42"/>
        <v>0</v>
      </c>
      <c r="P90" s="206">
        <f t="shared" si="43"/>
        <v>0</v>
      </c>
      <c r="Q90" s="206">
        <f t="shared" si="44"/>
        <v>-1</v>
      </c>
      <c r="R9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9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9674</v>
      </c>
      <c r="T9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</v>
      </c>
      <c r="U90" s="208">
        <f ca="1">IF(Tabla33610673489[[#This Row],[Equity]]&lt;Tabla33610673489[[#This Row],[Equity Peak]],(Tabla33610673489[[#This Row],[Equity Peak]]-Tabla33610673489[[#This Row],[Equity]])/Tabla33610673489[[#This Row],[Equity Peak]],"")</f>
        <v>3.2599999999999997E-2</v>
      </c>
      <c r="V90" s="209">
        <f t="shared" si="45"/>
        <v>0</v>
      </c>
      <c r="W90" s="209">
        <f t="shared" si="46"/>
        <v>0</v>
      </c>
      <c r="X90" s="209">
        <f t="shared" si="47"/>
        <v>-1</v>
      </c>
      <c r="Y90" s="209">
        <f t="shared" si="48"/>
        <v>0</v>
      </c>
      <c r="Z90" s="209">
        <f t="shared" si="49"/>
        <v>0</v>
      </c>
      <c r="AA90" s="205">
        <f t="shared" si="50"/>
        <v>0</v>
      </c>
      <c r="AB90" s="209">
        <f t="shared" si="51"/>
        <v>0</v>
      </c>
      <c r="AC90" s="205">
        <f t="shared" si="52"/>
        <v>0</v>
      </c>
      <c r="AD90" s="210">
        <f t="shared" si="53"/>
        <v>3.6111111112404615E-2</v>
      </c>
      <c r="AE90" s="210">
        <f t="shared" si="54"/>
        <v>0</v>
      </c>
      <c r="AF90" s="210">
        <f t="shared" si="55"/>
        <v>3.6111111112404615E-2</v>
      </c>
      <c r="AG90" s="210">
        <f t="shared" si="56"/>
        <v>0</v>
      </c>
    </row>
    <row r="91" spans="2:33" ht="15" customHeight="1" x14ac:dyDescent="0.3">
      <c r="B91" s="196" t="s">
        <v>19</v>
      </c>
      <c r="C91" s="197" t="s">
        <v>15</v>
      </c>
      <c r="D91" s="198" t="str">
        <f t="shared" si="38"/>
        <v>C</v>
      </c>
      <c r="E91" s="199">
        <v>44586.708333333336</v>
      </c>
      <c r="F91" s="200" t="s">
        <v>88</v>
      </c>
      <c r="G91" s="201">
        <v>1850.45</v>
      </c>
      <c r="H91" s="201">
        <v>1847.98</v>
      </c>
      <c r="I91" s="202">
        <f t="shared" si="39"/>
        <v>2.4700000000000273</v>
      </c>
      <c r="J91" s="201">
        <v>1880.13</v>
      </c>
      <c r="K91" s="199">
        <v>44586.709722222222</v>
      </c>
      <c r="L91" s="201">
        <v>1847.98</v>
      </c>
      <c r="M91" s="203">
        <f t="shared" si="40"/>
        <v>-2.4700000000000002</v>
      </c>
      <c r="N91" s="204">
        <f t="shared" si="41"/>
        <v>-1</v>
      </c>
      <c r="O91" s="205">
        <f t="shared" si="42"/>
        <v>0</v>
      </c>
      <c r="P91" s="206">
        <f t="shared" si="43"/>
        <v>0</v>
      </c>
      <c r="Q91" s="206">
        <f t="shared" si="44"/>
        <v>-1</v>
      </c>
      <c r="R9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9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9774</v>
      </c>
      <c r="T9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</v>
      </c>
      <c r="U91" s="208">
        <f ca="1">IF(Tabla33610673489[[#This Row],[Equity]]&lt;Tabla33610673489[[#This Row],[Equity Peak]],(Tabla33610673489[[#This Row],[Equity Peak]]-Tabla33610673489[[#This Row],[Equity]])/Tabla33610673489[[#This Row],[Equity Peak]],"")</f>
        <v>2.2599999999999999E-2</v>
      </c>
      <c r="V91" s="209">
        <f t="shared" si="45"/>
        <v>0</v>
      </c>
      <c r="W91" s="209">
        <f t="shared" si="46"/>
        <v>0</v>
      </c>
      <c r="X91" s="209">
        <f t="shared" si="47"/>
        <v>-1</v>
      </c>
      <c r="Y91" s="209">
        <f t="shared" si="48"/>
        <v>0</v>
      </c>
      <c r="Z91" s="209">
        <f t="shared" si="49"/>
        <v>0</v>
      </c>
      <c r="AA91" s="205">
        <f t="shared" si="50"/>
        <v>0</v>
      </c>
      <c r="AB91" s="209">
        <f t="shared" si="51"/>
        <v>0</v>
      </c>
      <c r="AC91" s="205">
        <f t="shared" si="52"/>
        <v>0</v>
      </c>
      <c r="AD91" s="210">
        <f t="shared" si="53"/>
        <v>1.3888888861401938E-3</v>
      </c>
      <c r="AE91" s="210">
        <f t="shared" si="54"/>
        <v>0</v>
      </c>
      <c r="AF91" s="210">
        <f t="shared" si="55"/>
        <v>1.3888888861401938E-3</v>
      </c>
      <c r="AG91" s="210">
        <f t="shared" si="56"/>
        <v>0</v>
      </c>
    </row>
    <row r="92" spans="2:33" ht="15" customHeight="1" x14ac:dyDescent="0.3">
      <c r="B92" s="196" t="s">
        <v>19</v>
      </c>
      <c r="C92" s="197" t="s">
        <v>15</v>
      </c>
      <c r="D92" s="198" t="str">
        <f t="shared" si="38"/>
        <v>C</v>
      </c>
      <c r="E92" s="199">
        <v>44580.71875</v>
      </c>
      <c r="F92" s="200" t="s">
        <v>88</v>
      </c>
      <c r="G92" s="201">
        <v>1836.99</v>
      </c>
      <c r="H92" s="201">
        <v>1834.59</v>
      </c>
      <c r="I92" s="202">
        <f t="shared" si="39"/>
        <v>2.4000000000000909</v>
      </c>
      <c r="J92" s="201">
        <v>1865.83</v>
      </c>
      <c r="K92" s="199">
        <v>44581.599305555559</v>
      </c>
      <c r="L92" s="201">
        <v>1836.37</v>
      </c>
      <c r="M92" s="203">
        <f t="shared" si="40"/>
        <v>-0.62</v>
      </c>
      <c r="N92" s="204">
        <f t="shared" si="41"/>
        <v>-0.26</v>
      </c>
      <c r="O92" s="205">
        <f t="shared" si="42"/>
        <v>0</v>
      </c>
      <c r="P92" s="206">
        <f t="shared" si="43"/>
        <v>0</v>
      </c>
      <c r="Q92" s="206">
        <f t="shared" si="44"/>
        <v>-0.26</v>
      </c>
      <c r="R9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9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9874</v>
      </c>
      <c r="T9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</v>
      </c>
      <c r="U92" s="208">
        <f ca="1">IF(Tabla33610673489[[#This Row],[Equity]]&lt;Tabla33610673489[[#This Row],[Equity Peak]],(Tabla33610673489[[#This Row],[Equity Peak]]-Tabla33610673489[[#This Row],[Equity]])/Tabla33610673489[[#This Row],[Equity Peak]],"")</f>
        <v>1.26E-2</v>
      </c>
      <c r="V92" s="209">
        <f t="shared" si="45"/>
        <v>0</v>
      </c>
      <c r="W92" s="209">
        <f t="shared" si="46"/>
        <v>0</v>
      </c>
      <c r="X92" s="209">
        <f t="shared" si="47"/>
        <v>-0.26</v>
      </c>
      <c r="Y92" s="209">
        <f t="shared" si="48"/>
        <v>0</v>
      </c>
      <c r="Z92" s="209">
        <f t="shared" si="49"/>
        <v>0</v>
      </c>
      <c r="AA92" s="205">
        <f t="shared" si="50"/>
        <v>0</v>
      </c>
      <c r="AB92" s="209">
        <f t="shared" si="51"/>
        <v>0</v>
      </c>
      <c r="AC92" s="205">
        <f t="shared" si="52"/>
        <v>0</v>
      </c>
      <c r="AD92" s="210">
        <f t="shared" si="53"/>
        <v>0.88055555555911269</v>
      </c>
      <c r="AE92" s="210">
        <f t="shared" si="54"/>
        <v>0</v>
      </c>
      <c r="AF92" s="210">
        <f t="shared" si="55"/>
        <v>0.88055555555911269</v>
      </c>
      <c r="AG92" s="210">
        <f t="shared" si="56"/>
        <v>0</v>
      </c>
    </row>
    <row r="93" spans="2:33" ht="15" customHeight="1" x14ac:dyDescent="0.3">
      <c r="B93" s="196" t="s">
        <v>19</v>
      </c>
      <c r="C93" s="197" t="s">
        <v>15</v>
      </c>
      <c r="D93" s="198" t="str">
        <f t="shared" si="38"/>
        <v>C</v>
      </c>
      <c r="E93" s="199">
        <v>44564.052083333336</v>
      </c>
      <c r="F93" s="200" t="s">
        <v>88</v>
      </c>
      <c r="G93" s="201">
        <v>1830.53</v>
      </c>
      <c r="H93" s="201">
        <v>1828.24</v>
      </c>
      <c r="I93" s="202">
        <f t="shared" si="39"/>
        <v>2.2899999999999636</v>
      </c>
      <c r="J93" s="201">
        <v>1857.97</v>
      </c>
      <c r="K93" s="199">
        <v>44564.073611111111</v>
      </c>
      <c r="L93" s="201">
        <v>1828.24</v>
      </c>
      <c r="M93" s="203">
        <f t="shared" si="40"/>
        <v>-2.29</v>
      </c>
      <c r="N93" s="204">
        <f t="shared" si="41"/>
        <v>-1</v>
      </c>
      <c r="O93" s="205">
        <f t="shared" si="42"/>
        <v>0</v>
      </c>
      <c r="P93" s="206">
        <f t="shared" si="43"/>
        <v>0</v>
      </c>
      <c r="Q93" s="206">
        <f t="shared" si="44"/>
        <v>-1</v>
      </c>
      <c r="R9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Yes</v>
      </c>
      <c r="S9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9900</v>
      </c>
      <c r="T9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10000</v>
      </c>
      <c r="U93" s="208">
        <f ca="1">IF(Tabla33610673489[[#This Row],[Equity]]&lt;Tabla33610673489[[#This Row],[Equity Peak]],(Tabla33610673489[[#This Row],[Equity Peak]]-Tabla33610673489[[#This Row],[Equity]])/Tabla33610673489[[#This Row],[Equity Peak]],"")</f>
        <v>0.01</v>
      </c>
      <c r="V93" s="209">
        <f t="shared" si="45"/>
        <v>0</v>
      </c>
      <c r="W93" s="209">
        <f t="shared" si="46"/>
        <v>0</v>
      </c>
      <c r="X93" s="209">
        <f t="shared" si="47"/>
        <v>-1</v>
      </c>
      <c r="Y93" s="209">
        <f t="shared" si="48"/>
        <v>0</v>
      </c>
      <c r="Z93" s="209">
        <f t="shared" si="49"/>
        <v>0</v>
      </c>
      <c r="AA93" s="205">
        <f t="shared" si="50"/>
        <v>0</v>
      </c>
      <c r="AB93" s="209">
        <f t="shared" si="51"/>
        <v>0</v>
      </c>
      <c r="AC93" s="205">
        <f t="shared" si="52"/>
        <v>0</v>
      </c>
      <c r="AD93" s="210">
        <f t="shared" si="53"/>
        <v>2.1527777775190771E-2</v>
      </c>
      <c r="AE93" s="210">
        <f t="shared" si="54"/>
        <v>0</v>
      </c>
      <c r="AF93" s="210">
        <f t="shared" si="55"/>
        <v>2.1527777775190771E-2</v>
      </c>
      <c r="AG93" s="210">
        <f t="shared" si="56"/>
        <v>0</v>
      </c>
    </row>
  </sheetData>
  <sheetProtection algorithmName="SHA-512" hashValue="NHw+XgFqvfjqGZ3Pj1V/owsV/kwMWtrSI9z3scOrSA7tshkNGxb9tvLosXdJuievS8opJlmXOxNlvsCnRVtkFw==" saltValue="1xQ5DTTUGcMuYgHc3j1pe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1" priority="3" operator="equal">
      <formula>"OK"</formula>
    </cfRule>
    <cfRule type="cellIs" dxfId="30" priority="4" operator="equal">
      <formula>"warning"</formula>
    </cfRule>
  </conditionalFormatting>
  <conditionalFormatting sqref="F13">
    <cfRule type="cellIs" dxfId="29" priority="1" operator="equal">
      <formula>"OK"</formula>
    </cfRule>
    <cfRule type="cellIs" dxfId="28" priority="2" operator="equal">
      <formula>"Error!!"</formula>
    </cfRule>
  </conditionalFormatting>
  <conditionalFormatting sqref="E15:H15 K15:L15">
    <cfRule type="expression" dxfId="27" priority="5">
      <formula>+$D15=#REF!</formula>
    </cfRule>
    <cfRule type="expression" dxfId="26" priority="6">
      <formula>+$D15=#REF!</formula>
    </cfRule>
  </conditionalFormatting>
  <conditionalFormatting sqref="D15 K16:L17 D16:H93 J17:L93">
    <cfRule type="expression" dxfId="25" priority="7">
      <formula>+$D15=$AG$8</formula>
    </cfRule>
    <cfRule type="expression" dxfId="2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8:B93" xr:uid="{69E8FCA0-1D6A-48EB-A5C3-B8171E1B4D70}">
      <formula1>$AE$4:$AE$7</formula1>
    </dataValidation>
    <dataValidation type="list" allowBlank="1" showInputMessage="1" showErrorMessage="1" promptTitle="Instrument Type" prompt="Select Type from List_x000a_" sqref="B15:B17" xr:uid="{54B0218A-F85D-4B3B-9CD0-8F440FC3B6FB}">
      <formula1>$AE$4:$AE$6</formula1>
    </dataValidation>
    <dataValidation type="list" allowBlank="1" showInputMessage="1" showErrorMessage="1" promptTitle="Trade Direction" prompt="Select from List" sqref="C15:C18" xr:uid="{77589013-8755-4E62-9989-E01B400878BF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CD4-2ECC-4A6B-8B13-798EFE5F2AFA}">
  <sheetPr codeName="Hoja16">
    <pageSetUpPr fitToPage="1"/>
  </sheetPr>
  <dimension ref="A1:AX124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17" sqref="E17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COUNTA(Tabla336106734810[Inst])</f>
        <v>108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42.800000000000011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42.800000000000011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COUNTIF(Tabla336106734810[No. of Rs],"&gt;0")</f>
        <v>25</v>
      </c>
      <c r="G7" s="24">
        <f>IFERROR((F7/$F$6),"")</f>
        <v>0.23148148148148148</v>
      </c>
      <c r="H7" s="78">
        <f>IFERROR((+P13/F7),"")</f>
        <v>4.1372000000000009</v>
      </c>
      <c r="I7" s="227">
        <f>H7/H9</f>
        <v>5.5954214085436265</v>
      </c>
      <c r="J7" s="227">
        <f>AVERAGE(Tabla336106734810[No. of Rs])</f>
        <v>0.39629629629629642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COUNTIF(Tabla336106734810[No. of Rs],"=0")</f>
        <v>1</v>
      </c>
      <c r="G8" s="24">
        <f>IFERROR((F8/$F$6),"")</f>
        <v>9.2592592592592587E-3</v>
      </c>
      <c r="H8" s="78"/>
      <c r="I8" s="228"/>
      <c r="J8" s="228"/>
      <c r="K8" s="163"/>
      <c r="L8" s="212" t="s">
        <v>112</v>
      </c>
      <c r="M8" s="213"/>
      <c r="N8" s="195">
        <f ca="1">OFFSET(Tabla336106734810[[#Headers],[Equity]],1,0)</f>
        <v>14280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1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COUNTIF(Tabla336106734810[No. of Rs],"&lt;0")</f>
        <v>82</v>
      </c>
      <c r="G9" s="32">
        <f>IFERROR((F9/$F$6),"")</f>
        <v>0.7592592592592593</v>
      </c>
      <c r="H9" s="79">
        <f>IFERROR((-Q13/F9),"")</f>
        <v>0.73939024390243901</v>
      </c>
      <c r="I9" s="229"/>
      <c r="J9" s="229"/>
      <c r="K9" s="149"/>
      <c r="L9" s="230" t="s">
        <v>106</v>
      </c>
      <c r="M9" s="231"/>
      <c r="N9" s="125">
        <f ca="1">MAX(Tabla336106734810[Drawdown])</f>
        <v>0.12900274473924978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1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OFFSET(Tabla336106734810[[#Headers],[Drawdown]],1,0)</f>
        <v>0.12900274473924978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COUNTIF(Tabla336106734810[Heat],"&lt;0")</f>
        <v>1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>
        <f>IF(COUNTIFS(Tabla336106734810[O/C],"O")&lt;1,"None",COUNTIFS(Tabla336106734810[O/C],"O"))</f>
        <v>1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SUM(Tabla336106734810[No. of Rs])</f>
        <v>42.800000000000011</v>
      </c>
      <c r="O13" s="42">
        <f>SUM(Tabla336106734810[Heat])</f>
        <v>-1</v>
      </c>
      <c r="P13" s="43">
        <f>SUM(Tabla336106734810[[ TR WIN]])</f>
        <v>103.43000000000002</v>
      </c>
      <c r="Q13" s="43">
        <f>SUM(Tabla336106734810[[ TR LOSS]])</f>
        <v>-60.63</v>
      </c>
      <c r="R13" s="114"/>
      <c r="S13" s="115"/>
      <c r="T13" s="115"/>
      <c r="U13" s="121"/>
      <c r="V13" s="44">
        <f>SUM(Tabla336106734810[Currency])</f>
        <v>0</v>
      </c>
      <c r="W13" s="44">
        <f>SUM(Tabla336106734810[Heat3])</f>
        <v>0</v>
      </c>
      <c r="X13" s="44">
        <f>SUM(Tabla336106734810[Commodities])</f>
        <v>0</v>
      </c>
      <c r="Y13" s="44">
        <f>SUM(Tabla336106734810[Heat4])</f>
        <v>0</v>
      </c>
      <c r="Z13" s="44">
        <f>SUM(Tabla336106734810[Index])</f>
        <v>42.800000000000011</v>
      </c>
      <c r="AA13" s="44">
        <f>SUM(Tabla336106734810[Heat5])</f>
        <v>-1</v>
      </c>
      <c r="AB13" s="44">
        <f>SUM(Tabla336106734810[Cryptocurrency])</f>
        <v>0</v>
      </c>
      <c r="AC13" s="44">
        <f>SUM(Tabla336106734810[Heat6])</f>
        <v>0</v>
      </c>
      <c r="AD13" s="75" t="e">
        <f>AVERAGEIF(Tabla336106734810[Length of 
Trade],"&lt;&gt;0")</f>
        <v>#VALUE!</v>
      </c>
      <c r="AE13" s="75">
        <f>AVERAGEIF(Tabla336106734810[Win],"&lt;&gt;0")</f>
        <v>1.4518055555553291</v>
      </c>
      <c r="AF13" s="75" t="e">
        <f>AVERAGEIF(Tabla336106734810[Loss],"&lt;&gt;0")</f>
        <v>#VALUE!</v>
      </c>
      <c r="AG13" s="76">
        <f>AVERAGEIF(Tabla336106734810[Breakeven],"&lt;&gt;0")</f>
        <v>9.2361111113859806E-2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5</v>
      </c>
      <c r="C17" s="197" t="s">
        <v>15</v>
      </c>
      <c r="D17" s="233" t="str">
        <f>IF(E17&lt;&gt;"",IF(K17&lt;&gt;"","C","O"),"")</f>
        <v>O</v>
      </c>
      <c r="E17" s="234">
        <v>44876.854166666664</v>
      </c>
      <c r="F17" s="200" t="s">
        <v>91</v>
      </c>
      <c r="G17" s="235">
        <v>14302.04</v>
      </c>
      <c r="H17" s="236">
        <v>14264.77</v>
      </c>
      <c r="I17" s="237">
        <f>ABS(G17-H17)</f>
        <v>37.270000000000437</v>
      </c>
      <c r="J17" s="235">
        <v>14997.73</v>
      </c>
      <c r="K17" s="199"/>
      <c r="L17" s="235">
        <v>14264.77</v>
      </c>
      <c r="M17" s="238">
        <f>ROUND(IF(C17="L",(L17-G17),(G17-L17)),4)</f>
        <v>-37.270000000000003</v>
      </c>
      <c r="N17" s="239">
        <f>IFERROR(ROUND((M17/I17),2),"")</f>
        <v>-1</v>
      </c>
      <c r="O17" s="240">
        <f>IF(D17="O",IF(N17&lt;0,N17,0),0)</f>
        <v>-1</v>
      </c>
      <c r="P17" s="241">
        <f>IF(N17&gt;= 0,N17,0)</f>
        <v>0</v>
      </c>
      <c r="Q17" s="241">
        <f>IF(N17&lt;0,N17,0)</f>
        <v>-1</v>
      </c>
      <c r="R17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7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14280</v>
      </c>
      <c r="T17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17" s="243">
        <f ca="1">IF(Tabla336106734810[[#This Row],[Equity]]&lt;Tabla336106734810[[#This Row],[Equity Peak]],(Tabla336106734810[[#This Row],[Equity Peak]]-Tabla336106734810[[#This Row],[Equity]])/Tabla336106734810[[#This Row],[Equity Peak]],"")</f>
        <v>0.12900274473924978</v>
      </c>
      <c r="V17" s="244">
        <f>IF(B17="FX",N17,0)</f>
        <v>0</v>
      </c>
      <c r="W17" s="244">
        <f>IF(D17="O",IF(V17&lt;0,V17,0),0)</f>
        <v>0</v>
      </c>
      <c r="X17" s="244">
        <f>IF(B17="COM",N17,0)</f>
        <v>0</v>
      </c>
      <c r="Y17" s="244">
        <f>IF(D17="O",IF(X17&lt;0,X17,0),0)</f>
        <v>0</v>
      </c>
      <c r="Z17" s="244">
        <f>IF(B17="IND",N17,0)</f>
        <v>-1</v>
      </c>
      <c r="AA17" s="240">
        <f>IF(D17="O",IF(Z17&lt;0,Z17,0),0)</f>
        <v>-1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0</v>
      </c>
      <c r="AE17" s="245">
        <f>IF(N17&gt;0,AD17,0)</f>
        <v>0</v>
      </c>
      <c r="AF17" s="245">
        <f>IF(N17&lt;0,AD17,0)</f>
        <v>0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232" t="s">
        <v>5</v>
      </c>
      <c r="C18" s="197" t="s">
        <v>15</v>
      </c>
      <c r="D18" s="233" t="str">
        <f>IF(E18&lt;&gt;"",IF(K18&lt;&gt;"","C","O"),"")</f>
        <v>C</v>
      </c>
      <c r="E18" s="234">
        <v>44876.28125</v>
      </c>
      <c r="F18" s="200" t="s">
        <v>91</v>
      </c>
      <c r="G18" s="235">
        <v>14231.04</v>
      </c>
      <c r="H18" s="236">
        <v>14197.46</v>
      </c>
      <c r="I18" s="237">
        <f>ABS(G18-H18)</f>
        <v>33.580000000001746</v>
      </c>
      <c r="J18" s="235">
        <v>14857.93</v>
      </c>
      <c r="K18" s="199">
        <v>44876.417361111111</v>
      </c>
      <c r="L18" s="235">
        <v>14199.94</v>
      </c>
      <c r="M18" s="238">
        <f>ROUND(IF(C18="L",(L18-G18),(G18-L18)),4)</f>
        <v>-31.1</v>
      </c>
      <c r="N18" s="239">
        <f>IFERROR(ROUND((M18/I18),2),"")</f>
        <v>-0.93</v>
      </c>
      <c r="O18" s="240">
        <f>IF(D18="O",IF(N18&lt;0,N18,0),0)</f>
        <v>0</v>
      </c>
      <c r="P18" s="241">
        <f>IF(N18&gt;= 0,N18,0)</f>
        <v>0</v>
      </c>
      <c r="Q18" s="241">
        <f>IF(N18&lt;0,N18,0)</f>
        <v>-0.93</v>
      </c>
      <c r="R18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8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14380</v>
      </c>
      <c r="T18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18" s="243">
        <f ca="1">IF(Tabla336106734810[[#This Row],[Equity]]&lt;Tabla336106734810[[#This Row],[Equity Peak]],(Tabla336106734810[[#This Row],[Equity Peak]]-Tabla336106734810[[#This Row],[Equity]])/Tabla336106734810[[#This Row],[Equity Peak]],"")</f>
        <v>0.12290332418420249</v>
      </c>
      <c r="V18" s="244">
        <f>IF(B18="FX",N18,0)</f>
        <v>0</v>
      </c>
      <c r="W18" s="244">
        <f>IF(D18="O",IF(V18&lt;0,V18,0),0)</f>
        <v>0</v>
      </c>
      <c r="X18" s="244">
        <f>IF(B18="COM",N18,0)</f>
        <v>0</v>
      </c>
      <c r="Y18" s="244">
        <f>IF(D18="O",IF(X18&lt;0,X18,0),0)</f>
        <v>0</v>
      </c>
      <c r="Z18" s="244">
        <f>IF(B18="IND",N18,0)</f>
        <v>-0.93</v>
      </c>
      <c r="AA18" s="240">
        <f>IF(D18="O",IF(Z18&lt;0,Z18,0),0)</f>
        <v>0</v>
      </c>
      <c r="AB18" s="244">
        <f>IF(B18="CRYPTO",N18,0)</f>
        <v>0</v>
      </c>
      <c r="AC18" s="240">
        <f>IF(D18="O",IF(AB18&lt;0,AB18,0),0)</f>
        <v>0</v>
      </c>
      <c r="AD18" s="245">
        <f>IF(K18&lt;&gt;"",K18-E18,0)</f>
        <v>0.13611111111094942</v>
      </c>
      <c r="AE18" s="245">
        <f>IF(N18&gt;0,AD18,0)</f>
        <v>0</v>
      </c>
      <c r="AF18" s="245">
        <f>IF(N18&lt;0,AD18,0)</f>
        <v>0.13611111111094942</v>
      </c>
      <c r="AG18" s="245">
        <f>IF(N18=0,AD18,0)</f>
        <v>0</v>
      </c>
      <c r="AH18" s="176"/>
      <c r="AI18" s="109"/>
    </row>
    <row r="19" spans="1:35" s="112" customFormat="1" x14ac:dyDescent="0.3">
      <c r="A19" s="140"/>
      <c r="B19" s="232" t="s">
        <v>5</v>
      </c>
      <c r="C19" s="197" t="s">
        <v>15</v>
      </c>
      <c r="D19" s="233" t="str">
        <f>IF(E19&lt;&gt;"",IF(K19&lt;&gt;"","C","O"),"")</f>
        <v>C</v>
      </c>
      <c r="E19" s="234">
        <v>44876.09375</v>
      </c>
      <c r="F19" s="200" t="s">
        <v>91</v>
      </c>
      <c r="G19" s="235">
        <v>14193.04</v>
      </c>
      <c r="H19" s="236">
        <v>14158.76</v>
      </c>
      <c r="I19" s="237">
        <f>ABS(G19-H19)</f>
        <v>34.280000000000655</v>
      </c>
      <c r="J19" s="235">
        <v>14832.93</v>
      </c>
      <c r="K19" s="199" t="s">
        <v>118</v>
      </c>
      <c r="L19" s="235">
        <v>14158.76</v>
      </c>
      <c r="M19" s="238">
        <f>ROUND(IF(C19="L",(L19-G19),(G19-L19)),4)</f>
        <v>-34.28</v>
      </c>
      <c r="N19" s="239">
        <f>IFERROR(ROUND((M19/I19),2),"")</f>
        <v>-1</v>
      </c>
      <c r="O19" s="240">
        <f>IF(D19="O",IF(N19&lt;0,N19,0),0)</f>
        <v>0</v>
      </c>
      <c r="P19" s="241">
        <f>IF(N19&gt;= 0,N19,0)</f>
        <v>0</v>
      </c>
      <c r="Q19" s="241">
        <f>IF(N19&lt;0,N19,0)</f>
        <v>-1</v>
      </c>
      <c r="R19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9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14473</v>
      </c>
      <c r="T19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19" s="243">
        <f ca="1">IF(Tabla336106734810[[#This Row],[Equity]]&lt;Tabla336106734810[[#This Row],[Equity Peak]],(Tabla336106734810[[#This Row],[Equity Peak]]-Tabla336106734810[[#This Row],[Equity]])/Tabla336106734810[[#This Row],[Equity Peak]],"")</f>
        <v>0.11723086306800853</v>
      </c>
      <c r="V19" s="244">
        <f>IF(B19="FX",N19,0)</f>
        <v>0</v>
      </c>
      <c r="W19" s="244">
        <f>IF(D19="O",IF(V19&lt;0,V19,0),0)</f>
        <v>0</v>
      </c>
      <c r="X19" s="244">
        <f>IF(B19="COM",N19,0)</f>
        <v>0</v>
      </c>
      <c r="Y19" s="244">
        <f>IF(D19="O",IF(X19&lt;0,X19,0),0)</f>
        <v>0</v>
      </c>
      <c r="Z19" s="244">
        <f>IF(B19="IND",N19,0)</f>
        <v>-1</v>
      </c>
      <c r="AA19" s="240">
        <f>IF(D19="O",IF(Z19&lt;0,Z19,0),0)</f>
        <v>0</v>
      </c>
      <c r="AB19" s="244">
        <f>IF(B19="CRYPTO",N19,0)</f>
        <v>0</v>
      </c>
      <c r="AC19" s="240">
        <f>IF(D19="O",IF(AB19&lt;0,AB19,0),0)</f>
        <v>0</v>
      </c>
      <c r="AD19" s="245" t="e">
        <f>IF(K19&lt;&gt;"",K19-E19,0)</f>
        <v>#VALUE!</v>
      </c>
      <c r="AE19" s="245">
        <f>IF(N19&gt;0,AD19,0)</f>
        <v>0</v>
      </c>
      <c r="AF19" s="245" t="e">
        <f>IF(N19&lt;0,AD19,0)</f>
        <v>#VALUE!</v>
      </c>
      <c r="AG19" s="245">
        <f>IF(N19=0,AD19,0)</f>
        <v>0</v>
      </c>
      <c r="AH19" s="176"/>
      <c r="AI19" s="109"/>
    </row>
    <row r="20" spans="1:35" s="112" customFormat="1" x14ac:dyDescent="0.3">
      <c r="A20" s="140"/>
      <c r="B20" s="232" t="s">
        <v>5</v>
      </c>
      <c r="C20" s="197" t="s">
        <v>15</v>
      </c>
      <c r="D20" s="233" t="str">
        <f>IF(E20&lt;&gt;"",IF(K20&lt;&gt;"","C","O"),"")</f>
        <v>C</v>
      </c>
      <c r="E20" s="234">
        <v>44875.770833333336</v>
      </c>
      <c r="F20" s="200" t="s">
        <v>91</v>
      </c>
      <c r="G20" s="235">
        <v>14162.92</v>
      </c>
      <c r="H20" s="236">
        <v>14128.05</v>
      </c>
      <c r="I20" s="237">
        <f>ABS(G20-H20)</f>
        <v>34.8700000000008</v>
      </c>
      <c r="J20" s="235">
        <v>14813.81</v>
      </c>
      <c r="K20" s="199">
        <v>44875.808333333334</v>
      </c>
      <c r="L20" s="235">
        <v>14128.05</v>
      </c>
      <c r="M20" s="238">
        <f>ROUND(IF(C20="L",(L20-G20),(G20-L20)),4)</f>
        <v>-34.869999999999997</v>
      </c>
      <c r="N20" s="239">
        <f>IFERROR(ROUND((M20/I20),2),"")</f>
        <v>-1</v>
      </c>
      <c r="O20" s="240">
        <f>IF(D20="O",IF(N20&lt;0,N20,0),0)</f>
        <v>0</v>
      </c>
      <c r="P20" s="241">
        <f>IF(N20&gt;= 0,N20,0)</f>
        <v>0</v>
      </c>
      <c r="Q20" s="241">
        <f>IF(N20&lt;0,N20,0)</f>
        <v>-1</v>
      </c>
      <c r="R20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0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14573</v>
      </c>
      <c r="T20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0" s="243">
        <f ca="1">IF(Tabla336106734810[[#This Row],[Equity]]&lt;Tabla336106734810[[#This Row],[Equity Peak]],(Tabla336106734810[[#This Row],[Equity Peak]]-Tabla336106734810[[#This Row],[Equity]])/Tabla336106734810[[#This Row],[Equity Peak]],"")</f>
        <v>0.11113144251296127</v>
      </c>
      <c r="V20" s="244">
        <f>IF(B20="FX",N20,0)</f>
        <v>0</v>
      </c>
      <c r="W20" s="244">
        <f>IF(D20="O",IF(V20&lt;0,V20,0),0)</f>
        <v>0</v>
      </c>
      <c r="X20" s="244">
        <f>IF(B20="COM",N20,0)</f>
        <v>0</v>
      </c>
      <c r="Y20" s="244">
        <f>IF(D20="O",IF(X20&lt;0,X20,0),0)</f>
        <v>0</v>
      </c>
      <c r="Z20" s="244">
        <f>IF(B20="IND",N20,0)</f>
        <v>-1</v>
      </c>
      <c r="AA20" s="240">
        <f>IF(D20="O",IF(Z20&lt;0,Z20,0),0)</f>
        <v>0</v>
      </c>
      <c r="AB20" s="244">
        <f>IF(B20="CRYPTO",N20,0)</f>
        <v>0</v>
      </c>
      <c r="AC20" s="240">
        <f>IF(D20="O",IF(AB20&lt;0,AB20,0),0)</f>
        <v>0</v>
      </c>
      <c r="AD20" s="245">
        <f>IF(K20&lt;&gt;"",K20-E20,0)</f>
        <v>3.7499999998544808E-2</v>
      </c>
      <c r="AE20" s="245">
        <f>IF(N20&gt;0,AD20,0)</f>
        <v>0</v>
      </c>
      <c r="AF20" s="245">
        <f>IF(N20&lt;0,AD20,0)</f>
        <v>3.7499999998544808E-2</v>
      </c>
      <c r="AG20" s="245">
        <f>IF(N20=0,AD20,0)</f>
        <v>0</v>
      </c>
      <c r="AH20" s="176"/>
      <c r="AI20" s="109"/>
    </row>
    <row r="21" spans="1:35" s="112" customFormat="1" x14ac:dyDescent="0.3">
      <c r="A21" s="140"/>
      <c r="B21" s="232" t="s">
        <v>5</v>
      </c>
      <c r="C21" s="197" t="s">
        <v>15</v>
      </c>
      <c r="D21" s="233" t="str">
        <f>IF(E21&lt;&gt;"",IF(K21&lt;&gt;"","C","O"),"")</f>
        <v>C</v>
      </c>
      <c r="E21" s="234">
        <v>44875.729166666664</v>
      </c>
      <c r="F21" s="200" t="s">
        <v>91</v>
      </c>
      <c r="G21" s="235">
        <v>14148.92</v>
      </c>
      <c r="H21" s="236">
        <v>14114.93</v>
      </c>
      <c r="I21" s="237">
        <f>ABS(G21-H21)</f>
        <v>33.989999999999782</v>
      </c>
      <c r="J21" s="235">
        <v>14798.31</v>
      </c>
      <c r="K21" s="199">
        <v>44875.731249999997</v>
      </c>
      <c r="L21" s="235">
        <v>14113.72</v>
      </c>
      <c r="M21" s="238">
        <f>ROUND(IF(C21="L",(L21-G21),(G21-L21)),4)</f>
        <v>-35.200000000000003</v>
      </c>
      <c r="N21" s="239">
        <f>IFERROR(ROUND((M21/I21),2),"")</f>
        <v>-1.04</v>
      </c>
      <c r="O21" s="240">
        <f>IF(D21="O",IF(N21&lt;0,N21,0),0)</f>
        <v>0</v>
      </c>
      <c r="P21" s="241">
        <f>IF(N21&gt;= 0,N21,0)</f>
        <v>0</v>
      </c>
      <c r="Q21" s="241">
        <f>IF(N21&lt;0,N21,0)</f>
        <v>-1.04</v>
      </c>
      <c r="R21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1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14673</v>
      </c>
      <c r="T21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1" s="243">
        <f ca="1">IF(Tabla336106734810[[#This Row],[Equity]]&lt;Tabla336106734810[[#This Row],[Equity Peak]],(Tabla336106734810[[#This Row],[Equity Peak]]-Tabla336106734810[[#This Row],[Equity]])/Tabla336106734810[[#This Row],[Equity Peak]],"")</f>
        <v>0.105032021957914</v>
      </c>
      <c r="V21" s="244">
        <f>IF(B21="FX",N21,0)</f>
        <v>0</v>
      </c>
      <c r="W21" s="244">
        <f>IF(D21="O",IF(V21&lt;0,V21,0),0)</f>
        <v>0</v>
      </c>
      <c r="X21" s="244">
        <f>IF(B21="COM",N21,0)</f>
        <v>0</v>
      </c>
      <c r="Y21" s="244">
        <f>IF(D21="O",IF(X21&lt;0,X21,0),0)</f>
        <v>0</v>
      </c>
      <c r="Z21" s="244">
        <f>IF(B21="IND",N21,0)</f>
        <v>-1.04</v>
      </c>
      <c r="AA21" s="240">
        <f>IF(D21="O",IF(Z21&lt;0,Z21,0),0)</f>
        <v>0</v>
      </c>
      <c r="AB21" s="244">
        <f>IF(B21="CRYPTO",N21,0)</f>
        <v>0</v>
      </c>
      <c r="AC21" s="240">
        <f>IF(D21="O",IF(AB21&lt;0,AB21,0),0)</f>
        <v>0</v>
      </c>
      <c r="AD21" s="245">
        <f>IF(K21&lt;&gt;"",K21-E21,0)</f>
        <v>2.0833333328482695E-3</v>
      </c>
      <c r="AE21" s="245">
        <f>IF(N21&gt;0,AD21,0)</f>
        <v>0</v>
      </c>
      <c r="AF21" s="245">
        <f>IF(N21&lt;0,AD21,0)</f>
        <v>2.0833333328482695E-3</v>
      </c>
      <c r="AG21" s="245">
        <f>IF(N21=0,AD21,0)</f>
        <v>0</v>
      </c>
      <c r="AH21" s="176"/>
      <c r="AI21" s="109"/>
    </row>
    <row r="22" spans="1:35" s="112" customFormat="1" x14ac:dyDescent="0.3">
      <c r="A22" s="140"/>
      <c r="B22" s="232" t="s">
        <v>5</v>
      </c>
      <c r="C22" s="197" t="s">
        <v>15</v>
      </c>
      <c r="D22" s="233" t="str">
        <f>IF(E22&lt;&gt;"",IF(K22&lt;&gt;"","C","O"),"")</f>
        <v>C</v>
      </c>
      <c r="E22" s="234">
        <v>44875.65625</v>
      </c>
      <c r="F22" s="200" t="s">
        <v>91</v>
      </c>
      <c r="G22" s="235">
        <v>14036.92</v>
      </c>
      <c r="H22" s="236">
        <v>14003.8</v>
      </c>
      <c r="I22" s="237">
        <f>ABS(G22-H22)</f>
        <v>33.1200000000008</v>
      </c>
      <c r="J22" s="235">
        <v>14655.21</v>
      </c>
      <c r="K22" s="199">
        <v>44875.661111111112</v>
      </c>
      <c r="L22" s="235">
        <v>14003.8</v>
      </c>
      <c r="M22" s="238">
        <f>ROUND(IF(C22="L",(L22-G22),(G22-L22)),4)</f>
        <v>-33.119999999999997</v>
      </c>
      <c r="N22" s="239">
        <f>IFERROR(ROUND((M22/I22),2),"")</f>
        <v>-1</v>
      </c>
      <c r="O22" s="240">
        <f>IF(D22="O",IF(N22&lt;0,N22,0),0)</f>
        <v>0</v>
      </c>
      <c r="P22" s="241">
        <f>IF(N22&gt;= 0,N22,0)</f>
        <v>0</v>
      </c>
      <c r="Q22" s="241">
        <f>IF(N22&lt;0,N22,0)</f>
        <v>-1</v>
      </c>
      <c r="R22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2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14777</v>
      </c>
      <c r="T22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2" s="243">
        <f ca="1">IF(Tabla336106734810[[#This Row],[Equity]]&lt;Tabla336106734810[[#This Row],[Equity Peak]],(Tabla336106734810[[#This Row],[Equity Peak]]-Tabla336106734810[[#This Row],[Equity]])/Tabla336106734810[[#This Row],[Equity Peak]],"")</f>
        <v>9.8688624580664838E-2</v>
      </c>
      <c r="V22" s="244">
        <f>IF(B22="FX",N22,0)</f>
        <v>0</v>
      </c>
      <c r="W22" s="244">
        <f>IF(D22="O",IF(V22&lt;0,V22,0),0)</f>
        <v>0</v>
      </c>
      <c r="X22" s="244">
        <f>IF(B22="COM",N22,0)</f>
        <v>0</v>
      </c>
      <c r="Y22" s="244">
        <f>IF(D22="O",IF(X22&lt;0,X22,0),0)</f>
        <v>0</v>
      </c>
      <c r="Z22" s="244">
        <f>IF(B22="IND",N22,0)</f>
        <v>-1</v>
      </c>
      <c r="AA22" s="240">
        <f>IF(D22="O",IF(Z22&lt;0,Z22,0),0)</f>
        <v>0</v>
      </c>
      <c r="AB22" s="244">
        <f>IF(B22="CRYPTO",N22,0)</f>
        <v>0</v>
      </c>
      <c r="AC22" s="240">
        <f>IF(D22="O",IF(AB22&lt;0,AB22,0),0)</f>
        <v>0</v>
      </c>
      <c r="AD22" s="245">
        <f>IF(K22&lt;&gt;"",K22-E22,0)</f>
        <v>4.8611111124046147E-3</v>
      </c>
      <c r="AE22" s="245">
        <f>IF(N22&gt;0,AD22,0)</f>
        <v>0</v>
      </c>
      <c r="AF22" s="245">
        <f>IF(N22&lt;0,AD22,0)</f>
        <v>4.8611111124046147E-3</v>
      </c>
      <c r="AG22" s="245">
        <f>IF(N22=0,AD22,0)</f>
        <v>0</v>
      </c>
      <c r="AH22" s="176"/>
      <c r="AI22" s="109"/>
    </row>
    <row r="23" spans="1:35" s="112" customFormat="1" x14ac:dyDescent="0.3">
      <c r="A23" s="140"/>
      <c r="B23" s="232" t="s">
        <v>5</v>
      </c>
      <c r="C23" s="197" t="s">
        <v>15</v>
      </c>
      <c r="D23" s="233" t="str">
        <f>IF(E23&lt;&gt;"",IF(K23&lt;&gt;"","C","O"),"")</f>
        <v>C</v>
      </c>
      <c r="E23" s="234">
        <v>44873.697916666664</v>
      </c>
      <c r="F23" s="200" t="s">
        <v>91</v>
      </c>
      <c r="G23" s="235">
        <v>13619.53</v>
      </c>
      <c r="H23" s="236">
        <v>13584.15</v>
      </c>
      <c r="I23" s="237">
        <f>ABS(G23-H23)</f>
        <v>35.380000000001019</v>
      </c>
      <c r="J23" s="235">
        <v>14279.98</v>
      </c>
      <c r="K23" s="199">
        <v>44873.874305555553</v>
      </c>
      <c r="L23" s="235">
        <v>13609.33</v>
      </c>
      <c r="M23" s="238">
        <f>ROUND(IF(C23="L",(L23-G23),(G23-L23)),4)</f>
        <v>-10.199999999999999</v>
      </c>
      <c r="N23" s="239">
        <f>IFERROR(ROUND((M23/I23),2),"")</f>
        <v>-0.28999999999999998</v>
      </c>
      <c r="O23" s="240">
        <f>IF(D23="O",IF(N23&lt;0,N23,0),0)</f>
        <v>0</v>
      </c>
      <c r="P23" s="241">
        <f>IF(N23&gt;= 0,N23,0)</f>
        <v>0</v>
      </c>
      <c r="Q23" s="241">
        <f>IF(N23&lt;0,N23,0)</f>
        <v>-0.28999999999999998</v>
      </c>
      <c r="R23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3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14877</v>
      </c>
      <c r="T23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3" s="243">
        <f ca="1">IF(Tabla336106734810[[#This Row],[Equity]]&lt;Tabla336106734810[[#This Row],[Equity Peak]],(Tabla336106734810[[#This Row],[Equity Peak]]-Tabla336106734810[[#This Row],[Equity]])/Tabla336106734810[[#This Row],[Equity Peak]],"")</f>
        <v>9.2589204025617572E-2</v>
      </c>
      <c r="V23" s="244">
        <f>IF(B23="FX",N23,0)</f>
        <v>0</v>
      </c>
      <c r="W23" s="244">
        <f>IF(D23="O",IF(V23&lt;0,V23,0),0)</f>
        <v>0</v>
      </c>
      <c r="X23" s="244">
        <f>IF(B23="COM",N23,0)</f>
        <v>0</v>
      </c>
      <c r="Y23" s="244">
        <f>IF(D23="O",IF(X23&lt;0,X23,0),0)</f>
        <v>0</v>
      </c>
      <c r="Z23" s="244">
        <f>IF(B23="IND",N23,0)</f>
        <v>-0.28999999999999998</v>
      </c>
      <c r="AA23" s="240">
        <f>IF(D23="O",IF(Z23&lt;0,Z23,0),0)</f>
        <v>0</v>
      </c>
      <c r="AB23" s="244">
        <f>IF(B23="CRYPTO",N23,0)</f>
        <v>0</v>
      </c>
      <c r="AC23" s="240">
        <f>IF(D23="O",IF(AB23&lt;0,AB23,0),0)</f>
        <v>0</v>
      </c>
      <c r="AD23" s="245">
        <f>IF(K23&lt;&gt;"",K23-E23,0)</f>
        <v>0.17638888888905058</v>
      </c>
      <c r="AE23" s="245">
        <f>IF(N23&gt;0,AD23,0)</f>
        <v>0</v>
      </c>
      <c r="AF23" s="245">
        <f>IF(N23&lt;0,AD23,0)</f>
        <v>0.17638888888905058</v>
      </c>
      <c r="AG23" s="245">
        <f>IF(N23=0,AD23,0)</f>
        <v>0</v>
      </c>
      <c r="AH23" s="176"/>
      <c r="AI23" s="109"/>
    </row>
    <row r="24" spans="1:35" s="112" customFormat="1" x14ac:dyDescent="0.3">
      <c r="A24" s="140"/>
      <c r="B24" s="232" t="s">
        <v>5</v>
      </c>
      <c r="C24" s="197" t="s">
        <v>15</v>
      </c>
      <c r="D24" s="233" t="str">
        <f>IF(E24&lt;&gt;"",IF(K24&lt;&gt;"","C","O"),"")</f>
        <v>C</v>
      </c>
      <c r="E24" s="234">
        <v>44872.46875</v>
      </c>
      <c r="F24" s="200" t="s">
        <v>91</v>
      </c>
      <c r="G24" s="235">
        <v>13549.6</v>
      </c>
      <c r="H24" s="236">
        <v>13512.68</v>
      </c>
      <c r="I24" s="237">
        <f>ABS(G24-H24)</f>
        <v>36.920000000000073</v>
      </c>
      <c r="J24" s="235">
        <v>14238.82</v>
      </c>
      <c r="K24" s="199">
        <v>44872.692361111112</v>
      </c>
      <c r="L24" s="235">
        <v>13513.4</v>
      </c>
      <c r="M24" s="238">
        <f>ROUND(IF(C24="L",(L24-G24),(G24-L24)),4)</f>
        <v>-36.200000000000003</v>
      </c>
      <c r="N24" s="239">
        <f>IFERROR(ROUND((M24/I24),2),"")</f>
        <v>-0.98</v>
      </c>
      <c r="O24" s="240">
        <f>IF(D24="O",IF(N24&lt;0,N24,0),0)</f>
        <v>0</v>
      </c>
      <c r="P24" s="241">
        <f>IF(N24&gt;= 0,N24,0)</f>
        <v>0</v>
      </c>
      <c r="Q24" s="241">
        <f>IF(N24&lt;0,N24,0)</f>
        <v>-0.98</v>
      </c>
      <c r="R24" s="241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4" s="242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14906</v>
      </c>
      <c r="T24" s="242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4" s="243">
        <f ca="1">IF(Tabla336106734810[[#This Row],[Equity]]&lt;Tabla336106734810[[#This Row],[Equity Peak]],(Tabla336106734810[[#This Row],[Equity Peak]]-Tabla336106734810[[#This Row],[Equity]])/Tabla336106734810[[#This Row],[Equity Peak]],"")</f>
        <v>9.0820372064653862E-2</v>
      </c>
      <c r="V24" s="244">
        <f>IF(B24="FX",N24,0)</f>
        <v>0</v>
      </c>
      <c r="W24" s="244">
        <f>IF(D24="O",IF(V24&lt;0,V24,0),0)</f>
        <v>0</v>
      </c>
      <c r="X24" s="244">
        <f>IF(B24="COM",N24,0)</f>
        <v>0</v>
      </c>
      <c r="Y24" s="244">
        <f>IF(D24="O",IF(X24&lt;0,X24,0),0)</f>
        <v>0</v>
      </c>
      <c r="Z24" s="244">
        <f>IF(B24="IND",N24,0)</f>
        <v>-0.98</v>
      </c>
      <c r="AA24" s="240">
        <f>IF(D24="O",IF(Z24&lt;0,Z24,0),0)</f>
        <v>0</v>
      </c>
      <c r="AB24" s="244">
        <f>IF(B24="CRYPTO",N24,0)</f>
        <v>0</v>
      </c>
      <c r="AC24" s="240">
        <f>IF(D24="O",IF(AB24&lt;0,AB24,0),0)</f>
        <v>0</v>
      </c>
      <c r="AD24" s="245">
        <f>IF(K24&lt;&gt;"",K24-E24,0)</f>
        <v>0.22361111111240461</v>
      </c>
      <c r="AE24" s="245">
        <f>IF(N24&gt;0,AD24,0)</f>
        <v>0</v>
      </c>
      <c r="AF24" s="245">
        <f>IF(N24&lt;0,AD24,0)</f>
        <v>0.22361111111240461</v>
      </c>
      <c r="AG24" s="245">
        <f>IF(N24=0,AD24,0)</f>
        <v>0</v>
      </c>
      <c r="AH24" s="176"/>
      <c r="AI24" s="109"/>
    </row>
    <row r="25" spans="1:35" s="112" customFormat="1" x14ac:dyDescent="0.3">
      <c r="A25" s="140"/>
      <c r="B25" s="196" t="s">
        <v>5</v>
      </c>
      <c r="C25" s="197" t="s">
        <v>15</v>
      </c>
      <c r="D25" s="198" t="str">
        <f t="shared" ref="D25:D56" si="0">IF(E25&lt;&gt;"",IF(K25&lt;&gt;"","C","O"),"")</f>
        <v>C</v>
      </c>
      <c r="E25" s="199">
        <v>44869.71875</v>
      </c>
      <c r="F25" s="200" t="s">
        <v>91</v>
      </c>
      <c r="G25" s="201">
        <v>13478.3</v>
      </c>
      <c r="H25" s="201">
        <v>13442.66</v>
      </c>
      <c r="I25" s="202">
        <f t="shared" ref="I25:I56" si="1">ABS(G25-H25)</f>
        <v>35.639999999999418</v>
      </c>
      <c r="J25" s="201">
        <v>14143.63</v>
      </c>
      <c r="K25" s="199">
        <v>44869.768750000003</v>
      </c>
      <c r="L25" s="201">
        <v>13469.43</v>
      </c>
      <c r="M25" s="203">
        <f t="shared" ref="M25:M56" si="2">ROUND(IF(C25="L",(L25-G25),(G25-L25)),4)</f>
        <v>-8.8699999999999992</v>
      </c>
      <c r="N25" s="204">
        <f t="shared" ref="N25:N56" si="3">IFERROR(ROUND((M25/I25),2),"")</f>
        <v>-0.25</v>
      </c>
      <c r="O25" s="205">
        <f t="shared" ref="O25:O56" si="4">IF(D25="O",IF(N25&lt;0,N25,0),0)</f>
        <v>0</v>
      </c>
      <c r="P25" s="206">
        <f t="shared" ref="P25:P56" si="5">IF(N25&gt;= 0,N25,0)</f>
        <v>0</v>
      </c>
      <c r="Q25" s="206">
        <f t="shared" ref="Q25:Q56" si="6">IF(N25&lt;0,N25,0)</f>
        <v>-0.25</v>
      </c>
      <c r="R2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15004</v>
      </c>
      <c r="T2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5" s="208">
        <f ca="1">IF(Tabla336106734810[[#This Row],[Equity]]&lt;Tabla336106734810[[#This Row],[Equity Peak]],(Tabla336106734810[[#This Row],[Equity Peak]]-Tabla336106734810[[#This Row],[Equity]])/Tabla336106734810[[#This Row],[Equity Peak]],"")</f>
        <v>8.484293992070753E-2</v>
      </c>
      <c r="V25" s="209">
        <f t="shared" ref="V25:V56" si="7">IF(B25="FX",N25,0)</f>
        <v>0</v>
      </c>
      <c r="W25" s="209">
        <f t="shared" ref="W25:W56" si="8">IF(D25="O",IF(V25&lt;0,V25,0),0)</f>
        <v>0</v>
      </c>
      <c r="X25" s="209">
        <f t="shared" ref="X25:X56" si="9">IF(B25="COM",N25,0)</f>
        <v>0</v>
      </c>
      <c r="Y25" s="209">
        <f t="shared" ref="Y25:Y56" si="10">IF(D25="O",IF(X25&lt;0,X25,0),0)</f>
        <v>0</v>
      </c>
      <c r="Z25" s="209">
        <f t="shared" ref="Z25:Z56" si="11">IF(B25="IND",N25,0)</f>
        <v>-0.25</v>
      </c>
      <c r="AA25" s="205">
        <f t="shared" ref="AA25:AA56" si="12">IF(D25="O",IF(Z25&lt;0,Z25,0),0)</f>
        <v>0</v>
      </c>
      <c r="AB25" s="209">
        <f t="shared" ref="AB25:AB56" si="13">IF(B25="CRYPTO",N25,0)</f>
        <v>0</v>
      </c>
      <c r="AC25" s="205">
        <f t="shared" ref="AC25:AC56" si="14">IF(D25="O",IF(AB25&lt;0,AB25,0),0)</f>
        <v>0</v>
      </c>
      <c r="AD25" s="210">
        <f t="shared" ref="AD25:AD56" si="15">IF(K25&lt;&gt;"",K25-E25,0)</f>
        <v>5.0000000002910383E-2</v>
      </c>
      <c r="AE25" s="210">
        <f t="shared" ref="AE25:AE56" si="16">IF(N25&gt;0,AD25,0)</f>
        <v>0</v>
      </c>
      <c r="AF25" s="210">
        <f t="shared" ref="AF25:AF56" si="17">IF(N25&lt;0,AD25,0)</f>
        <v>5.0000000002910383E-2</v>
      </c>
      <c r="AG25" s="210">
        <f t="shared" ref="AG25:AG56" si="18">IF(N25=0,AD25,0)</f>
        <v>0</v>
      </c>
      <c r="AH25" s="176"/>
      <c r="AI25" s="109"/>
    </row>
    <row r="26" spans="1:35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44869.6875</v>
      </c>
      <c r="F26" s="200" t="s">
        <v>91</v>
      </c>
      <c r="G26" s="201">
        <v>13446.3</v>
      </c>
      <c r="H26" s="201">
        <v>13411.34</v>
      </c>
      <c r="I26" s="202">
        <f t="shared" si="1"/>
        <v>34.959999999999127</v>
      </c>
      <c r="J26" s="201">
        <v>14098.83</v>
      </c>
      <c r="K26" s="199">
        <v>44869.696527777778</v>
      </c>
      <c r="L26" s="201">
        <v>13411.34</v>
      </c>
      <c r="M26" s="203">
        <f t="shared" si="2"/>
        <v>-34.96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15029</v>
      </c>
      <c r="T2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6" s="208">
        <f ca="1">IF(Tabla336106734810[[#This Row],[Equity]]&lt;Tabla336106734810[[#This Row],[Equity Peak]],(Tabla336106734810[[#This Row],[Equity Peak]]-Tabla336106734810[[#This Row],[Equity]])/Tabla336106734810[[#This Row],[Equity Peak]],"")</f>
        <v>8.3318084781945717E-2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-1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9.0277777781011537E-3</v>
      </c>
      <c r="AE26" s="210">
        <f t="shared" si="16"/>
        <v>0</v>
      </c>
      <c r="AF26" s="210">
        <f t="shared" si="17"/>
        <v>9.0277777781011537E-3</v>
      </c>
      <c r="AG26" s="210">
        <f t="shared" si="18"/>
        <v>0</v>
      </c>
    </row>
    <row r="27" spans="1:35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44866.583333333336</v>
      </c>
      <c r="F27" s="200" t="s">
        <v>91</v>
      </c>
      <c r="G27" s="201">
        <v>13420.45</v>
      </c>
      <c r="H27" s="201">
        <v>13386.24</v>
      </c>
      <c r="I27" s="202">
        <f t="shared" si="1"/>
        <v>34.210000000000946</v>
      </c>
      <c r="J27" s="201">
        <v>14059.02</v>
      </c>
      <c r="K27" s="199">
        <v>44866.708333333336</v>
      </c>
      <c r="L27" s="201">
        <v>13386.24</v>
      </c>
      <c r="M27" s="203">
        <f t="shared" si="2"/>
        <v>-34.21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15129</v>
      </c>
      <c r="T2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7" s="208">
        <f ca="1">IF(Tabla336106734810[[#This Row],[Equity]]&lt;Tabla336106734810[[#This Row],[Equity Peak]],(Tabla336106734810[[#This Row],[Equity Peak]]-Tabla336106734810[[#This Row],[Equity]])/Tabla336106734810[[#This Row],[Equity Peak]],"")</f>
        <v>7.7218664226898451E-2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-1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0.125</v>
      </c>
      <c r="AE27" s="210">
        <f t="shared" si="16"/>
        <v>0</v>
      </c>
      <c r="AF27" s="210">
        <f t="shared" si="17"/>
        <v>0.125</v>
      </c>
      <c r="AG27" s="210">
        <f t="shared" si="18"/>
        <v>0</v>
      </c>
    </row>
    <row r="28" spans="1:35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44866.46875</v>
      </c>
      <c r="F28" s="200" t="s">
        <v>91</v>
      </c>
      <c r="G28" s="201">
        <v>13409.45</v>
      </c>
      <c r="H28" s="201">
        <v>13375.21</v>
      </c>
      <c r="I28" s="202">
        <f t="shared" si="1"/>
        <v>34.240000000001601</v>
      </c>
      <c r="J28" s="201">
        <v>14048.54</v>
      </c>
      <c r="K28" s="199">
        <v>44866.475694444445</v>
      </c>
      <c r="L28" s="201">
        <v>13375.21</v>
      </c>
      <c r="M28" s="203">
        <f t="shared" si="2"/>
        <v>-34.24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15229</v>
      </c>
      <c r="T2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8" s="208">
        <f ca="1">IF(Tabla336106734810[[#This Row],[Equity]]&lt;Tabla336106734810[[#This Row],[Equity Peak]],(Tabla336106734810[[#This Row],[Equity Peak]]-Tabla336106734810[[#This Row],[Equity]])/Tabla336106734810[[#This Row],[Equity Peak]],"")</f>
        <v>7.1119243671851171E-2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-1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6.9444444452528842E-3</v>
      </c>
      <c r="AE28" s="210">
        <f t="shared" si="16"/>
        <v>0</v>
      </c>
      <c r="AF28" s="210">
        <f t="shared" si="17"/>
        <v>6.9444444452528842E-3</v>
      </c>
      <c r="AG28" s="210">
        <f t="shared" si="18"/>
        <v>0</v>
      </c>
    </row>
    <row r="29" spans="1:35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44866.354166666664</v>
      </c>
      <c r="F29" s="200" t="s">
        <v>91</v>
      </c>
      <c r="G29" s="201">
        <v>13366.45</v>
      </c>
      <c r="H29" s="201">
        <v>13332.14</v>
      </c>
      <c r="I29" s="202">
        <f t="shared" si="1"/>
        <v>34.31000000000131</v>
      </c>
      <c r="J29" s="201">
        <v>14006.94</v>
      </c>
      <c r="K29" s="199">
        <v>44866.43472222222</v>
      </c>
      <c r="L29" s="201">
        <v>13332.14</v>
      </c>
      <c r="M29" s="203">
        <f t="shared" si="2"/>
        <v>-34.31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15329</v>
      </c>
      <c r="T2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29" s="208">
        <f ca="1">IF(Tabla336106734810[[#This Row],[Equity]]&lt;Tabla336106734810[[#This Row],[Equity Peak]],(Tabla336106734810[[#This Row],[Equity Peak]]-Tabla336106734810[[#This Row],[Equity]])/Tabla336106734810[[#This Row],[Equity Peak]],"")</f>
        <v>6.5019823116803904E-2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-1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8.0555555556202307E-2</v>
      </c>
      <c r="AE29" s="210">
        <f t="shared" si="16"/>
        <v>0</v>
      </c>
      <c r="AF29" s="210">
        <f t="shared" si="17"/>
        <v>8.0555555556202307E-2</v>
      </c>
      <c r="AG29" s="210">
        <f t="shared" si="18"/>
        <v>0</v>
      </c>
    </row>
    <row r="30" spans="1:35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44862.78125</v>
      </c>
      <c r="F30" s="200" t="s">
        <v>91</v>
      </c>
      <c r="G30" s="201">
        <v>13262</v>
      </c>
      <c r="H30" s="201">
        <v>13221.47</v>
      </c>
      <c r="I30" s="202">
        <f t="shared" si="1"/>
        <v>40.530000000000655</v>
      </c>
      <c r="J30" s="201">
        <v>14018.51</v>
      </c>
      <c r="K30" s="199">
        <v>44865.459027777775</v>
      </c>
      <c r="L30" s="201">
        <v>13258.62</v>
      </c>
      <c r="M30" s="203">
        <f t="shared" si="2"/>
        <v>-3.38</v>
      </c>
      <c r="N30" s="204">
        <f t="shared" si="3"/>
        <v>-0.08</v>
      </c>
      <c r="O30" s="205">
        <f t="shared" si="4"/>
        <v>0</v>
      </c>
      <c r="P30" s="206">
        <f t="shared" si="5"/>
        <v>0</v>
      </c>
      <c r="Q30" s="206">
        <f t="shared" si="6"/>
        <v>-0.08</v>
      </c>
      <c r="R3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15429</v>
      </c>
      <c r="T3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0" s="208">
        <f ca="1">IF(Tabla336106734810[[#This Row],[Equity]]&lt;Tabla336106734810[[#This Row],[Equity Peak]],(Tabla336106734810[[#This Row],[Equity Peak]]-Tabla336106734810[[#This Row],[Equity]])/Tabla336106734810[[#This Row],[Equity Peak]],"")</f>
        <v>5.8920402561756631E-2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-0.08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2.6777777777751908</v>
      </c>
      <c r="AE30" s="210">
        <f t="shared" si="16"/>
        <v>0</v>
      </c>
      <c r="AF30" s="210">
        <f t="shared" si="17"/>
        <v>2.6777777777751908</v>
      </c>
      <c r="AG30" s="210">
        <f t="shared" si="18"/>
        <v>0</v>
      </c>
    </row>
    <row r="31" spans="1:35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44861.71875</v>
      </c>
      <c r="F31" s="200" t="s">
        <v>91</v>
      </c>
      <c r="G31" s="201">
        <v>13232.78</v>
      </c>
      <c r="H31" s="201">
        <v>13191.01</v>
      </c>
      <c r="I31" s="202">
        <f t="shared" si="1"/>
        <v>41.770000000000437</v>
      </c>
      <c r="J31" s="201">
        <v>14012.5</v>
      </c>
      <c r="K31" s="199">
        <v>44861.776388888888</v>
      </c>
      <c r="L31" s="201">
        <v>13191.01</v>
      </c>
      <c r="M31" s="203">
        <f t="shared" si="2"/>
        <v>-41.77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15437</v>
      </c>
      <c r="T3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1" s="208">
        <f ca="1">IF(Tabla336106734810[[#This Row],[Equity]]&lt;Tabla336106734810[[#This Row],[Equity Peak]],(Tabla336106734810[[#This Row],[Equity Peak]]-Tabla336106734810[[#This Row],[Equity]])/Tabla336106734810[[#This Row],[Equity Peak]],"")</f>
        <v>5.8432448917352851E-2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-1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5.7638888887595385E-2</v>
      </c>
      <c r="AE31" s="210">
        <f t="shared" si="16"/>
        <v>0</v>
      </c>
      <c r="AF31" s="210">
        <f t="shared" si="17"/>
        <v>5.7638888887595385E-2</v>
      </c>
      <c r="AG31" s="210">
        <f t="shared" si="18"/>
        <v>0</v>
      </c>
    </row>
    <row r="32" spans="1:35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44860.729166666664</v>
      </c>
      <c r="F32" s="200" t="s">
        <v>91</v>
      </c>
      <c r="G32" s="201">
        <v>13159.62</v>
      </c>
      <c r="H32" s="201">
        <v>13116.64</v>
      </c>
      <c r="I32" s="202">
        <f t="shared" si="1"/>
        <v>42.980000000001382</v>
      </c>
      <c r="J32" s="201">
        <v>13961.92</v>
      </c>
      <c r="K32" s="199">
        <v>44860.855555555558</v>
      </c>
      <c r="L32" s="201">
        <v>13139.18</v>
      </c>
      <c r="M32" s="203">
        <f t="shared" si="2"/>
        <v>-20.440000000000001</v>
      </c>
      <c r="N32" s="204">
        <f t="shared" si="3"/>
        <v>-0.48</v>
      </c>
      <c r="O32" s="205">
        <f t="shared" si="4"/>
        <v>0</v>
      </c>
      <c r="P32" s="206">
        <f t="shared" si="5"/>
        <v>0</v>
      </c>
      <c r="Q32" s="206">
        <f t="shared" si="6"/>
        <v>-0.48</v>
      </c>
      <c r="R3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15537</v>
      </c>
      <c r="T3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2" s="208">
        <f ca="1">IF(Tabla336106734810[[#This Row],[Equity]]&lt;Tabla336106734810[[#This Row],[Equity Peak]],(Tabla336106734810[[#This Row],[Equity Peak]]-Tabla336106734810[[#This Row],[Equity]])/Tabla336106734810[[#This Row],[Equity Peak]],"")</f>
        <v>5.2333028362305578E-2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-0.48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0.12638888889341615</v>
      </c>
      <c r="AE32" s="210">
        <f t="shared" si="16"/>
        <v>0</v>
      </c>
      <c r="AF32" s="210">
        <f t="shared" si="17"/>
        <v>0.12638888889341615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44860.46875</v>
      </c>
      <c r="F33" s="200" t="s">
        <v>91</v>
      </c>
      <c r="G33" s="201">
        <v>13120.62</v>
      </c>
      <c r="H33" s="201">
        <v>13078.52</v>
      </c>
      <c r="I33" s="202">
        <f t="shared" si="1"/>
        <v>42.100000000000364</v>
      </c>
      <c r="J33" s="201">
        <v>13906.46</v>
      </c>
      <c r="K33" s="199">
        <v>44860.615972222222</v>
      </c>
      <c r="L33" s="201">
        <v>13078.52</v>
      </c>
      <c r="M33" s="203">
        <f t="shared" si="2"/>
        <v>-42.1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15585</v>
      </c>
      <c r="T3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3" s="208">
        <f ca="1">IF(Tabla336106734810[[#This Row],[Equity]]&lt;Tabla336106734810[[#This Row],[Equity Peak]],(Tabla336106734810[[#This Row],[Equity Peak]]-Tabla336106734810[[#This Row],[Equity]])/Tabla336106734810[[#This Row],[Equity Peak]],"")</f>
        <v>4.9405306495882893E-2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-1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0.14722222222189885</v>
      </c>
      <c r="AE33" s="210">
        <f t="shared" si="16"/>
        <v>0</v>
      </c>
      <c r="AF33" s="210">
        <f t="shared" si="17"/>
        <v>0.14722222222189885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0"/>
        <v>C</v>
      </c>
      <c r="E34" s="199">
        <v>44859.760416666664</v>
      </c>
      <c r="F34" s="200" t="s">
        <v>91</v>
      </c>
      <c r="G34" s="201">
        <v>13034.77</v>
      </c>
      <c r="H34" s="201">
        <v>12989.07</v>
      </c>
      <c r="I34" s="202">
        <f t="shared" si="1"/>
        <v>45.700000000000728</v>
      </c>
      <c r="J34" s="201">
        <v>13887.92</v>
      </c>
      <c r="K34" s="199">
        <v>44860.170138888891</v>
      </c>
      <c r="L34" s="201">
        <v>13017.06</v>
      </c>
      <c r="M34" s="203">
        <f t="shared" si="2"/>
        <v>-17.71</v>
      </c>
      <c r="N34" s="204">
        <f t="shared" si="3"/>
        <v>-0.39</v>
      </c>
      <c r="O34" s="205">
        <f t="shared" si="4"/>
        <v>0</v>
      </c>
      <c r="P34" s="206">
        <f t="shared" si="5"/>
        <v>0</v>
      </c>
      <c r="Q34" s="206">
        <f t="shared" si="6"/>
        <v>-0.39</v>
      </c>
      <c r="R3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15685</v>
      </c>
      <c r="T3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4" s="208">
        <f ca="1">IF(Tabla336106734810[[#This Row],[Equity]]&lt;Tabla336106734810[[#This Row],[Equity Peak]],(Tabla336106734810[[#This Row],[Equity Peak]]-Tabla336106734810[[#This Row],[Equity]])/Tabla336106734810[[#This Row],[Equity Peak]],"")</f>
        <v>4.330588594083562E-2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-0.39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0.40972222222626442</v>
      </c>
      <c r="AE34" s="210">
        <f t="shared" si="16"/>
        <v>0</v>
      </c>
      <c r="AF34" s="210">
        <f t="shared" si="17"/>
        <v>0.40972222222626442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0"/>
        <v>C</v>
      </c>
      <c r="E35" s="199">
        <v>44858.666666666664</v>
      </c>
      <c r="F35" s="200" t="s">
        <v>91</v>
      </c>
      <c r="G35" s="201">
        <v>12997.83</v>
      </c>
      <c r="H35" s="201">
        <v>12953.1</v>
      </c>
      <c r="I35" s="202">
        <f t="shared" si="1"/>
        <v>44.729999999999563</v>
      </c>
      <c r="J35" s="201">
        <v>13832.73</v>
      </c>
      <c r="K35" s="199">
        <v>44858.679166666669</v>
      </c>
      <c r="L35" s="201">
        <v>12953.1</v>
      </c>
      <c r="M35" s="203">
        <f t="shared" si="2"/>
        <v>-44.73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15724</v>
      </c>
      <c r="T3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5" s="208">
        <f ca="1">IF(Tabla336106734810[[#This Row],[Equity]]&lt;Tabla336106734810[[#This Row],[Equity Peak]],(Tabla336106734810[[#This Row],[Equity Peak]]-Tabla336106734810[[#This Row],[Equity]])/Tabla336106734810[[#This Row],[Equity Peak]],"")</f>
        <v>4.0927111924367182E-2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-1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1.2500000004365575E-2</v>
      </c>
      <c r="AE35" s="210">
        <f t="shared" si="16"/>
        <v>0</v>
      </c>
      <c r="AF35" s="210">
        <f t="shared" si="17"/>
        <v>1.2500000004365575E-2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0"/>
        <v>C</v>
      </c>
      <c r="E36" s="199">
        <v>44858.614583333336</v>
      </c>
      <c r="F36" s="200" t="s">
        <v>91</v>
      </c>
      <c r="G36" s="201">
        <v>12955.83</v>
      </c>
      <c r="H36" s="201">
        <v>12911.63</v>
      </c>
      <c r="I36" s="202">
        <f t="shared" si="1"/>
        <v>44.200000000000728</v>
      </c>
      <c r="J36" s="201">
        <v>13780.93</v>
      </c>
      <c r="K36" s="199">
        <v>44858.64166666667</v>
      </c>
      <c r="L36" s="201">
        <v>12911.63</v>
      </c>
      <c r="M36" s="203">
        <f t="shared" si="2"/>
        <v>-44.2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15824</v>
      </c>
      <c r="T3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6" s="208">
        <f ca="1">IF(Tabla336106734810[[#This Row],[Equity]]&lt;Tabla336106734810[[#This Row],[Equity Peak]],(Tabla336106734810[[#This Row],[Equity Peak]]-Tabla336106734810[[#This Row],[Equity]])/Tabla336106734810[[#This Row],[Equity Peak]],"")</f>
        <v>3.4827691369319916E-2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-1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2.7083333334303461E-2</v>
      </c>
      <c r="AE36" s="210">
        <f t="shared" si="16"/>
        <v>0</v>
      </c>
      <c r="AF36" s="210">
        <f t="shared" si="17"/>
        <v>2.7083333334303461E-2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0"/>
        <v>C</v>
      </c>
      <c r="E37" s="199">
        <v>44852.635416666664</v>
      </c>
      <c r="F37" s="200" t="s">
        <v>91</v>
      </c>
      <c r="G37" s="201">
        <v>12873.52</v>
      </c>
      <c r="H37" s="201">
        <v>12823.44</v>
      </c>
      <c r="I37" s="202">
        <f t="shared" si="1"/>
        <v>50.079999999999927</v>
      </c>
      <c r="J37" s="201">
        <v>13808.34</v>
      </c>
      <c r="K37" s="199">
        <v>44852.732638888891</v>
      </c>
      <c r="L37" s="201">
        <v>12834.98</v>
      </c>
      <c r="M37" s="203">
        <f t="shared" si="2"/>
        <v>-38.54</v>
      </c>
      <c r="N37" s="204">
        <f t="shared" si="3"/>
        <v>-0.77</v>
      </c>
      <c r="O37" s="205">
        <f t="shared" si="4"/>
        <v>0</v>
      </c>
      <c r="P37" s="206">
        <f t="shared" si="5"/>
        <v>0</v>
      </c>
      <c r="Q37" s="206">
        <f t="shared" si="6"/>
        <v>-0.77</v>
      </c>
      <c r="R3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15924</v>
      </c>
      <c r="T3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7" s="208">
        <f ca="1">IF(Tabla336106734810[[#This Row],[Equity]]&lt;Tabla336106734810[[#This Row],[Equity Peak]],(Tabla336106734810[[#This Row],[Equity Peak]]-Tabla336106734810[[#This Row],[Equity]])/Tabla336106734810[[#This Row],[Equity Peak]],"")</f>
        <v>2.8728270814272643E-2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-0.77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9.7222222226264421E-2</v>
      </c>
      <c r="AE37" s="210">
        <f t="shared" si="16"/>
        <v>0</v>
      </c>
      <c r="AF37" s="210">
        <f t="shared" si="17"/>
        <v>9.7222222226264421E-2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0"/>
        <v>C</v>
      </c>
      <c r="E38" s="199">
        <v>44852.28125</v>
      </c>
      <c r="F38" s="200" t="s">
        <v>91</v>
      </c>
      <c r="G38" s="201">
        <v>12742.77</v>
      </c>
      <c r="H38" s="201">
        <v>12692.93</v>
      </c>
      <c r="I38" s="202">
        <f t="shared" si="1"/>
        <v>49.840000000000146</v>
      </c>
      <c r="J38" s="201">
        <v>13673.04</v>
      </c>
      <c r="K38" s="199">
        <v>44852.52847222222</v>
      </c>
      <c r="L38" s="201">
        <v>12740.44</v>
      </c>
      <c r="M38" s="203">
        <f t="shared" si="2"/>
        <v>-2.33</v>
      </c>
      <c r="N38" s="204">
        <f t="shared" si="3"/>
        <v>-0.05</v>
      </c>
      <c r="O38" s="205">
        <f t="shared" si="4"/>
        <v>0</v>
      </c>
      <c r="P38" s="206">
        <f t="shared" si="5"/>
        <v>0</v>
      </c>
      <c r="Q38" s="206">
        <f t="shared" si="6"/>
        <v>-0.05</v>
      </c>
      <c r="R3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16001</v>
      </c>
      <c r="T3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8" s="208">
        <f ca="1">IF(Tabla336106734810[[#This Row],[Equity]]&lt;Tabla336106734810[[#This Row],[Equity Peak]],(Tabla336106734810[[#This Row],[Equity Peak]]-Tabla336106734810[[#This Row],[Equity]])/Tabla336106734810[[#This Row],[Equity Peak]],"")</f>
        <v>2.4031716986886244E-2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-0.05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0.24722222222044365</v>
      </c>
      <c r="AE38" s="210">
        <f t="shared" si="16"/>
        <v>0</v>
      </c>
      <c r="AF38" s="210">
        <f t="shared" si="17"/>
        <v>0.24722222222044365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0"/>
        <v>C</v>
      </c>
      <c r="E39" s="199">
        <v>44851.697916666664</v>
      </c>
      <c r="F39" s="200" t="s">
        <v>91</v>
      </c>
      <c r="G39" s="201">
        <v>12689.17</v>
      </c>
      <c r="H39" s="201">
        <v>12637.78</v>
      </c>
      <c r="I39" s="202">
        <f t="shared" si="1"/>
        <v>51.389999999999418</v>
      </c>
      <c r="J39" s="201">
        <v>13648.49</v>
      </c>
      <c r="K39" s="199">
        <v>44851.743750000001</v>
      </c>
      <c r="L39" s="201">
        <v>12637.78</v>
      </c>
      <c r="M39" s="203">
        <f t="shared" si="2"/>
        <v>-51.39</v>
      </c>
      <c r="N39" s="204">
        <f t="shared" si="3"/>
        <v>-1</v>
      </c>
      <c r="O39" s="205">
        <f t="shared" si="4"/>
        <v>0</v>
      </c>
      <c r="P39" s="206">
        <f t="shared" si="5"/>
        <v>0</v>
      </c>
      <c r="Q39" s="206">
        <f t="shared" si="6"/>
        <v>-1</v>
      </c>
      <c r="R3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16006</v>
      </c>
      <c r="T3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39" s="208">
        <f ca="1">IF(Tabla336106734810[[#This Row],[Equity]]&lt;Tabla336106734810[[#This Row],[Equity Peak]],(Tabla336106734810[[#This Row],[Equity Peak]]-Tabla336106734810[[#This Row],[Equity]])/Tabla336106734810[[#This Row],[Equity Peak]],"")</f>
        <v>2.3726745959133884E-2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-1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4.5833333337213844E-2</v>
      </c>
      <c r="AE39" s="210">
        <f t="shared" si="16"/>
        <v>0</v>
      </c>
      <c r="AF39" s="210">
        <f t="shared" si="17"/>
        <v>4.5833333337213844E-2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15</v>
      </c>
      <c r="D40" s="198" t="str">
        <f t="shared" si="0"/>
        <v>C</v>
      </c>
      <c r="E40" s="199">
        <v>44848.197916666664</v>
      </c>
      <c r="F40" s="200" t="s">
        <v>91</v>
      </c>
      <c r="G40" s="201">
        <v>12521.52</v>
      </c>
      <c r="H40" s="201">
        <v>12470.1</v>
      </c>
      <c r="I40" s="202">
        <f t="shared" si="1"/>
        <v>51.420000000000073</v>
      </c>
      <c r="J40" s="201">
        <v>13481.44</v>
      </c>
      <c r="K40" s="199">
        <v>44848.431250000001</v>
      </c>
      <c r="L40" s="201">
        <v>12519.61</v>
      </c>
      <c r="M40" s="203">
        <f t="shared" si="2"/>
        <v>-1.91</v>
      </c>
      <c r="N40" s="204">
        <f t="shared" si="3"/>
        <v>-0.04</v>
      </c>
      <c r="O40" s="205">
        <f t="shared" si="4"/>
        <v>0</v>
      </c>
      <c r="P40" s="206">
        <f t="shared" si="5"/>
        <v>0</v>
      </c>
      <c r="Q40" s="206">
        <f t="shared" si="6"/>
        <v>-0.04</v>
      </c>
      <c r="R4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16106</v>
      </c>
      <c r="T4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40" s="208">
        <f ca="1">IF(Tabla336106734810[[#This Row],[Equity]]&lt;Tabla336106734810[[#This Row],[Equity Peak]],(Tabla336106734810[[#This Row],[Equity Peak]]-Tabla336106734810[[#This Row],[Equity]])/Tabla336106734810[[#This Row],[Equity Peak]],"")</f>
        <v>1.7627325404086611E-2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-0.04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0.23333333333721384</v>
      </c>
      <c r="AE40" s="210">
        <f t="shared" si="16"/>
        <v>0</v>
      </c>
      <c r="AF40" s="210">
        <f t="shared" si="17"/>
        <v>0.23333333333721384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13</v>
      </c>
      <c r="D41" s="198" t="str">
        <f t="shared" si="0"/>
        <v>C</v>
      </c>
      <c r="E41" s="199">
        <v>44847.65625</v>
      </c>
      <c r="F41" s="200" t="s">
        <v>91</v>
      </c>
      <c r="G41" s="201">
        <v>12043.67</v>
      </c>
      <c r="H41" s="201">
        <v>12090.84</v>
      </c>
      <c r="I41" s="202">
        <f t="shared" si="1"/>
        <v>47.170000000000073</v>
      </c>
      <c r="J41" s="201">
        <v>11163.21</v>
      </c>
      <c r="K41" s="199">
        <v>44847.702777777777</v>
      </c>
      <c r="L41" s="201">
        <v>12083.36</v>
      </c>
      <c r="M41" s="203">
        <f t="shared" si="2"/>
        <v>-39.69</v>
      </c>
      <c r="N41" s="204">
        <f t="shared" si="3"/>
        <v>-0.84</v>
      </c>
      <c r="O41" s="205">
        <f t="shared" si="4"/>
        <v>0</v>
      </c>
      <c r="P41" s="206">
        <f t="shared" si="5"/>
        <v>0</v>
      </c>
      <c r="Q41" s="206">
        <f t="shared" si="6"/>
        <v>-0.84</v>
      </c>
      <c r="R4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16110</v>
      </c>
      <c r="T4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41" s="208">
        <f ca="1">IF(Tabla336106734810[[#This Row],[Equity]]&lt;Tabla336106734810[[#This Row],[Equity Peak]],(Tabla336106734810[[#This Row],[Equity Peak]]-Tabla336106734810[[#This Row],[Equity]])/Tabla336106734810[[#This Row],[Equity Peak]],"")</f>
        <v>1.7383348581884721E-2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-0.84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4.6527777776645962E-2</v>
      </c>
      <c r="AE41" s="210">
        <f t="shared" si="16"/>
        <v>0</v>
      </c>
      <c r="AF41" s="210">
        <f t="shared" si="17"/>
        <v>4.6527777776645962E-2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15</v>
      </c>
      <c r="D42" s="198" t="str">
        <f t="shared" si="0"/>
        <v>C</v>
      </c>
      <c r="E42" s="199">
        <v>44840.145833333336</v>
      </c>
      <c r="F42" s="200" t="s">
        <v>91</v>
      </c>
      <c r="G42" s="201">
        <v>12683.98</v>
      </c>
      <c r="H42" s="201">
        <v>12635.61</v>
      </c>
      <c r="I42" s="202">
        <f t="shared" si="1"/>
        <v>48.369999999998981</v>
      </c>
      <c r="J42" s="201">
        <v>13586.92</v>
      </c>
      <c r="K42" s="199">
        <v>44840.384027777778</v>
      </c>
      <c r="L42" s="201">
        <v>12635.61</v>
      </c>
      <c r="M42" s="203">
        <f t="shared" si="2"/>
        <v>-48.37</v>
      </c>
      <c r="N42" s="204">
        <f t="shared" si="3"/>
        <v>-1</v>
      </c>
      <c r="O42" s="205">
        <f t="shared" si="4"/>
        <v>0</v>
      </c>
      <c r="P42" s="206">
        <f t="shared" si="5"/>
        <v>0</v>
      </c>
      <c r="Q42" s="206">
        <f t="shared" si="6"/>
        <v>-1</v>
      </c>
      <c r="R4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16194</v>
      </c>
      <c r="T4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42" s="208">
        <f ca="1">IF(Tabla336106734810[[#This Row],[Equity]]&lt;Tabla336106734810[[#This Row],[Equity Peak]],(Tabla336106734810[[#This Row],[Equity Peak]]-Tabla336106734810[[#This Row],[Equity]])/Tabla336106734810[[#This Row],[Equity Peak]],"")</f>
        <v>1.2259835315645014E-2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-1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0.2381944444423425</v>
      </c>
      <c r="AE42" s="210">
        <f t="shared" si="16"/>
        <v>0</v>
      </c>
      <c r="AF42" s="210">
        <f t="shared" si="17"/>
        <v>0.2381944444423425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15</v>
      </c>
      <c r="D43" s="198" t="str">
        <f t="shared" si="0"/>
        <v>C</v>
      </c>
      <c r="E43" s="199">
        <v>44838.541666666664</v>
      </c>
      <c r="F43" s="200" t="s">
        <v>91</v>
      </c>
      <c r="G43" s="201">
        <v>12558.43</v>
      </c>
      <c r="H43" s="201">
        <v>12506.48</v>
      </c>
      <c r="I43" s="202">
        <f t="shared" si="1"/>
        <v>51.950000000000728</v>
      </c>
      <c r="J43" s="201">
        <v>13528.21</v>
      </c>
      <c r="K43" s="199">
        <v>44839.470833333333</v>
      </c>
      <c r="L43" s="201">
        <v>12558.02</v>
      </c>
      <c r="M43" s="203">
        <f t="shared" si="2"/>
        <v>-0.41</v>
      </c>
      <c r="N43" s="204">
        <f t="shared" si="3"/>
        <v>-0.01</v>
      </c>
      <c r="O43" s="205">
        <f t="shared" si="4"/>
        <v>0</v>
      </c>
      <c r="P43" s="206">
        <f t="shared" si="5"/>
        <v>0</v>
      </c>
      <c r="Q43" s="206">
        <f t="shared" si="6"/>
        <v>-0.01</v>
      </c>
      <c r="R4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16294</v>
      </c>
      <c r="T4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43" s="208">
        <f ca="1">IF(Tabla336106734810[[#This Row],[Equity]]&lt;Tabla336106734810[[#This Row],[Equity Peak]],(Tabla336106734810[[#This Row],[Equity Peak]]-Tabla336106734810[[#This Row],[Equity]])/Tabla336106734810[[#This Row],[Equity Peak]],"")</f>
        <v>6.1604147605977431E-3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-0.01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0.92916666666860692</v>
      </c>
      <c r="AE43" s="210">
        <f t="shared" si="16"/>
        <v>0</v>
      </c>
      <c r="AF43" s="210">
        <f t="shared" si="17"/>
        <v>0.92916666666860692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13</v>
      </c>
      <c r="D44" s="198" t="str">
        <f t="shared" si="0"/>
        <v>C</v>
      </c>
      <c r="E44" s="199">
        <v>44837.145833333336</v>
      </c>
      <c r="F44" s="200" t="s">
        <v>91</v>
      </c>
      <c r="G44" s="201">
        <v>11836.51</v>
      </c>
      <c r="H44" s="201">
        <v>11897.36</v>
      </c>
      <c r="I44" s="202">
        <f t="shared" si="1"/>
        <v>60.850000000000364</v>
      </c>
      <c r="J44" s="201">
        <v>10700.69</v>
      </c>
      <c r="K44" s="199">
        <v>44837.196527777778</v>
      </c>
      <c r="L44" s="201">
        <v>11897.36</v>
      </c>
      <c r="M44" s="203">
        <f t="shared" si="2"/>
        <v>-60.85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16295</v>
      </c>
      <c r="T4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44" s="208">
        <f ca="1">IF(Tabla336106734810[[#This Row],[Equity]]&lt;Tabla336106734810[[#This Row],[Equity Peak]],(Tabla336106734810[[#This Row],[Equity Peak]]-Tabla336106734810[[#This Row],[Equity]])/Tabla336106734810[[#This Row],[Equity Peak]],"")</f>
        <v>6.0994205550472707E-3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-1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5.0694444442342501E-2</v>
      </c>
      <c r="AE44" s="210">
        <f t="shared" si="16"/>
        <v>0</v>
      </c>
      <c r="AF44" s="210">
        <f t="shared" si="17"/>
        <v>5.0694444442342501E-2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13</v>
      </c>
      <c r="D45" s="198" t="str">
        <f t="shared" si="0"/>
        <v>C</v>
      </c>
      <c r="E45" s="199">
        <v>44831.770833333336</v>
      </c>
      <c r="F45" s="200" t="s">
        <v>91</v>
      </c>
      <c r="G45" s="201">
        <v>12142.98</v>
      </c>
      <c r="H45" s="201">
        <v>12199.54</v>
      </c>
      <c r="I45" s="202">
        <f t="shared" si="1"/>
        <v>56.56000000000131</v>
      </c>
      <c r="J45" s="201">
        <v>11087.23</v>
      </c>
      <c r="K45" s="199">
        <v>44832.554861111108</v>
      </c>
      <c r="L45" s="201">
        <v>12069.17</v>
      </c>
      <c r="M45" s="203">
        <f t="shared" si="2"/>
        <v>73.81</v>
      </c>
      <c r="N45" s="204">
        <f t="shared" si="3"/>
        <v>1.3</v>
      </c>
      <c r="O45" s="205">
        <f t="shared" si="4"/>
        <v>0</v>
      </c>
      <c r="P45" s="206">
        <f t="shared" si="5"/>
        <v>1.3</v>
      </c>
      <c r="Q45" s="206">
        <f t="shared" si="6"/>
        <v>0</v>
      </c>
      <c r="R4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16395</v>
      </c>
      <c r="T4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16395</v>
      </c>
      <c r="U45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1.3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0.78402777777228039</v>
      </c>
      <c r="AE45" s="210">
        <f t="shared" si="16"/>
        <v>0.78402777777228039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13</v>
      </c>
      <c r="D46" s="198" t="str">
        <f t="shared" si="0"/>
        <v>C</v>
      </c>
      <c r="E46" s="199">
        <v>44827.479166666664</v>
      </c>
      <c r="F46" s="200" t="s">
        <v>91</v>
      </c>
      <c r="G46" s="201">
        <v>12440.64</v>
      </c>
      <c r="H46" s="201">
        <v>12486.42</v>
      </c>
      <c r="I46" s="202">
        <f t="shared" si="1"/>
        <v>45.780000000000655</v>
      </c>
      <c r="J46" s="201">
        <v>11586</v>
      </c>
      <c r="K46" s="199">
        <v>44827.682638888888</v>
      </c>
      <c r="L46" s="201">
        <v>12351.65</v>
      </c>
      <c r="M46" s="203">
        <f t="shared" si="2"/>
        <v>88.99</v>
      </c>
      <c r="N46" s="204">
        <f t="shared" si="3"/>
        <v>1.94</v>
      </c>
      <c r="O46" s="205">
        <f t="shared" si="4"/>
        <v>0</v>
      </c>
      <c r="P46" s="206">
        <f t="shared" si="5"/>
        <v>1.94</v>
      </c>
      <c r="Q46" s="206">
        <f t="shared" si="6"/>
        <v>0</v>
      </c>
      <c r="R4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16265</v>
      </c>
      <c r="T4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16265</v>
      </c>
      <c r="U46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1.94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0.20347222222335404</v>
      </c>
      <c r="AE46" s="210">
        <f t="shared" si="16"/>
        <v>0.20347222222335404</v>
      </c>
      <c r="AF46" s="210">
        <f t="shared" si="17"/>
        <v>0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13</v>
      </c>
      <c r="D47" s="198" t="str">
        <f t="shared" si="0"/>
        <v>C</v>
      </c>
      <c r="E47" s="199">
        <v>44826.145833333336</v>
      </c>
      <c r="F47" s="200" t="s">
        <v>91</v>
      </c>
      <c r="G47" s="201">
        <v>12505.62</v>
      </c>
      <c r="H47" s="201">
        <v>12550.34</v>
      </c>
      <c r="I47" s="202">
        <f t="shared" si="1"/>
        <v>44.719999999999345</v>
      </c>
      <c r="J47" s="201">
        <v>11670.88</v>
      </c>
      <c r="K47" s="199">
        <v>44826.339583333334</v>
      </c>
      <c r="L47" s="201">
        <v>12523.03</v>
      </c>
      <c r="M47" s="203">
        <f t="shared" si="2"/>
        <v>-17.41</v>
      </c>
      <c r="N47" s="204">
        <f t="shared" si="3"/>
        <v>-0.39</v>
      </c>
      <c r="O47" s="205">
        <f t="shared" si="4"/>
        <v>0</v>
      </c>
      <c r="P47" s="206">
        <f t="shared" si="5"/>
        <v>0</v>
      </c>
      <c r="Q47" s="206">
        <f t="shared" si="6"/>
        <v>-0.39</v>
      </c>
      <c r="R4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16071</v>
      </c>
      <c r="T4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16171</v>
      </c>
      <c r="U47" s="208">
        <f ca="1">IF(Tabla336106734810[[#This Row],[Equity]]&lt;Tabla336106734810[[#This Row],[Equity Peak]],(Tabla336106734810[[#This Row],[Equity Peak]]-Tabla336106734810[[#This Row],[Equity]])/Tabla336106734810[[#This Row],[Equity Peak]],"")</f>
        <v>6.1839094675653948E-3</v>
      </c>
      <c r="V47" s="209">
        <f t="shared" si="7"/>
        <v>0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-0.39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0.19374999999854481</v>
      </c>
      <c r="AE47" s="210">
        <f t="shared" si="16"/>
        <v>0</v>
      </c>
      <c r="AF47" s="210">
        <f t="shared" si="17"/>
        <v>0.19374999999854481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0"/>
        <v>C</v>
      </c>
      <c r="E48" s="199">
        <v>44824.854166666664</v>
      </c>
      <c r="F48" s="200" t="s">
        <v>91</v>
      </c>
      <c r="G48" s="201">
        <v>12584.7</v>
      </c>
      <c r="H48" s="201">
        <v>12627.02</v>
      </c>
      <c r="I48" s="202">
        <f t="shared" si="1"/>
        <v>42.319999999999709</v>
      </c>
      <c r="J48" s="201">
        <v>11794.76</v>
      </c>
      <c r="K48" s="199">
        <v>44824.928472222222</v>
      </c>
      <c r="L48" s="201">
        <v>12610.61</v>
      </c>
      <c r="M48" s="203">
        <f t="shared" si="2"/>
        <v>-25.91</v>
      </c>
      <c r="N48" s="204">
        <f t="shared" si="3"/>
        <v>-0.61</v>
      </c>
      <c r="O48" s="205">
        <f t="shared" si="4"/>
        <v>0</v>
      </c>
      <c r="P48" s="206">
        <f t="shared" si="5"/>
        <v>0</v>
      </c>
      <c r="Q48" s="206">
        <f t="shared" si="6"/>
        <v>-0.61</v>
      </c>
      <c r="R4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16110</v>
      </c>
      <c r="T4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16171</v>
      </c>
      <c r="U48" s="208">
        <f ca="1">IF(Tabla336106734810[[#This Row],[Equity]]&lt;Tabla336106734810[[#This Row],[Equity Peak]],(Tabla336106734810[[#This Row],[Equity Peak]]-Tabla336106734810[[#This Row],[Equity]])/Tabla336106734810[[#This Row],[Equity Peak]],"")</f>
        <v>3.772184775214891E-3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-0.61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7.4305555557657499E-2</v>
      </c>
      <c r="AE48" s="210">
        <f t="shared" si="16"/>
        <v>0</v>
      </c>
      <c r="AF48" s="210">
        <f t="shared" si="17"/>
        <v>7.4305555557657499E-2</v>
      </c>
      <c r="AG48" s="210">
        <f t="shared" si="18"/>
        <v>0</v>
      </c>
    </row>
    <row r="49" spans="2:33" ht="15" customHeight="1" x14ac:dyDescent="0.3">
      <c r="B49" s="196" t="s">
        <v>5</v>
      </c>
      <c r="C49" s="197" t="s">
        <v>13</v>
      </c>
      <c r="D49" s="198" t="str">
        <f t="shared" si="0"/>
        <v>C</v>
      </c>
      <c r="E49" s="199">
        <v>44820.364583333336</v>
      </c>
      <c r="F49" s="200" t="s">
        <v>91</v>
      </c>
      <c r="G49" s="201">
        <v>12845.76</v>
      </c>
      <c r="H49" s="201">
        <v>12885.85</v>
      </c>
      <c r="I49" s="202">
        <f t="shared" si="1"/>
        <v>40.090000000000146</v>
      </c>
      <c r="J49" s="201">
        <v>12097.47</v>
      </c>
      <c r="K49" s="199">
        <v>44823.697222222225</v>
      </c>
      <c r="L49" s="201">
        <v>12744.92</v>
      </c>
      <c r="M49" s="203">
        <f t="shared" si="2"/>
        <v>100.84</v>
      </c>
      <c r="N49" s="204">
        <f t="shared" si="3"/>
        <v>2.52</v>
      </c>
      <c r="O49" s="205">
        <f t="shared" si="4"/>
        <v>0</v>
      </c>
      <c r="P49" s="206">
        <f t="shared" si="5"/>
        <v>2.52</v>
      </c>
      <c r="Q49" s="206">
        <f t="shared" si="6"/>
        <v>0</v>
      </c>
      <c r="R4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16171</v>
      </c>
      <c r="T4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16171</v>
      </c>
      <c r="U49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9" s="209">
        <f t="shared" si="7"/>
        <v>0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2.52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3.3326388888890506</v>
      </c>
      <c r="AE49" s="210">
        <f t="shared" si="16"/>
        <v>3.3326388888890506</v>
      </c>
      <c r="AF49" s="210">
        <f t="shared" si="17"/>
        <v>0</v>
      </c>
      <c r="AG49" s="210">
        <f t="shared" si="18"/>
        <v>0</v>
      </c>
    </row>
    <row r="50" spans="2:33" ht="15" customHeight="1" x14ac:dyDescent="0.3">
      <c r="B50" s="196" t="s">
        <v>5</v>
      </c>
      <c r="C50" s="197" t="s">
        <v>15</v>
      </c>
      <c r="D50" s="198" t="str">
        <f t="shared" si="0"/>
        <v>C</v>
      </c>
      <c r="E50" s="199">
        <v>44813.927083333336</v>
      </c>
      <c r="F50" s="200" t="s">
        <v>91</v>
      </c>
      <c r="G50" s="201">
        <v>13130.67</v>
      </c>
      <c r="H50" s="201">
        <v>13085.35</v>
      </c>
      <c r="I50" s="202">
        <f t="shared" si="1"/>
        <v>45.319999999999709</v>
      </c>
      <c r="J50" s="201">
        <v>13976.68</v>
      </c>
      <c r="K50" s="199">
        <v>44817.645833333336</v>
      </c>
      <c r="L50" s="201">
        <v>13412.51</v>
      </c>
      <c r="M50" s="203">
        <f t="shared" si="2"/>
        <v>281.83999999999997</v>
      </c>
      <c r="N50" s="204">
        <f t="shared" si="3"/>
        <v>6.22</v>
      </c>
      <c r="O50" s="205">
        <f t="shared" si="4"/>
        <v>0</v>
      </c>
      <c r="P50" s="206">
        <f t="shared" si="5"/>
        <v>6.22</v>
      </c>
      <c r="Q50" s="206">
        <f t="shared" si="6"/>
        <v>0</v>
      </c>
      <c r="R5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15919</v>
      </c>
      <c r="T5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15919</v>
      </c>
      <c r="U50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0" s="209">
        <f t="shared" si="7"/>
        <v>0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6.22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3.71875</v>
      </c>
      <c r="AE50" s="210">
        <f t="shared" si="16"/>
        <v>3.71875</v>
      </c>
      <c r="AF50" s="210">
        <f t="shared" si="17"/>
        <v>0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15</v>
      </c>
      <c r="D51" s="198" t="str">
        <f t="shared" si="0"/>
        <v>C</v>
      </c>
      <c r="E51" s="199">
        <v>44813.46875</v>
      </c>
      <c r="F51" s="200" t="s">
        <v>91</v>
      </c>
      <c r="G51" s="201">
        <v>13068.32</v>
      </c>
      <c r="H51" s="201">
        <v>13023.94</v>
      </c>
      <c r="I51" s="202">
        <f t="shared" si="1"/>
        <v>44.3799999999992</v>
      </c>
      <c r="J51" s="201">
        <v>13896.67</v>
      </c>
      <c r="K51" s="199">
        <v>44813.544444444444</v>
      </c>
      <c r="L51" s="201">
        <v>13037.59</v>
      </c>
      <c r="M51" s="203">
        <f t="shared" si="2"/>
        <v>-30.73</v>
      </c>
      <c r="N51" s="204">
        <f t="shared" si="3"/>
        <v>-0.69</v>
      </c>
      <c r="O51" s="205">
        <f t="shared" si="4"/>
        <v>0</v>
      </c>
      <c r="P51" s="206">
        <f t="shared" si="5"/>
        <v>0</v>
      </c>
      <c r="Q51" s="206">
        <f t="shared" si="6"/>
        <v>-0.69</v>
      </c>
      <c r="R5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15297</v>
      </c>
      <c r="T5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15666</v>
      </c>
      <c r="U51" s="208">
        <f ca="1">IF(Tabla336106734810[[#This Row],[Equity]]&lt;Tabla336106734810[[#This Row],[Equity Peak]],(Tabla336106734810[[#This Row],[Equity Peak]]-Tabla336106734810[[#This Row],[Equity]])/Tabla336106734810[[#This Row],[Equity Peak]],"")</f>
        <v>2.3554193795480658E-2</v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-0.69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7.5694444443797693E-2</v>
      </c>
      <c r="AE51" s="210">
        <f t="shared" si="16"/>
        <v>0</v>
      </c>
      <c r="AF51" s="210">
        <f t="shared" si="17"/>
        <v>7.5694444443797693E-2</v>
      </c>
      <c r="AG51" s="210">
        <f t="shared" si="18"/>
        <v>0</v>
      </c>
    </row>
    <row r="52" spans="2:33" ht="15" customHeight="1" x14ac:dyDescent="0.3">
      <c r="B52" s="196" t="s">
        <v>5</v>
      </c>
      <c r="C52" s="197" t="s">
        <v>13</v>
      </c>
      <c r="D52" s="198" t="str">
        <f t="shared" si="0"/>
        <v>C</v>
      </c>
      <c r="E52" s="199">
        <v>44809.15625</v>
      </c>
      <c r="F52" s="200" t="s">
        <v>91</v>
      </c>
      <c r="G52" s="201">
        <v>12598.42</v>
      </c>
      <c r="H52" s="201">
        <v>12646.79</v>
      </c>
      <c r="I52" s="202">
        <f t="shared" si="1"/>
        <v>48.3700000000008</v>
      </c>
      <c r="J52" s="201">
        <v>11695.51</v>
      </c>
      <c r="K52" s="199">
        <v>44809.281944444447</v>
      </c>
      <c r="L52" s="201">
        <v>12646.79</v>
      </c>
      <c r="M52" s="203">
        <f t="shared" si="2"/>
        <v>-48.37</v>
      </c>
      <c r="N52" s="204">
        <f t="shared" si="3"/>
        <v>-1</v>
      </c>
      <c r="O52" s="205">
        <f t="shared" si="4"/>
        <v>0</v>
      </c>
      <c r="P52" s="206">
        <f t="shared" si="5"/>
        <v>0</v>
      </c>
      <c r="Q52" s="206">
        <f t="shared" si="6"/>
        <v>-1</v>
      </c>
      <c r="R5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15366</v>
      </c>
      <c r="T5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15666</v>
      </c>
      <c r="U52" s="208">
        <f ca="1">IF(Tabla336106734810[[#This Row],[Equity]]&lt;Tabla336106734810[[#This Row],[Equity Peak]],(Tabla336106734810[[#This Row],[Equity Peak]]-Tabla336106734810[[#This Row],[Equity]])/Tabla336106734810[[#This Row],[Equity Peak]],"")</f>
        <v>1.9149751053236307E-2</v>
      </c>
      <c r="V52" s="209">
        <f t="shared" si="7"/>
        <v>0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-1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0.12569444444670808</v>
      </c>
      <c r="AE52" s="210">
        <f t="shared" si="16"/>
        <v>0</v>
      </c>
      <c r="AF52" s="210">
        <f t="shared" si="17"/>
        <v>0.12569444444670808</v>
      </c>
      <c r="AG52" s="210">
        <f t="shared" si="18"/>
        <v>0</v>
      </c>
    </row>
    <row r="53" spans="2:33" ht="15" customHeight="1" x14ac:dyDescent="0.3">
      <c r="B53" s="196" t="s">
        <v>5</v>
      </c>
      <c r="C53" s="197" t="s">
        <v>13</v>
      </c>
      <c r="D53" s="198" t="str">
        <f t="shared" si="0"/>
        <v>C</v>
      </c>
      <c r="E53" s="199">
        <v>44805.479166666664</v>
      </c>
      <c r="F53" s="200" t="s">
        <v>91</v>
      </c>
      <c r="G53" s="201">
        <v>12642.98</v>
      </c>
      <c r="H53" s="201">
        <v>12686.78</v>
      </c>
      <c r="I53" s="202">
        <f t="shared" si="1"/>
        <v>43.800000000001091</v>
      </c>
      <c r="J53" s="201">
        <v>11825.37</v>
      </c>
      <c r="K53" s="199">
        <v>44805.532638888886</v>
      </c>
      <c r="L53" s="201">
        <v>12686.78</v>
      </c>
      <c r="M53" s="203">
        <f t="shared" si="2"/>
        <v>-43.8</v>
      </c>
      <c r="N53" s="204">
        <f t="shared" si="3"/>
        <v>-1</v>
      </c>
      <c r="O53" s="205">
        <f t="shared" si="4"/>
        <v>0</v>
      </c>
      <c r="P53" s="206">
        <f t="shared" si="5"/>
        <v>0</v>
      </c>
      <c r="Q53" s="206">
        <f t="shared" si="6"/>
        <v>-1</v>
      </c>
      <c r="R5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15466</v>
      </c>
      <c r="T5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15666</v>
      </c>
      <c r="U53" s="208">
        <f ca="1">IF(Tabla336106734810[[#This Row],[Equity]]&lt;Tabla336106734810[[#This Row],[Equity Peak]],(Tabla336106734810[[#This Row],[Equity Peak]]-Tabla336106734810[[#This Row],[Equity]])/Tabla336106734810[[#This Row],[Equity Peak]],"")</f>
        <v>1.2766500702157539E-2</v>
      </c>
      <c r="V53" s="209">
        <f t="shared" si="7"/>
        <v>0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-1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5.3472222221898846E-2</v>
      </c>
      <c r="AE53" s="210">
        <f t="shared" si="16"/>
        <v>0</v>
      </c>
      <c r="AF53" s="210">
        <f t="shared" si="17"/>
        <v>5.3472222221898846E-2</v>
      </c>
      <c r="AG53" s="210">
        <f t="shared" si="18"/>
        <v>0</v>
      </c>
    </row>
    <row r="54" spans="2:33" ht="15" customHeight="1" x14ac:dyDescent="0.3">
      <c r="B54" s="196" t="s">
        <v>5</v>
      </c>
      <c r="C54" s="197" t="s">
        <v>13</v>
      </c>
      <c r="D54" s="198" t="str">
        <f t="shared" si="0"/>
        <v>C</v>
      </c>
      <c r="E54" s="199">
        <v>44805.4375</v>
      </c>
      <c r="F54" s="200" t="s">
        <v>91</v>
      </c>
      <c r="G54" s="201">
        <v>12670.98</v>
      </c>
      <c r="H54" s="201">
        <v>12715.73</v>
      </c>
      <c r="I54" s="202">
        <f t="shared" si="1"/>
        <v>44.75</v>
      </c>
      <c r="J54" s="201">
        <v>11835.72</v>
      </c>
      <c r="K54" s="199">
        <v>44805.462500000001</v>
      </c>
      <c r="L54" s="201">
        <v>12715.73</v>
      </c>
      <c r="M54" s="203">
        <f t="shared" si="2"/>
        <v>-44.75</v>
      </c>
      <c r="N54" s="204">
        <f t="shared" si="3"/>
        <v>-1</v>
      </c>
      <c r="O54" s="205">
        <f t="shared" si="4"/>
        <v>0</v>
      </c>
      <c r="P54" s="206">
        <f t="shared" si="5"/>
        <v>0</v>
      </c>
      <c r="Q54" s="206">
        <f t="shared" si="6"/>
        <v>-1</v>
      </c>
      <c r="R5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15566</v>
      </c>
      <c r="T5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15666</v>
      </c>
      <c r="U54" s="208">
        <f ca="1">IF(Tabla336106734810[[#This Row],[Equity]]&lt;Tabla336106734810[[#This Row],[Equity Peak]],(Tabla336106734810[[#This Row],[Equity Peak]]-Tabla336106734810[[#This Row],[Equity]])/Tabla336106734810[[#This Row],[Equity Peak]],"")</f>
        <v>6.3832503510787694E-3</v>
      </c>
      <c r="V54" s="209">
        <f t="shared" si="7"/>
        <v>0</v>
      </c>
      <c r="W54" s="209">
        <f t="shared" si="8"/>
        <v>0</v>
      </c>
      <c r="X54" s="209">
        <f t="shared" si="9"/>
        <v>0</v>
      </c>
      <c r="Y54" s="209">
        <f t="shared" si="10"/>
        <v>0</v>
      </c>
      <c r="Z54" s="209">
        <f t="shared" si="11"/>
        <v>-1</v>
      </c>
      <c r="AA54" s="205">
        <f t="shared" si="12"/>
        <v>0</v>
      </c>
      <c r="AB54" s="209">
        <f t="shared" si="13"/>
        <v>0</v>
      </c>
      <c r="AC54" s="205">
        <f t="shared" si="14"/>
        <v>0</v>
      </c>
      <c r="AD54" s="210">
        <f t="shared" si="15"/>
        <v>2.5000000001455192E-2</v>
      </c>
      <c r="AE54" s="210">
        <f t="shared" si="16"/>
        <v>0</v>
      </c>
      <c r="AF54" s="210">
        <f t="shared" si="17"/>
        <v>2.5000000001455192E-2</v>
      </c>
      <c r="AG54" s="210">
        <f t="shared" si="18"/>
        <v>0</v>
      </c>
    </row>
    <row r="55" spans="2:33" ht="15" customHeight="1" x14ac:dyDescent="0.3">
      <c r="B55" s="196" t="s">
        <v>5</v>
      </c>
      <c r="C55" s="197" t="s">
        <v>13</v>
      </c>
      <c r="D55" s="198" t="str">
        <f t="shared" si="0"/>
        <v>C</v>
      </c>
      <c r="E55" s="199">
        <v>44799.739583333336</v>
      </c>
      <c r="F55" s="200" t="s">
        <v>91</v>
      </c>
      <c r="G55" s="201">
        <v>13040.51</v>
      </c>
      <c r="H55" s="201">
        <v>13077.7</v>
      </c>
      <c r="I55" s="202">
        <f t="shared" si="1"/>
        <v>37.190000000000509</v>
      </c>
      <c r="J55" s="201">
        <v>12346.33</v>
      </c>
      <c r="K55" s="199">
        <v>44802.415972222225</v>
      </c>
      <c r="L55" s="201">
        <v>12840.77</v>
      </c>
      <c r="M55" s="203">
        <f t="shared" si="2"/>
        <v>199.74</v>
      </c>
      <c r="N55" s="204">
        <f t="shared" si="3"/>
        <v>5.37</v>
      </c>
      <c r="O55" s="205">
        <f t="shared" si="4"/>
        <v>0</v>
      </c>
      <c r="P55" s="206">
        <f t="shared" si="5"/>
        <v>5.37</v>
      </c>
      <c r="Q55" s="206">
        <f t="shared" si="6"/>
        <v>0</v>
      </c>
      <c r="R5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15666</v>
      </c>
      <c r="T5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15666</v>
      </c>
      <c r="U55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5" s="209">
        <f t="shared" si="7"/>
        <v>0</v>
      </c>
      <c r="W55" s="209">
        <f t="shared" si="8"/>
        <v>0</v>
      </c>
      <c r="X55" s="209">
        <f t="shared" si="9"/>
        <v>0</v>
      </c>
      <c r="Y55" s="209">
        <f t="shared" si="10"/>
        <v>0</v>
      </c>
      <c r="Z55" s="209">
        <f t="shared" si="11"/>
        <v>5.37</v>
      </c>
      <c r="AA55" s="205">
        <f t="shared" si="12"/>
        <v>0</v>
      </c>
      <c r="AB55" s="209">
        <f t="shared" si="13"/>
        <v>0</v>
      </c>
      <c r="AC55" s="205">
        <f t="shared" si="14"/>
        <v>0</v>
      </c>
      <c r="AD55" s="210">
        <f t="shared" si="15"/>
        <v>2.6763888888890506</v>
      </c>
      <c r="AE55" s="210">
        <f t="shared" si="16"/>
        <v>2.6763888888890506</v>
      </c>
      <c r="AF55" s="210">
        <f t="shared" si="17"/>
        <v>0</v>
      </c>
      <c r="AG55" s="210">
        <f t="shared" si="18"/>
        <v>0</v>
      </c>
    </row>
    <row r="56" spans="2:33" ht="15" customHeight="1" x14ac:dyDescent="0.3">
      <c r="B56" s="196" t="s">
        <v>5</v>
      </c>
      <c r="C56" s="197" t="s">
        <v>13</v>
      </c>
      <c r="D56" s="198" t="str">
        <f t="shared" si="0"/>
        <v>C</v>
      </c>
      <c r="E56" s="199">
        <v>44797.197916666664</v>
      </c>
      <c r="F56" s="200" t="s">
        <v>91</v>
      </c>
      <c r="G56" s="201">
        <v>13120.26</v>
      </c>
      <c r="H56" s="201">
        <v>13156.1</v>
      </c>
      <c r="I56" s="202">
        <f t="shared" si="1"/>
        <v>35.840000000000146</v>
      </c>
      <c r="J56" s="201">
        <v>12451.19</v>
      </c>
      <c r="K56" s="199">
        <v>44797.37777777778</v>
      </c>
      <c r="L56" s="201">
        <v>13151.84</v>
      </c>
      <c r="M56" s="203">
        <f t="shared" si="2"/>
        <v>-31.58</v>
      </c>
      <c r="N56" s="204">
        <f t="shared" si="3"/>
        <v>-0.88</v>
      </c>
      <c r="O56" s="205">
        <f t="shared" si="4"/>
        <v>0</v>
      </c>
      <c r="P56" s="206">
        <f t="shared" si="5"/>
        <v>0</v>
      </c>
      <c r="Q56" s="206">
        <f t="shared" si="6"/>
        <v>-0.88</v>
      </c>
      <c r="R5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15129</v>
      </c>
      <c r="T5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56" s="208">
        <f ca="1">IF(Tabla336106734810[[#This Row],[Equity]]&lt;Tabla336106734810[[#This Row],[Equity Peak]],(Tabla336106734810[[#This Row],[Equity Peak]]-Tabla336106734810[[#This Row],[Equity]])/Tabla336106734810[[#This Row],[Equity Peak]],"")</f>
        <v>6.5664193315385123E-3</v>
      </c>
      <c r="V56" s="209">
        <f t="shared" si="7"/>
        <v>0</v>
      </c>
      <c r="W56" s="209">
        <f t="shared" si="8"/>
        <v>0</v>
      </c>
      <c r="X56" s="209">
        <f t="shared" si="9"/>
        <v>0</v>
      </c>
      <c r="Y56" s="209">
        <f t="shared" si="10"/>
        <v>0</v>
      </c>
      <c r="Z56" s="209">
        <f t="shared" si="11"/>
        <v>-0.88</v>
      </c>
      <c r="AA56" s="205">
        <f t="shared" si="12"/>
        <v>0</v>
      </c>
      <c r="AB56" s="209">
        <f t="shared" si="13"/>
        <v>0</v>
      </c>
      <c r="AC56" s="205">
        <f t="shared" si="14"/>
        <v>0</v>
      </c>
      <c r="AD56" s="210">
        <f t="shared" si="15"/>
        <v>0.179861111115315</v>
      </c>
      <c r="AE56" s="210">
        <f t="shared" si="16"/>
        <v>0</v>
      </c>
      <c r="AF56" s="210">
        <f t="shared" si="17"/>
        <v>0.179861111115315</v>
      </c>
      <c r="AG56" s="210">
        <f t="shared" si="18"/>
        <v>0</v>
      </c>
    </row>
    <row r="57" spans="2:33" ht="15" customHeight="1" x14ac:dyDescent="0.3">
      <c r="B57" s="196" t="s">
        <v>5</v>
      </c>
      <c r="C57" s="197" t="s">
        <v>13</v>
      </c>
      <c r="D57" s="198" t="str">
        <f t="shared" ref="D57:D88" si="19">IF(E57&lt;&gt;"",IF(K57&lt;&gt;"","C","O"),"")</f>
        <v>C</v>
      </c>
      <c r="E57" s="199">
        <v>44795.4375</v>
      </c>
      <c r="F57" s="200" t="s">
        <v>91</v>
      </c>
      <c r="G57" s="201">
        <v>13411.76</v>
      </c>
      <c r="H57" s="201">
        <v>13442.97</v>
      </c>
      <c r="I57" s="202">
        <f t="shared" ref="I57:I88" si="20">ABS(G57-H57)</f>
        <v>31.209999999999127</v>
      </c>
      <c r="J57" s="201">
        <v>12829.1</v>
      </c>
      <c r="K57" s="199">
        <v>44796.432638888888</v>
      </c>
      <c r="L57" s="201">
        <v>13250.83</v>
      </c>
      <c r="M57" s="203">
        <f t="shared" ref="M57:M88" si="21">ROUND(IF(C57="L",(L57-G57),(G57-L57)),4)</f>
        <v>160.93</v>
      </c>
      <c r="N57" s="204">
        <f t="shared" ref="N57:N88" si="22">IFERROR(ROUND((M57/I57),2),"")</f>
        <v>5.16</v>
      </c>
      <c r="O57" s="205">
        <f t="shared" ref="O57:O88" si="23">IF(D57="O",IF(N57&lt;0,N57,0),0)</f>
        <v>0</v>
      </c>
      <c r="P57" s="206">
        <f t="shared" ref="P57:P88" si="24">IF(N57&gt;= 0,N57,0)</f>
        <v>5.16</v>
      </c>
      <c r="Q57" s="206">
        <f t="shared" ref="Q57:Q88" si="25">IF(N57&lt;0,N57,0)</f>
        <v>0</v>
      </c>
      <c r="R5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15217</v>
      </c>
      <c r="T5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57" s="208">
        <f ca="1">IF(Tabla336106734810[[#This Row],[Equity]]&lt;Tabla336106734810[[#This Row],[Equity Peak]],(Tabla336106734810[[#This Row],[Equity Peak]]-Tabla336106734810[[#This Row],[Equity]])/Tabla336106734810[[#This Row],[Equity Peak]],"")</f>
        <v>7.8797031978462145E-4</v>
      </c>
      <c r="V57" s="209">
        <f t="shared" ref="V57:V88" si="26">IF(B57="FX",N57,0)</f>
        <v>0</v>
      </c>
      <c r="W57" s="209">
        <f t="shared" ref="W57:W88" si="27">IF(D57="O",IF(V57&lt;0,V57,0),0)</f>
        <v>0</v>
      </c>
      <c r="X57" s="209">
        <f t="shared" ref="X57:X88" si="28">IF(B57="COM",N57,0)</f>
        <v>0</v>
      </c>
      <c r="Y57" s="209">
        <f t="shared" ref="Y57:Y88" si="29">IF(D57="O",IF(X57&lt;0,X57,0),0)</f>
        <v>0</v>
      </c>
      <c r="Z57" s="209">
        <f t="shared" ref="Z57:Z88" si="30">IF(B57="IND",N57,0)</f>
        <v>5.16</v>
      </c>
      <c r="AA57" s="205">
        <f t="shared" ref="AA57:AA88" si="31">IF(D57="O",IF(Z57&lt;0,Z57,0),0)</f>
        <v>0</v>
      </c>
      <c r="AB57" s="209">
        <f t="shared" ref="AB57:AB88" si="32">IF(B57="CRYPTO",N57,0)</f>
        <v>0</v>
      </c>
      <c r="AC57" s="205">
        <f t="shared" ref="AC57:AC88" si="33">IF(D57="O",IF(AB57&lt;0,AB57,0),0)</f>
        <v>0</v>
      </c>
      <c r="AD57" s="210">
        <f t="shared" ref="AD57:AD88" si="34">IF(K57&lt;&gt;"",K57-E57,0)</f>
        <v>0.99513888888759539</v>
      </c>
      <c r="AE57" s="210">
        <f t="shared" ref="AE57:AE88" si="35">IF(N57&gt;0,AD57,0)</f>
        <v>0.99513888888759539</v>
      </c>
      <c r="AF57" s="210">
        <f t="shared" ref="AF57:AF88" si="36">IF(N57&lt;0,AD57,0)</f>
        <v>0</v>
      </c>
      <c r="AG57" s="210">
        <f t="shared" ref="AG57:AG88" si="37">IF(N57=0,AD57,0)</f>
        <v>0</v>
      </c>
    </row>
    <row r="58" spans="2:33" ht="15" customHeight="1" x14ac:dyDescent="0.3">
      <c r="B58" s="196" t="s">
        <v>5</v>
      </c>
      <c r="C58" s="197" t="s">
        <v>13</v>
      </c>
      <c r="D58" s="198" t="str">
        <f t="shared" si="19"/>
        <v>C</v>
      </c>
      <c r="E58" s="199">
        <v>44795.385416666664</v>
      </c>
      <c r="F58" s="200" t="s">
        <v>91</v>
      </c>
      <c r="G58" s="201">
        <v>13447.51</v>
      </c>
      <c r="H58" s="201">
        <v>13477.49</v>
      </c>
      <c r="I58" s="202">
        <f t="shared" si="20"/>
        <v>29.979999999999563</v>
      </c>
      <c r="J58" s="201">
        <v>12887.81</v>
      </c>
      <c r="K58" s="199">
        <v>44795.418055555558</v>
      </c>
      <c r="L58" s="201">
        <v>13477.32</v>
      </c>
      <c r="M58" s="203">
        <f t="shared" si="21"/>
        <v>-29.81</v>
      </c>
      <c r="N58" s="204">
        <f t="shared" si="22"/>
        <v>-0.99</v>
      </c>
      <c r="O58" s="205">
        <f t="shared" si="23"/>
        <v>0</v>
      </c>
      <c r="P58" s="206">
        <f t="shared" si="24"/>
        <v>0</v>
      </c>
      <c r="Q58" s="206">
        <f t="shared" si="25"/>
        <v>-0.99</v>
      </c>
      <c r="R5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14701</v>
      </c>
      <c r="T5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58" s="208">
        <f ca="1">IF(Tabla336106734810[[#This Row],[Equity]]&lt;Tabla336106734810[[#This Row],[Equity Peak]],(Tabla336106734810[[#This Row],[Equity Peak]]-Tabla336106734810[[#This Row],[Equity]])/Tabla336106734810[[#This Row],[Equity Peak]],"")</f>
        <v>3.4670694070523346E-2</v>
      </c>
      <c r="V58" s="209">
        <f t="shared" si="26"/>
        <v>0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-0.99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3.2638888893416151E-2</v>
      </c>
      <c r="AE58" s="210">
        <f t="shared" si="35"/>
        <v>0</v>
      </c>
      <c r="AF58" s="210">
        <f t="shared" si="36"/>
        <v>3.2638888893416151E-2</v>
      </c>
      <c r="AG58" s="210">
        <f t="shared" si="37"/>
        <v>0</v>
      </c>
    </row>
    <row r="59" spans="2:33" ht="15" customHeight="1" x14ac:dyDescent="0.3">
      <c r="B59" s="196" t="s">
        <v>5</v>
      </c>
      <c r="C59" s="197" t="s">
        <v>13</v>
      </c>
      <c r="D59" s="198" t="str">
        <f t="shared" si="19"/>
        <v>C</v>
      </c>
      <c r="E59" s="199">
        <v>44795.145833333336</v>
      </c>
      <c r="F59" s="200" t="s">
        <v>91</v>
      </c>
      <c r="G59" s="201">
        <v>13486.51</v>
      </c>
      <c r="H59" s="201">
        <v>13517.5</v>
      </c>
      <c r="I59" s="202">
        <f t="shared" si="20"/>
        <v>30.989999999999782</v>
      </c>
      <c r="J59" s="201">
        <v>12908.06</v>
      </c>
      <c r="K59" s="199">
        <v>44795.234027777777</v>
      </c>
      <c r="L59" s="201">
        <v>13517.5</v>
      </c>
      <c r="M59" s="203">
        <f t="shared" si="21"/>
        <v>-30.99</v>
      </c>
      <c r="N59" s="204">
        <f t="shared" si="22"/>
        <v>-1</v>
      </c>
      <c r="O59" s="205">
        <f t="shared" si="23"/>
        <v>0</v>
      </c>
      <c r="P59" s="206">
        <f t="shared" si="24"/>
        <v>0</v>
      </c>
      <c r="Q59" s="206">
        <f t="shared" si="25"/>
        <v>-1</v>
      </c>
      <c r="R5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14800</v>
      </c>
      <c r="T5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59" s="208">
        <f ca="1">IF(Tabla336106734810[[#This Row],[Equity]]&lt;Tabla336106734810[[#This Row],[Equity Peak]],(Tabla336106734810[[#This Row],[Equity Peak]]-Tabla336106734810[[#This Row],[Equity]])/Tabla336106734810[[#This Row],[Equity Peak]],"")</f>
        <v>2.8169938932300218E-2</v>
      </c>
      <c r="V59" s="209">
        <f t="shared" si="26"/>
        <v>0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-1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8.819444444088731E-2</v>
      </c>
      <c r="AE59" s="210">
        <f t="shared" si="35"/>
        <v>0</v>
      </c>
      <c r="AF59" s="210">
        <f t="shared" si="36"/>
        <v>8.819444444088731E-2</v>
      </c>
      <c r="AG59" s="210">
        <f t="shared" si="37"/>
        <v>0</v>
      </c>
    </row>
    <row r="60" spans="2:33" ht="15" customHeight="1" x14ac:dyDescent="0.3">
      <c r="B60" s="196" t="s">
        <v>5</v>
      </c>
      <c r="C60" s="197" t="s">
        <v>13</v>
      </c>
      <c r="D60" s="198" t="str">
        <f t="shared" si="19"/>
        <v>C</v>
      </c>
      <c r="E60" s="199">
        <v>44792.760416666664</v>
      </c>
      <c r="F60" s="200" t="s">
        <v>91</v>
      </c>
      <c r="G60" s="201">
        <v>13533.06</v>
      </c>
      <c r="H60" s="201">
        <v>13564.24</v>
      </c>
      <c r="I60" s="202">
        <f t="shared" si="20"/>
        <v>31.180000000000291</v>
      </c>
      <c r="J60" s="201">
        <v>12951.04</v>
      </c>
      <c r="K60" s="199">
        <v>44792.781944444447</v>
      </c>
      <c r="L60" s="201">
        <v>13564.24</v>
      </c>
      <c r="M60" s="203">
        <f t="shared" si="21"/>
        <v>-31.18</v>
      </c>
      <c r="N60" s="204">
        <f t="shared" si="22"/>
        <v>-1</v>
      </c>
      <c r="O60" s="205">
        <f t="shared" si="23"/>
        <v>0</v>
      </c>
      <c r="P60" s="206">
        <f t="shared" si="24"/>
        <v>0</v>
      </c>
      <c r="Q60" s="206">
        <f t="shared" si="25"/>
        <v>-1</v>
      </c>
      <c r="R6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14900</v>
      </c>
      <c r="T6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60" s="208">
        <f ca="1">IF(Tabla336106734810[[#This Row],[Equity]]&lt;Tabla336106734810[[#This Row],[Equity Peak]],(Tabla336106734810[[#This Row],[Equity Peak]]-Tabla336106734810[[#This Row],[Equity]])/Tabla336106734810[[#This Row],[Equity Peak]],"")</f>
        <v>2.1603519600761706E-2</v>
      </c>
      <c r="V60" s="209">
        <f t="shared" si="26"/>
        <v>0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-1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2.1527777782466728E-2</v>
      </c>
      <c r="AE60" s="210">
        <f t="shared" si="35"/>
        <v>0</v>
      </c>
      <c r="AF60" s="210">
        <f t="shared" si="36"/>
        <v>2.1527777782466728E-2</v>
      </c>
      <c r="AG60" s="210">
        <f t="shared" si="37"/>
        <v>0</v>
      </c>
    </row>
    <row r="61" spans="2:33" ht="15" customHeight="1" x14ac:dyDescent="0.3">
      <c r="B61" s="196" t="s">
        <v>5</v>
      </c>
      <c r="C61" s="197" t="s">
        <v>15</v>
      </c>
      <c r="D61" s="198" t="str">
        <f t="shared" si="19"/>
        <v>C</v>
      </c>
      <c r="E61" s="199">
        <v>44789.875</v>
      </c>
      <c r="F61" s="200" t="s">
        <v>91</v>
      </c>
      <c r="G61" s="201">
        <v>13958.4</v>
      </c>
      <c r="H61" s="201">
        <v>13931.31</v>
      </c>
      <c r="I61" s="202">
        <f t="shared" si="20"/>
        <v>27.090000000000146</v>
      </c>
      <c r="J61" s="201">
        <v>14464.16</v>
      </c>
      <c r="K61" s="199">
        <v>44789.901388888888</v>
      </c>
      <c r="L61" s="201">
        <v>13931.31</v>
      </c>
      <c r="M61" s="203">
        <f t="shared" si="21"/>
        <v>-27.09</v>
      </c>
      <c r="N61" s="204">
        <f t="shared" si="22"/>
        <v>-1</v>
      </c>
      <c r="O61" s="205">
        <f t="shared" si="23"/>
        <v>0</v>
      </c>
      <c r="P61" s="206">
        <f t="shared" si="24"/>
        <v>0</v>
      </c>
      <c r="Q61" s="206">
        <f t="shared" si="25"/>
        <v>-1</v>
      </c>
      <c r="R6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15000</v>
      </c>
      <c r="T6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61" s="208">
        <f ca="1">IF(Tabla336106734810[[#This Row],[Equity]]&lt;Tabla336106734810[[#This Row],[Equity Peak]],(Tabla336106734810[[#This Row],[Equity Peak]]-Tabla336106734810[[#This Row],[Equity]])/Tabla336106734810[[#This Row],[Equity Peak]],"")</f>
        <v>1.5037100269223192E-2</v>
      </c>
      <c r="V61" s="209">
        <f t="shared" si="26"/>
        <v>0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-1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2.6388888887595385E-2</v>
      </c>
      <c r="AE61" s="210">
        <f t="shared" si="35"/>
        <v>0</v>
      </c>
      <c r="AF61" s="210">
        <f t="shared" si="36"/>
        <v>2.6388888887595385E-2</v>
      </c>
      <c r="AG61" s="210">
        <f t="shared" si="37"/>
        <v>0</v>
      </c>
    </row>
    <row r="62" spans="2:33" ht="15" customHeight="1" x14ac:dyDescent="0.3">
      <c r="B62" s="196" t="s">
        <v>5</v>
      </c>
      <c r="C62" s="197" t="s">
        <v>15</v>
      </c>
      <c r="D62" s="198" t="str">
        <f t="shared" si="19"/>
        <v>C</v>
      </c>
      <c r="E62" s="199">
        <v>44789.46875</v>
      </c>
      <c r="F62" s="200" t="s">
        <v>91</v>
      </c>
      <c r="G62" s="201">
        <v>13905.05</v>
      </c>
      <c r="H62" s="201">
        <v>13879.33</v>
      </c>
      <c r="I62" s="202">
        <f t="shared" si="20"/>
        <v>25.719999999999345</v>
      </c>
      <c r="J62" s="201">
        <v>14385.16</v>
      </c>
      <c r="K62" s="199">
        <v>44789.506944444445</v>
      </c>
      <c r="L62" s="201">
        <v>13898.26</v>
      </c>
      <c r="M62" s="203">
        <f t="shared" si="21"/>
        <v>-6.79</v>
      </c>
      <c r="N62" s="204">
        <f t="shared" si="22"/>
        <v>-0.26</v>
      </c>
      <c r="O62" s="205">
        <f t="shared" si="23"/>
        <v>0</v>
      </c>
      <c r="P62" s="206">
        <f t="shared" si="24"/>
        <v>0</v>
      </c>
      <c r="Q62" s="206">
        <f t="shared" si="25"/>
        <v>-0.26</v>
      </c>
      <c r="R6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15100</v>
      </c>
      <c r="T6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62" s="208">
        <f ca="1">IF(Tabla336106734810[[#This Row],[Equity]]&lt;Tabla336106734810[[#This Row],[Equity Peak]],(Tabla336106734810[[#This Row],[Equity Peak]]-Tabla336106734810[[#This Row],[Equity]])/Tabla336106734810[[#This Row],[Equity Peak]],"")</f>
        <v>8.4706809376846812E-3</v>
      </c>
      <c r="V62" s="209">
        <f t="shared" si="26"/>
        <v>0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-0.26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3.8194444445252884E-2</v>
      </c>
      <c r="AE62" s="210">
        <f t="shared" si="35"/>
        <v>0</v>
      </c>
      <c r="AF62" s="210">
        <f t="shared" si="36"/>
        <v>3.8194444445252884E-2</v>
      </c>
      <c r="AG62" s="210">
        <f t="shared" si="37"/>
        <v>0</v>
      </c>
    </row>
    <row r="63" spans="2:33" ht="15" customHeight="1" x14ac:dyDescent="0.3">
      <c r="B63" s="196" t="s">
        <v>5</v>
      </c>
      <c r="C63" s="197" t="s">
        <v>15</v>
      </c>
      <c r="D63" s="198" t="str">
        <f t="shared" si="19"/>
        <v>C</v>
      </c>
      <c r="E63" s="199">
        <v>44785.802083333336</v>
      </c>
      <c r="F63" s="200" t="s">
        <v>91</v>
      </c>
      <c r="G63" s="201">
        <v>13821.21</v>
      </c>
      <c r="H63" s="201">
        <v>13791.83</v>
      </c>
      <c r="I63" s="202">
        <f t="shared" si="20"/>
        <v>29.3799999999992</v>
      </c>
      <c r="J63" s="201">
        <v>14369.72</v>
      </c>
      <c r="K63" s="199">
        <v>44788.423611111109</v>
      </c>
      <c r="L63" s="201">
        <v>13820.2</v>
      </c>
      <c r="M63" s="203">
        <f t="shared" si="21"/>
        <v>-1.01</v>
      </c>
      <c r="N63" s="204">
        <f t="shared" si="22"/>
        <v>-0.03</v>
      </c>
      <c r="O63" s="205">
        <f t="shared" si="23"/>
        <v>0</v>
      </c>
      <c r="P63" s="206">
        <f t="shared" si="24"/>
        <v>0</v>
      </c>
      <c r="Q63" s="206">
        <f t="shared" si="25"/>
        <v>-0.03</v>
      </c>
      <c r="R6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15126</v>
      </c>
      <c r="T6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63" s="208">
        <f ca="1">IF(Tabla336106734810[[#This Row],[Equity]]&lt;Tabla336106734810[[#This Row],[Equity Peak]],(Tabla336106734810[[#This Row],[Equity Peak]]-Tabla336106734810[[#This Row],[Equity]])/Tabla336106734810[[#This Row],[Equity Peak]],"")</f>
        <v>6.7634119114846677E-3</v>
      </c>
      <c r="V63" s="209">
        <f t="shared" si="26"/>
        <v>0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-0.03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2.6215277777737356</v>
      </c>
      <c r="AE63" s="210">
        <f t="shared" si="35"/>
        <v>0</v>
      </c>
      <c r="AF63" s="210">
        <f t="shared" si="36"/>
        <v>2.6215277777737356</v>
      </c>
      <c r="AG63" s="210">
        <f t="shared" si="37"/>
        <v>0</v>
      </c>
    </row>
    <row r="64" spans="2:33" ht="15" customHeight="1" x14ac:dyDescent="0.3">
      <c r="B64" s="196" t="s">
        <v>5</v>
      </c>
      <c r="C64" s="197" t="s">
        <v>15</v>
      </c>
      <c r="D64" s="198" t="str">
        <f t="shared" si="19"/>
        <v>C</v>
      </c>
      <c r="E64" s="199">
        <v>44785.541666666664</v>
      </c>
      <c r="F64" s="200" t="s">
        <v>91</v>
      </c>
      <c r="G64" s="201">
        <v>13805.21</v>
      </c>
      <c r="H64" s="201">
        <v>13777.36</v>
      </c>
      <c r="I64" s="202">
        <f t="shared" si="20"/>
        <v>27.849999999998545</v>
      </c>
      <c r="J64" s="201">
        <v>14325.12</v>
      </c>
      <c r="K64" s="199">
        <v>44785.543749999997</v>
      </c>
      <c r="L64" s="201">
        <v>13777.36</v>
      </c>
      <c r="M64" s="203">
        <f t="shared" si="21"/>
        <v>-27.85</v>
      </c>
      <c r="N64" s="204">
        <f t="shared" si="22"/>
        <v>-1</v>
      </c>
      <c r="O64" s="205">
        <f t="shared" si="23"/>
        <v>0</v>
      </c>
      <c r="P64" s="206">
        <f t="shared" si="24"/>
        <v>0</v>
      </c>
      <c r="Q64" s="206">
        <f t="shared" si="25"/>
        <v>-1</v>
      </c>
      <c r="R6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15129</v>
      </c>
      <c r="T6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64" s="208">
        <f ca="1">IF(Tabla336106734810[[#This Row],[Equity]]&lt;Tabla336106734810[[#This Row],[Equity Peak]],(Tabla336106734810[[#This Row],[Equity Peak]]-Tabla336106734810[[#This Row],[Equity]])/Tabla336106734810[[#This Row],[Equity Peak]],"")</f>
        <v>6.5664193315385123E-3</v>
      </c>
      <c r="V64" s="209">
        <f t="shared" si="26"/>
        <v>0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-1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2.0833333328482695E-3</v>
      </c>
      <c r="AE64" s="210">
        <f t="shared" si="35"/>
        <v>0</v>
      </c>
      <c r="AF64" s="210">
        <f t="shared" si="36"/>
        <v>2.0833333328482695E-3</v>
      </c>
      <c r="AG64" s="210">
        <f t="shared" si="37"/>
        <v>0</v>
      </c>
    </row>
    <row r="65" spans="2:33" ht="15" customHeight="1" x14ac:dyDescent="0.3">
      <c r="B65" s="196" t="s">
        <v>5</v>
      </c>
      <c r="C65" s="197" t="s">
        <v>15</v>
      </c>
      <c r="D65" s="198" t="str">
        <f t="shared" si="19"/>
        <v>C</v>
      </c>
      <c r="E65" s="199">
        <v>44776.760416666664</v>
      </c>
      <c r="F65" s="200" t="s">
        <v>91</v>
      </c>
      <c r="G65" s="201">
        <v>13594.59</v>
      </c>
      <c r="H65" s="201">
        <v>13560.64</v>
      </c>
      <c r="I65" s="202">
        <f t="shared" si="20"/>
        <v>33.950000000000728</v>
      </c>
      <c r="J65" s="201">
        <v>14228.3</v>
      </c>
      <c r="K65" s="199">
        <v>44777.719444444447</v>
      </c>
      <c r="L65" s="201">
        <v>13669.79</v>
      </c>
      <c r="M65" s="203">
        <f t="shared" si="21"/>
        <v>75.2</v>
      </c>
      <c r="N65" s="204">
        <f t="shared" si="22"/>
        <v>2.2200000000000002</v>
      </c>
      <c r="O65" s="205">
        <f t="shared" si="23"/>
        <v>0</v>
      </c>
      <c r="P65" s="206">
        <f t="shared" si="24"/>
        <v>2.2200000000000002</v>
      </c>
      <c r="Q65" s="206">
        <f t="shared" si="25"/>
        <v>0</v>
      </c>
      <c r="R6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15229</v>
      </c>
      <c r="T6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15229</v>
      </c>
      <c r="U65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65" s="209">
        <f t="shared" si="26"/>
        <v>0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2.2200000000000002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0.95902777778246673</v>
      </c>
      <c r="AE65" s="210">
        <f t="shared" si="35"/>
        <v>0.95902777778246673</v>
      </c>
      <c r="AF65" s="210">
        <f t="shared" si="36"/>
        <v>0</v>
      </c>
      <c r="AG65" s="210">
        <f t="shared" si="37"/>
        <v>0</v>
      </c>
    </row>
    <row r="66" spans="2:33" ht="15" customHeight="1" x14ac:dyDescent="0.3">
      <c r="B66" s="196" t="s">
        <v>5</v>
      </c>
      <c r="C66" s="197" t="s">
        <v>15</v>
      </c>
      <c r="D66" s="198" t="str">
        <f t="shared" si="19"/>
        <v>C</v>
      </c>
      <c r="E66" s="199">
        <v>44774.604166666664</v>
      </c>
      <c r="F66" s="200" t="s">
        <v>91</v>
      </c>
      <c r="G66" s="201">
        <v>13567.01</v>
      </c>
      <c r="H66" s="201">
        <v>13534.38</v>
      </c>
      <c r="I66" s="202">
        <f t="shared" si="20"/>
        <v>32.630000000001019</v>
      </c>
      <c r="J66" s="201">
        <v>14176.11</v>
      </c>
      <c r="K66" s="199">
        <v>44774.658333333333</v>
      </c>
      <c r="L66" s="201">
        <v>13534.38</v>
      </c>
      <c r="M66" s="203">
        <f t="shared" si="21"/>
        <v>-32.630000000000003</v>
      </c>
      <c r="N66" s="204">
        <f t="shared" si="22"/>
        <v>-1</v>
      </c>
      <c r="O66" s="205">
        <f t="shared" si="23"/>
        <v>0</v>
      </c>
      <c r="P66" s="206">
        <f t="shared" si="24"/>
        <v>0</v>
      </c>
      <c r="Q66" s="206">
        <f t="shared" si="25"/>
        <v>-1</v>
      </c>
      <c r="R6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15007</v>
      </c>
      <c r="T6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15184</v>
      </c>
      <c r="U66" s="208">
        <f ca="1">IF(Tabla336106734810[[#This Row],[Equity]]&lt;Tabla336106734810[[#This Row],[Equity Peak]],(Tabla336106734810[[#This Row],[Equity Peak]]-Tabla336106734810[[#This Row],[Equity]])/Tabla336106734810[[#This Row],[Equity Peak]],"")</f>
        <v>1.1657007376185458E-2</v>
      </c>
      <c r="V66" s="209">
        <f t="shared" si="26"/>
        <v>0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-1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5.4166666668606922E-2</v>
      </c>
      <c r="AE66" s="210">
        <f t="shared" si="35"/>
        <v>0</v>
      </c>
      <c r="AF66" s="210">
        <f t="shared" si="36"/>
        <v>5.4166666668606922E-2</v>
      </c>
      <c r="AG66" s="210">
        <f t="shared" si="37"/>
        <v>0</v>
      </c>
    </row>
    <row r="67" spans="2:33" ht="15" customHeight="1" x14ac:dyDescent="0.3">
      <c r="B67" s="196" t="s">
        <v>5</v>
      </c>
      <c r="C67" s="197" t="s">
        <v>15</v>
      </c>
      <c r="D67" s="198" t="str">
        <f t="shared" si="19"/>
        <v>C</v>
      </c>
      <c r="E67" s="199">
        <v>44771.541666666664</v>
      </c>
      <c r="F67" s="200" t="s">
        <v>91</v>
      </c>
      <c r="G67" s="201">
        <v>13426.27</v>
      </c>
      <c r="H67" s="201">
        <v>13391.43</v>
      </c>
      <c r="I67" s="202">
        <f t="shared" si="20"/>
        <v>34.840000000000146</v>
      </c>
      <c r="J67" s="201">
        <v>14076.64</v>
      </c>
      <c r="K67" s="199">
        <v>44774.361111111109</v>
      </c>
      <c r="L67" s="201">
        <v>13434.16</v>
      </c>
      <c r="M67" s="203">
        <f t="shared" si="21"/>
        <v>7.89</v>
      </c>
      <c r="N67" s="204">
        <f t="shared" si="22"/>
        <v>0.23</v>
      </c>
      <c r="O67" s="205">
        <f t="shared" si="23"/>
        <v>0</v>
      </c>
      <c r="P67" s="206">
        <f t="shared" si="24"/>
        <v>0.23</v>
      </c>
      <c r="Q67" s="206">
        <f t="shared" si="25"/>
        <v>0</v>
      </c>
      <c r="R6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15107</v>
      </c>
      <c r="T6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15184</v>
      </c>
      <c r="U67" s="208">
        <f ca="1">IF(Tabla336106734810[[#This Row],[Equity]]&lt;Tabla336106734810[[#This Row],[Equity Peak]],(Tabla336106734810[[#This Row],[Equity Peak]]-Tabla336106734810[[#This Row],[Equity]])/Tabla336106734810[[#This Row],[Equity Peak]],"")</f>
        <v>5.0711275026343516E-3</v>
      </c>
      <c r="V67" s="209">
        <f t="shared" si="26"/>
        <v>0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0.23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2.8194444444452529</v>
      </c>
      <c r="AE67" s="210">
        <f t="shared" si="35"/>
        <v>2.8194444444452529</v>
      </c>
      <c r="AF67" s="210">
        <f t="shared" si="36"/>
        <v>0</v>
      </c>
      <c r="AG67" s="210">
        <f t="shared" si="37"/>
        <v>0</v>
      </c>
    </row>
    <row r="68" spans="2:33" ht="15" customHeight="1" x14ac:dyDescent="0.3">
      <c r="B68" s="196" t="s">
        <v>5</v>
      </c>
      <c r="C68" s="197" t="s">
        <v>15</v>
      </c>
      <c r="D68" s="198" t="str">
        <f t="shared" si="19"/>
        <v>C</v>
      </c>
      <c r="E68" s="199">
        <v>44771.145833333336</v>
      </c>
      <c r="F68" s="200" t="s">
        <v>91</v>
      </c>
      <c r="G68" s="201">
        <v>13388.02</v>
      </c>
      <c r="H68" s="201">
        <v>13351.3</v>
      </c>
      <c r="I68" s="202">
        <f t="shared" si="20"/>
        <v>36.720000000001164</v>
      </c>
      <c r="J68" s="201">
        <v>14073.39</v>
      </c>
      <c r="K68" s="199">
        <v>44771.341666666667</v>
      </c>
      <c r="L68" s="201">
        <v>13351.3</v>
      </c>
      <c r="M68" s="203">
        <f t="shared" si="21"/>
        <v>-36.72</v>
      </c>
      <c r="N68" s="204">
        <f t="shared" si="22"/>
        <v>-1</v>
      </c>
      <c r="O68" s="205">
        <f t="shared" si="23"/>
        <v>0</v>
      </c>
      <c r="P68" s="206">
        <f t="shared" si="24"/>
        <v>0</v>
      </c>
      <c r="Q68" s="206">
        <f t="shared" si="25"/>
        <v>-1</v>
      </c>
      <c r="R6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15084</v>
      </c>
      <c r="T6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15184</v>
      </c>
      <c r="U68" s="208">
        <f ca="1">IF(Tabla336106734810[[#This Row],[Equity]]&lt;Tabla336106734810[[#This Row],[Equity Peak]],(Tabla336106734810[[#This Row],[Equity Peak]]-Tabla336106734810[[#This Row],[Equity]])/Tabla336106734810[[#This Row],[Equity Peak]],"")</f>
        <v>6.5858798735511067E-3</v>
      </c>
      <c r="V68" s="209">
        <f t="shared" si="26"/>
        <v>0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-1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0.19583333333139308</v>
      </c>
      <c r="AE68" s="210">
        <f t="shared" si="35"/>
        <v>0</v>
      </c>
      <c r="AF68" s="210">
        <f t="shared" si="36"/>
        <v>0.19583333333139308</v>
      </c>
      <c r="AG68" s="210">
        <f t="shared" si="37"/>
        <v>0</v>
      </c>
    </row>
    <row r="69" spans="2:33" ht="15" customHeight="1" x14ac:dyDescent="0.3">
      <c r="B69" s="196" t="s">
        <v>5</v>
      </c>
      <c r="C69" s="197" t="s">
        <v>15</v>
      </c>
      <c r="D69" s="198" t="str">
        <f t="shared" si="19"/>
        <v>C</v>
      </c>
      <c r="E69" s="199">
        <v>44761.708333333336</v>
      </c>
      <c r="F69" s="200" t="s">
        <v>91</v>
      </c>
      <c r="G69" s="201">
        <v>13102.78</v>
      </c>
      <c r="H69" s="201">
        <v>13060.99</v>
      </c>
      <c r="I69" s="202">
        <f t="shared" si="20"/>
        <v>41.790000000000873</v>
      </c>
      <c r="J69" s="201">
        <v>13882.8</v>
      </c>
      <c r="K69" s="199">
        <v>44762.446527777778</v>
      </c>
      <c r="L69" s="201">
        <v>13293.37</v>
      </c>
      <c r="M69" s="203">
        <f t="shared" si="21"/>
        <v>190.59</v>
      </c>
      <c r="N69" s="204">
        <f t="shared" si="22"/>
        <v>4.5599999999999996</v>
      </c>
      <c r="O69" s="205">
        <f t="shared" si="23"/>
        <v>0</v>
      </c>
      <c r="P69" s="206">
        <f t="shared" si="24"/>
        <v>4.5599999999999996</v>
      </c>
      <c r="Q69" s="206">
        <f t="shared" si="25"/>
        <v>0</v>
      </c>
      <c r="R6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15184</v>
      </c>
      <c r="T6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15184</v>
      </c>
      <c r="U69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69" s="209">
        <f t="shared" si="26"/>
        <v>0</v>
      </c>
      <c r="W69" s="209">
        <f t="shared" si="27"/>
        <v>0</v>
      </c>
      <c r="X69" s="209">
        <f t="shared" si="28"/>
        <v>0</v>
      </c>
      <c r="Y69" s="209">
        <f t="shared" si="29"/>
        <v>0</v>
      </c>
      <c r="Z69" s="209">
        <f t="shared" si="30"/>
        <v>4.5599999999999996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0.7381944444423425</v>
      </c>
      <c r="AE69" s="210">
        <f t="shared" si="35"/>
        <v>0.7381944444423425</v>
      </c>
      <c r="AF69" s="210">
        <f t="shared" si="36"/>
        <v>0</v>
      </c>
      <c r="AG69" s="210">
        <f t="shared" si="37"/>
        <v>0</v>
      </c>
    </row>
    <row r="70" spans="2:33" ht="15" customHeight="1" x14ac:dyDescent="0.3">
      <c r="B70" s="196" t="s">
        <v>5</v>
      </c>
      <c r="C70" s="197" t="s">
        <v>15</v>
      </c>
      <c r="D70" s="198" t="str">
        <f t="shared" si="19"/>
        <v>C</v>
      </c>
      <c r="E70" s="199">
        <v>44760.447916666664</v>
      </c>
      <c r="F70" s="200" t="s">
        <v>91</v>
      </c>
      <c r="G70" s="201">
        <v>13023.46</v>
      </c>
      <c r="H70" s="201">
        <v>12978.94</v>
      </c>
      <c r="I70" s="202">
        <f t="shared" si="20"/>
        <v>44.519999999998618</v>
      </c>
      <c r="J70" s="201">
        <v>13854.56</v>
      </c>
      <c r="K70" s="199">
        <v>44760.640277777777</v>
      </c>
      <c r="L70" s="201">
        <v>12989.52</v>
      </c>
      <c r="M70" s="203">
        <f t="shared" si="21"/>
        <v>-33.94</v>
      </c>
      <c r="N70" s="204">
        <f t="shared" si="22"/>
        <v>-0.76</v>
      </c>
      <c r="O70" s="205">
        <f t="shared" si="23"/>
        <v>0</v>
      </c>
      <c r="P70" s="206">
        <f t="shared" si="24"/>
        <v>0</v>
      </c>
      <c r="Q70" s="206">
        <f t="shared" si="25"/>
        <v>-0.76</v>
      </c>
      <c r="R7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14728</v>
      </c>
      <c r="T7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0" s="208">
        <f ca="1">IF(Tabla336106734810[[#This Row],[Equity]]&lt;Tabla336106734810[[#This Row],[Equity Peak]],(Tabla336106734810[[#This Row],[Equity Peak]]-Tabla336106734810[[#This Row],[Equity]])/Tabla336106734810[[#This Row],[Equity Peak]],"")</f>
        <v>1.8133333333333335E-2</v>
      </c>
      <c r="V70" s="209">
        <f t="shared" si="26"/>
        <v>0</v>
      </c>
      <c r="W70" s="209">
        <f t="shared" si="27"/>
        <v>0</v>
      </c>
      <c r="X70" s="209">
        <f t="shared" si="28"/>
        <v>0</v>
      </c>
      <c r="Y70" s="209">
        <f t="shared" si="29"/>
        <v>0</v>
      </c>
      <c r="Z70" s="209">
        <f t="shared" si="30"/>
        <v>-0.76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0.19236111111240461</v>
      </c>
      <c r="AE70" s="210">
        <f t="shared" si="35"/>
        <v>0</v>
      </c>
      <c r="AF70" s="210">
        <f t="shared" si="36"/>
        <v>0.19236111111240461</v>
      </c>
      <c r="AG70" s="210">
        <f t="shared" si="37"/>
        <v>0</v>
      </c>
    </row>
    <row r="71" spans="2:33" ht="15" customHeight="1" x14ac:dyDescent="0.3">
      <c r="B71" s="196" t="s">
        <v>5</v>
      </c>
      <c r="C71" s="197" t="s">
        <v>13</v>
      </c>
      <c r="D71" s="198" t="str">
        <f t="shared" si="19"/>
        <v>C</v>
      </c>
      <c r="E71" s="199">
        <v>44756.614583333336</v>
      </c>
      <c r="F71" s="200" t="s">
        <v>91</v>
      </c>
      <c r="G71" s="201">
        <v>12606.39</v>
      </c>
      <c r="H71" s="201">
        <v>12649.16</v>
      </c>
      <c r="I71" s="202">
        <f t="shared" si="20"/>
        <v>42.770000000000437</v>
      </c>
      <c r="J71" s="201">
        <v>11807.95</v>
      </c>
      <c r="K71" s="199">
        <v>44756.9</v>
      </c>
      <c r="L71" s="201">
        <v>12594.42</v>
      </c>
      <c r="M71" s="203">
        <f t="shared" si="21"/>
        <v>11.97</v>
      </c>
      <c r="N71" s="204">
        <f t="shared" si="22"/>
        <v>0.28000000000000003</v>
      </c>
      <c r="O71" s="205">
        <f t="shared" si="23"/>
        <v>0</v>
      </c>
      <c r="P71" s="206">
        <f t="shared" si="24"/>
        <v>0.28000000000000003</v>
      </c>
      <c r="Q71" s="206">
        <f t="shared" si="25"/>
        <v>0</v>
      </c>
      <c r="R7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14804</v>
      </c>
      <c r="T7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1" s="208">
        <f ca="1">IF(Tabla336106734810[[#This Row],[Equity]]&lt;Tabla336106734810[[#This Row],[Equity Peak]],(Tabla336106734810[[#This Row],[Equity Peak]]-Tabla336106734810[[#This Row],[Equity]])/Tabla336106734810[[#This Row],[Equity Peak]],"")</f>
        <v>1.3066666666666667E-2</v>
      </c>
      <c r="V71" s="209">
        <f t="shared" si="26"/>
        <v>0</v>
      </c>
      <c r="W71" s="209">
        <f t="shared" si="27"/>
        <v>0</v>
      </c>
      <c r="X71" s="209">
        <f t="shared" si="28"/>
        <v>0</v>
      </c>
      <c r="Y71" s="209">
        <f t="shared" si="29"/>
        <v>0</v>
      </c>
      <c r="Z71" s="209">
        <f t="shared" si="30"/>
        <v>0.28000000000000003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0.28541666666569654</v>
      </c>
      <c r="AE71" s="210">
        <f t="shared" si="35"/>
        <v>0.28541666666569654</v>
      </c>
      <c r="AF71" s="210">
        <f t="shared" si="36"/>
        <v>0</v>
      </c>
      <c r="AG71" s="210">
        <f t="shared" si="37"/>
        <v>0</v>
      </c>
    </row>
    <row r="72" spans="2:33" ht="15" customHeight="1" x14ac:dyDescent="0.3">
      <c r="B72" s="196" t="s">
        <v>5</v>
      </c>
      <c r="C72" s="197" t="s">
        <v>13</v>
      </c>
      <c r="D72" s="198" t="str">
        <f t="shared" si="19"/>
        <v>C</v>
      </c>
      <c r="E72" s="199">
        <v>44747.625</v>
      </c>
      <c r="F72" s="200" t="s">
        <v>91</v>
      </c>
      <c r="G72" s="201">
        <v>12577.79</v>
      </c>
      <c r="H72" s="201">
        <v>12622.98</v>
      </c>
      <c r="I72" s="202">
        <f t="shared" si="20"/>
        <v>45.18999999999869</v>
      </c>
      <c r="J72" s="201">
        <v>11734.23</v>
      </c>
      <c r="K72" s="199">
        <v>44747.902083333334</v>
      </c>
      <c r="L72" s="201">
        <v>12547.16</v>
      </c>
      <c r="M72" s="203">
        <f t="shared" si="21"/>
        <v>30.63</v>
      </c>
      <c r="N72" s="204">
        <f t="shared" si="22"/>
        <v>0.68</v>
      </c>
      <c r="O72" s="205">
        <f t="shared" si="23"/>
        <v>0</v>
      </c>
      <c r="P72" s="206">
        <f t="shared" si="24"/>
        <v>0.68</v>
      </c>
      <c r="Q72" s="206">
        <f t="shared" si="25"/>
        <v>0</v>
      </c>
      <c r="R7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14776</v>
      </c>
      <c r="T7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2" s="208">
        <f ca="1">IF(Tabla336106734810[[#This Row],[Equity]]&lt;Tabla336106734810[[#This Row],[Equity Peak]],(Tabla336106734810[[#This Row],[Equity Peak]]-Tabla336106734810[[#This Row],[Equity]])/Tabla336106734810[[#This Row],[Equity Peak]],"")</f>
        <v>1.4933333333333333E-2</v>
      </c>
      <c r="V72" s="209">
        <f t="shared" si="26"/>
        <v>0</v>
      </c>
      <c r="W72" s="209">
        <f t="shared" si="27"/>
        <v>0</v>
      </c>
      <c r="X72" s="209">
        <f t="shared" si="28"/>
        <v>0</v>
      </c>
      <c r="Y72" s="209">
        <f t="shared" si="29"/>
        <v>0</v>
      </c>
      <c r="Z72" s="209">
        <f t="shared" si="30"/>
        <v>0.68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0.27708333333430346</v>
      </c>
      <c r="AE72" s="210">
        <f t="shared" si="35"/>
        <v>0.27708333333430346</v>
      </c>
      <c r="AF72" s="210">
        <f t="shared" si="36"/>
        <v>0</v>
      </c>
      <c r="AG72" s="210">
        <f t="shared" si="37"/>
        <v>0</v>
      </c>
    </row>
    <row r="73" spans="2:33" ht="15" customHeight="1" x14ac:dyDescent="0.3">
      <c r="B73" s="196" t="s">
        <v>5</v>
      </c>
      <c r="C73" s="197" t="s">
        <v>13</v>
      </c>
      <c r="D73" s="198" t="str">
        <f t="shared" si="19"/>
        <v>C</v>
      </c>
      <c r="E73" s="199">
        <v>44742.40625</v>
      </c>
      <c r="F73" s="200" t="s">
        <v>91</v>
      </c>
      <c r="G73" s="201">
        <v>12805.15</v>
      </c>
      <c r="H73" s="201">
        <v>12847.06</v>
      </c>
      <c r="I73" s="202">
        <f t="shared" si="20"/>
        <v>41.909999999999854</v>
      </c>
      <c r="J73" s="201">
        <v>12022.82</v>
      </c>
      <c r="K73" s="199">
        <v>44742.761111111111</v>
      </c>
      <c r="L73" s="201">
        <v>12785.28</v>
      </c>
      <c r="M73" s="203">
        <f t="shared" si="21"/>
        <v>19.87</v>
      </c>
      <c r="N73" s="204">
        <f t="shared" si="22"/>
        <v>0.47</v>
      </c>
      <c r="O73" s="205">
        <f t="shared" si="23"/>
        <v>0</v>
      </c>
      <c r="P73" s="206">
        <f t="shared" si="24"/>
        <v>0.47</v>
      </c>
      <c r="Q73" s="206">
        <f t="shared" si="25"/>
        <v>0</v>
      </c>
      <c r="R7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14708</v>
      </c>
      <c r="T7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3" s="208">
        <f ca="1">IF(Tabla336106734810[[#This Row],[Equity]]&lt;Tabla336106734810[[#This Row],[Equity Peak]],(Tabla336106734810[[#This Row],[Equity Peak]]-Tabla336106734810[[#This Row],[Equity]])/Tabla336106734810[[#This Row],[Equity Peak]],"")</f>
        <v>1.9466666666666667E-2</v>
      </c>
      <c r="V73" s="209">
        <f t="shared" si="26"/>
        <v>0</v>
      </c>
      <c r="W73" s="209">
        <f t="shared" si="27"/>
        <v>0</v>
      </c>
      <c r="X73" s="209">
        <f t="shared" si="28"/>
        <v>0</v>
      </c>
      <c r="Y73" s="209">
        <f t="shared" si="29"/>
        <v>0</v>
      </c>
      <c r="Z73" s="209">
        <f t="shared" si="30"/>
        <v>0.47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0.35486111111094942</v>
      </c>
      <c r="AE73" s="210">
        <f t="shared" si="35"/>
        <v>0.35486111111094942</v>
      </c>
      <c r="AF73" s="210">
        <f t="shared" si="36"/>
        <v>0</v>
      </c>
      <c r="AG73" s="210">
        <f t="shared" si="37"/>
        <v>0</v>
      </c>
    </row>
    <row r="74" spans="2:33" ht="15" customHeight="1" x14ac:dyDescent="0.3">
      <c r="B74" s="196" t="s">
        <v>5</v>
      </c>
      <c r="C74" s="197" t="s">
        <v>13</v>
      </c>
      <c r="D74" s="198" t="str">
        <f t="shared" si="19"/>
        <v>C</v>
      </c>
      <c r="E74" s="199">
        <v>44735.802083333336</v>
      </c>
      <c r="F74" s="200" t="s">
        <v>91</v>
      </c>
      <c r="G74" s="201">
        <v>12881.97</v>
      </c>
      <c r="H74" s="201">
        <v>12923.19</v>
      </c>
      <c r="I74" s="202">
        <f t="shared" si="20"/>
        <v>41.220000000001164</v>
      </c>
      <c r="J74" s="201">
        <v>12112.51</v>
      </c>
      <c r="K74" s="199">
        <v>44735.898611111108</v>
      </c>
      <c r="L74" s="201">
        <v>12918.43</v>
      </c>
      <c r="M74" s="203">
        <f t="shared" si="21"/>
        <v>-36.46</v>
      </c>
      <c r="N74" s="204">
        <f t="shared" si="22"/>
        <v>-0.88</v>
      </c>
      <c r="O74" s="205">
        <f t="shared" si="23"/>
        <v>0</v>
      </c>
      <c r="P74" s="206">
        <f t="shared" si="24"/>
        <v>0</v>
      </c>
      <c r="Q74" s="206">
        <f t="shared" si="25"/>
        <v>-0.88</v>
      </c>
      <c r="R7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14661</v>
      </c>
      <c r="T7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4" s="208">
        <f ca="1">IF(Tabla336106734810[[#This Row],[Equity]]&lt;Tabla336106734810[[#This Row],[Equity Peak]],(Tabla336106734810[[#This Row],[Equity Peak]]-Tabla336106734810[[#This Row],[Equity]])/Tabla336106734810[[#This Row],[Equity Peak]],"")</f>
        <v>2.2599999999999999E-2</v>
      </c>
      <c r="V74" s="209">
        <f t="shared" si="26"/>
        <v>0</v>
      </c>
      <c r="W74" s="209">
        <f t="shared" si="27"/>
        <v>0</v>
      </c>
      <c r="X74" s="209">
        <f t="shared" si="28"/>
        <v>0</v>
      </c>
      <c r="Y74" s="209">
        <f t="shared" si="29"/>
        <v>0</v>
      </c>
      <c r="Z74" s="209">
        <f t="shared" si="30"/>
        <v>-0.88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9.6527777772280388E-2</v>
      </c>
      <c r="AE74" s="210">
        <f t="shared" si="35"/>
        <v>0</v>
      </c>
      <c r="AF74" s="210">
        <f t="shared" si="36"/>
        <v>9.6527777772280388E-2</v>
      </c>
      <c r="AG74" s="210">
        <f t="shared" si="37"/>
        <v>0</v>
      </c>
    </row>
    <row r="75" spans="2:33" ht="15" customHeight="1" x14ac:dyDescent="0.3">
      <c r="B75" s="196" t="s">
        <v>5</v>
      </c>
      <c r="C75" s="197" t="s">
        <v>13</v>
      </c>
      <c r="D75" s="198" t="str">
        <f t="shared" si="19"/>
        <v>C</v>
      </c>
      <c r="E75" s="199">
        <v>44728.5</v>
      </c>
      <c r="F75" s="200" t="s">
        <v>91</v>
      </c>
      <c r="G75" s="201">
        <v>13149.91</v>
      </c>
      <c r="H75" s="201">
        <v>13208.97</v>
      </c>
      <c r="I75" s="202">
        <f t="shared" si="20"/>
        <v>59.059999999999491</v>
      </c>
      <c r="J75" s="201">
        <v>12047.41</v>
      </c>
      <c r="K75" s="199">
        <v>44729.306944444441</v>
      </c>
      <c r="L75" s="201">
        <v>13152.09</v>
      </c>
      <c r="M75" s="203">
        <f t="shared" si="21"/>
        <v>-2.1800000000000002</v>
      </c>
      <c r="N75" s="204">
        <f t="shared" si="22"/>
        <v>-0.04</v>
      </c>
      <c r="O75" s="205">
        <f t="shared" si="23"/>
        <v>0</v>
      </c>
      <c r="P75" s="206">
        <f t="shared" si="24"/>
        <v>0</v>
      </c>
      <c r="Q75" s="206">
        <f t="shared" si="25"/>
        <v>-0.04</v>
      </c>
      <c r="R7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14749</v>
      </c>
      <c r="T7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5" s="208">
        <f ca="1">IF(Tabla336106734810[[#This Row],[Equity]]&lt;Tabla336106734810[[#This Row],[Equity Peak]],(Tabla336106734810[[#This Row],[Equity Peak]]-Tabla336106734810[[#This Row],[Equity]])/Tabla336106734810[[#This Row],[Equity Peak]],"")</f>
        <v>1.6733333333333333E-2</v>
      </c>
      <c r="V75" s="209">
        <f t="shared" si="26"/>
        <v>0</v>
      </c>
      <c r="W75" s="209">
        <f t="shared" si="27"/>
        <v>0</v>
      </c>
      <c r="X75" s="209">
        <f t="shared" si="28"/>
        <v>0</v>
      </c>
      <c r="Y75" s="209">
        <f t="shared" si="29"/>
        <v>0</v>
      </c>
      <c r="Z75" s="209">
        <f t="shared" si="30"/>
        <v>-0.04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0.80694444444088731</v>
      </c>
      <c r="AE75" s="210">
        <f t="shared" si="35"/>
        <v>0</v>
      </c>
      <c r="AF75" s="210">
        <f t="shared" si="36"/>
        <v>0.80694444444088731</v>
      </c>
      <c r="AG75" s="210">
        <f t="shared" si="37"/>
        <v>0</v>
      </c>
    </row>
    <row r="76" spans="2:33" ht="15" customHeight="1" x14ac:dyDescent="0.3">
      <c r="B76" s="196" t="s">
        <v>5</v>
      </c>
      <c r="C76" s="197" t="s">
        <v>13</v>
      </c>
      <c r="D76" s="198" t="str">
        <f t="shared" si="19"/>
        <v>C</v>
      </c>
      <c r="E76" s="199">
        <v>44726.864583333336</v>
      </c>
      <c r="F76" s="200" t="s">
        <v>91</v>
      </c>
      <c r="G76" s="201">
        <v>13237.25</v>
      </c>
      <c r="H76" s="201">
        <v>13291.19</v>
      </c>
      <c r="I76" s="202">
        <f t="shared" si="20"/>
        <v>53.940000000000509</v>
      </c>
      <c r="J76" s="201">
        <v>12230.36</v>
      </c>
      <c r="K76" s="199">
        <v>44726.942361111112</v>
      </c>
      <c r="L76" s="201">
        <v>13291.19</v>
      </c>
      <c r="M76" s="203">
        <f t="shared" si="21"/>
        <v>-53.94</v>
      </c>
      <c r="N76" s="204">
        <f t="shared" si="22"/>
        <v>-1</v>
      </c>
      <c r="O76" s="205">
        <f t="shared" si="23"/>
        <v>0</v>
      </c>
      <c r="P76" s="206">
        <f t="shared" si="24"/>
        <v>0</v>
      </c>
      <c r="Q76" s="206">
        <f t="shared" si="25"/>
        <v>-1</v>
      </c>
      <c r="R7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14753</v>
      </c>
      <c r="T7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6" s="208">
        <f ca="1">IF(Tabla336106734810[[#This Row],[Equity]]&lt;Tabla336106734810[[#This Row],[Equity Peak]],(Tabla336106734810[[#This Row],[Equity Peak]]-Tabla336106734810[[#This Row],[Equity]])/Tabla336106734810[[#This Row],[Equity Peak]],"")</f>
        <v>1.6466666666666668E-2</v>
      </c>
      <c r="V76" s="209">
        <f t="shared" si="26"/>
        <v>0</v>
      </c>
      <c r="W76" s="209">
        <f t="shared" si="27"/>
        <v>0</v>
      </c>
      <c r="X76" s="209">
        <f t="shared" si="28"/>
        <v>0</v>
      </c>
      <c r="Y76" s="209">
        <f t="shared" si="29"/>
        <v>0</v>
      </c>
      <c r="Z76" s="209">
        <f t="shared" si="30"/>
        <v>-1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7.7777777776645962E-2</v>
      </c>
      <c r="AE76" s="210">
        <f t="shared" si="35"/>
        <v>0</v>
      </c>
      <c r="AF76" s="210">
        <f t="shared" si="36"/>
        <v>7.7777777776645962E-2</v>
      </c>
      <c r="AG76" s="210">
        <f t="shared" si="37"/>
        <v>0</v>
      </c>
    </row>
    <row r="77" spans="2:33" ht="15" customHeight="1" x14ac:dyDescent="0.3">
      <c r="B77" s="196" t="s">
        <v>5</v>
      </c>
      <c r="C77" s="197" t="s">
        <v>13</v>
      </c>
      <c r="D77" s="198" t="str">
        <f t="shared" si="19"/>
        <v>C</v>
      </c>
      <c r="E77" s="199">
        <v>44726.802083333336</v>
      </c>
      <c r="F77" s="200" t="s">
        <v>91</v>
      </c>
      <c r="G77" s="201">
        <v>13240.4</v>
      </c>
      <c r="H77" s="201">
        <v>13293.81</v>
      </c>
      <c r="I77" s="202">
        <f t="shared" si="20"/>
        <v>53.409999999999854</v>
      </c>
      <c r="J77" s="201">
        <v>12243.43</v>
      </c>
      <c r="K77" s="199">
        <v>44726.838888888888</v>
      </c>
      <c r="L77" s="201">
        <v>13293.81</v>
      </c>
      <c r="M77" s="203">
        <f t="shared" si="21"/>
        <v>-53.41</v>
      </c>
      <c r="N77" s="204">
        <f t="shared" si="22"/>
        <v>-1</v>
      </c>
      <c r="O77" s="205">
        <f t="shared" si="23"/>
        <v>0</v>
      </c>
      <c r="P77" s="206">
        <f t="shared" si="24"/>
        <v>0</v>
      </c>
      <c r="Q77" s="206">
        <f t="shared" si="25"/>
        <v>-1</v>
      </c>
      <c r="R7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14853</v>
      </c>
      <c r="T7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7" s="208">
        <f ca="1">IF(Tabla336106734810[[#This Row],[Equity]]&lt;Tabla336106734810[[#This Row],[Equity Peak]],(Tabla336106734810[[#This Row],[Equity Peak]]-Tabla336106734810[[#This Row],[Equity]])/Tabla336106734810[[#This Row],[Equity Peak]],"")</f>
        <v>9.7999999999999997E-3</v>
      </c>
      <c r="V77" s="209">
        <f t="shared" si="26"/>
        <v>0</v>
      </c>
      <c r="W77" s="209">
        <f t="shared" si="27"/>
        <v>0</v>
      </c>
      <c r="X77" s="209">
        <f t="shared" si="28"/>
        <v>0</v>
      </c>
      <c r="Y77" s="209">
        <f t="shared" si="29"/>
        <v>0</v>
      </c>
      <c r="Z77" s="209">
        <f t="shared" si="30"/>
        <v>-1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3.6805555551836733E-2</v>
      </c>
      <c r="AE77" s="210">
        <f t="shared" si="35"/>
        <v>0</v>
      </c>
      <c r="AF77" s="210">
        <f t="shared" si="36"/>
        <v>3.6805555551836733E-2</v>
      </c>
      <c r="AG77" s="210">
        <f t="shared" si="37"/>
        <v>0</v>
      </c>
    </row>
    <row r="78" spans="2:33" ht="15" customHeight="1" x14ac:dyDescent="0.3">
      <c r="B78" s="196" t="s">
        <v>5</v>
      </c>
      <c r="C78" s="197" t="s">
        <v>13</v>
      </c>
      <c r="D78" s="198" t="str">
        <f t="shared" si="19"/>
        <v>C</v>
      </c>
      <c r="E78" s="199">
        <v>44726.541666666664</v>
      </c>
      <c r="F78" s="200" t="s">
        <v>91</v>
      </c>
      <c r="G78" s="201">
        <v>13355.9</v>
      </c>
      <c r="H78" s="201">
        <v>13404.89</v>
      </c>
      <c r="I78" s="202">
        <f t="shared" si="20"/>
        <v>48.989999999999782</v>
      </c>
      <c r="J78" s="201">
        <v>12441.33</v>
      </c>
      <c r="K78" s="199">
        <v>44726.627083333333</v>
      </c>
      <c r="L78" s="201">
        <v>13378.87</v>
      </c>
      <c r="M78" s="203">
        <f t="shared" si="21"/>
        <v>-22.97</v>
      </c>
      <c r="N78" s="204">
        <f t="shared" si="22"/>
        <v>-0.47</v>
      </c>
      <c r="O78" s="205">
        <f t="shared" si="23"/>
        <v>0</v>
      </c>
      <c r="P78" s="206">
        <f t="shared" si="24"/>
        <v>0</v>
      </c>
      <c r="Q78" s="206">
        <f t="shared" si="25"/>
        <v>-0.47</v>
      </c>
      <c r="R7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14953</v>
      </c>
      <c r="T7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8" s="208">
        <f ca="1">IF(Tabla336106734810[[#This Row],[Equity]]&lt;Tabla336106734810[[#This Row],[Equity Peak]],(Tabla336106734810[[#This Row],[Equity Peak]]-Tabla336106734810[[#This Row],[Equity]])/Tabla336106734810[[#This Row],[Equity Peak]],"")</f>
        <v>3.1333333333333335E-3</v>
      </c>
      <c r="V78" s="209">
        <f t="shared" si="26"/>
        <v>0</v>
      </c>
      <c r="W78" s="209">
        <f t="shared" si="27"/>
        <v>0</v>
      </c>
      <c r="X78" s="209">
        <f t="shared" si="28"/>
        <v>0</v>
      </c>
      <c r="Y78" s="209">
        <f t="shared" si="29"/>
        <v>0</v>
      </c>
      <c r="Z78" s="209">
        <f t="shared" si="30"/>
        <v>-0.47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8.5416666668606922E-2</v>
      </c>
      <c r="AE78" s="210">
        <f t="shared" si="35"/>
        <v>0</v>
      </c>
      <c r="AF78" s="210">
        <f t="shared" si="36"/>
        <v>8.5416666668606922E-2</v>
      </c>
      <c r="AG78" s="210">
        <f t="shared" si="37"/>
        <v>0</v>
      </c>
    </row>
    <row r="79" spans="2:33" ht="15" customHeight="1" x14ac:dyDescent="0.3">
      <c r="B79" s="196" t="s">
        <v>5</v>
      </c>
      <c r="C79" s="197" t="s">
        <v>13</v>
      </c>
      <c r="D79" s="198" t="str">
        <f t="shared" si="19"/>
        <v>C</v>
      </c>
      <c r="E79" s="199">
        <v>44721.635416666664</v>
      </c>
      <c r="F79" s="200" t="s">
        <v>91</v>
      </c>
      <c r="G79" s="201">
        <v>14275.96</v>
      </c>
      <c r="H79" s="201">
        <v>14308.49</v>
      </c>
      <c r="I79" s="202">
        <f t="shared" si="20"/>
        <v>32.530000000000655</v>
      </c>
      <c r="J79" s="201">
        <v>13668.7</v>
      </c>
      <c r="K79" s="199">
        <v>44725.135416666664</v>
      </c>
      <c r="L79" s="201">
        <v>13668.7</v>
      </c>
      <c r="M79" s="203">
        <f t="shared" si="21"/>
        <v>607.26</v>
      </c>
      <c r="N79" s="204">
        <f t="shared" si="22"/>
        <v>18.670000000000002</v>
      </c>
      <c r="O79" s="205">
        <f t="shared" si="23"/>
        <v>0</v>
      </c>
      <c r="P79" s="206">
        <f t="shared" si="24"/>
        <v>18.670000000000002</v>
      </c>
      <c r="Q79" s="206">
        <f t="shared" si="25"/>
        <v>0</v>
      </c>
      <c r="R7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15000</v>
      </c>
      <c r="T7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15000</v>
      </c>
      <c r="U79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79" s="209">
        <f t="shared" si="26"/>
        <v>0</v>
      </c>
      <c r="W79" s="209">
        <f t="shared" si="27"/>
        <v>0</v>
      </c>
      <c r="X79" s="209">
        <f t="shared" si="28"/>
        <v>0</v>
      </c>
      <c r="Y79" s="209">
        <f t="shared" si="29"/>
        <v>0</v>
      </c>
      <c r="Z79" s="209">
        <f t="shared" si="30"/>
        <v>18.670000000000002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3.5</v>
      </c>
      <c r="AE79" s="210">
        <f t="shared" si="35"/>
        <v>3.5</v>
      </c>
      <c r="AF79" s="210">
        <f t="shared" si="36"/>
        <v>0</v>
      </c>
      <c r="AG79" s="210">
        <f t="shared" si="37"/>
        <v>0</v>
      </c>
    </row>
    <row r="80" spans="2:33" ht="15" customHeight="1" x14ac:dyDescent="0.3">
      <c r="B80" s="196" t="s">
        <v>5</v>
      </c>
      <c r="C80" s="197" t="s">
        <v>15</v>
      </c>
      <c r="D80" s="198" t="str">
        <f t="shared" si="19"/>
        <v>C</v>
      </c>
      <c r="E80" s="199">
        <v>44718.65625</v>
      </c>
      <c r="F80" s="200" t="s">
        <v>91</v>
      </c>
      <c r="G80" s="201">
        <v>14648.44</v>
      </c>
      <c r="H80" s="201">
        <v>14617.96</v>
      </c>
      <c r="I80" s="202">
        <f t="shared" si="20"/>
        <v>30.480000000001382</v>
      </c>
      <c r="J80" s="201">
        <v>15217.45</v>
      </c>
      <c r="K80" s="199">
        <v>44718.763194444444</v>
      </c>
      <c r="L80" s="201">
        <v>14647.16</v>
      </c>
      <c r="M80" s="203">
        <f t="shared" si="21"/>
        <v>-1.28</v>
      </c>
      <c r="N80" s="204">
        <f t="shared" si="22"/>
        <v>-0.04</v>
      </c>
      <c r="O80" s="205">
        <f t="shared" si="23"/>
        <v>0</v>
      </c>
      <c r="P80" s="206">
        <f t="shared" si="24"/>
        <v>0</v>
      </c>
      <c r="Q80" s="206">
        <f t="shared" si="25"/>
        <v>-0.04</v>
      </c>
      <c r="R8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13133</v>
      </c>
      <c r="T8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0" s="208">
        <f ca="1">IF(Tabla336106734810[[#This Row],[Equity]]&lt;Tabla336106734810[[#This Row],[Equity Peak]],(Tabla336106734810[[#This Row],[Equity Peak]]-Tabla336106734810[[#This Row],[Equity]])/Tabla336106734810[[#This Row],[Equity Peak]],"")</f>
        <v>3.2346006483937519E-2</v>
      </c>
      <c r="V80" s="209">
        <f t="shared" si="26"/>
        <v>0</v>
      </c>
      <c r="W80" s="209">
        <f t="shared" si="27"/>
        <v>0</v>
      </c>
      <c r="X80" s="209">
        <f t="shared" si="28"/>
        <v>0</v>
      </c>
      <c r="Y80" s="209">
        <f t="shared" si="29"/>
        <v>0</v>
      </c>
      <c r="Z80" s="209">
        <f t="shared" si="30"/>
        <v>-0.04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0.10694444444379769</v>
      </c>
      <c r="AE80" s="210">
        <f t="shared" si="35"/>
        <v>0</v>
      </c>
      <c r="AF80" s="210">
        <f t="shared" si="36"/>
        <v>0.10694444444379769</v>
      </c>
      <c r="AG80" s="210">
        <f t="shared" si="37"/>
        <v>0</v>
      </c>
    </row>
    <row r="81" spans="2:33" ht="15" customHeight="1" x14ac:dyDescent="0.3">
      <c r="B81" s="196" t="s">
        <v>5</v>
      </c>
      <c r="C81" s="197" t="s">
        <v>15</v>
      </c>
      <c r="D81" s="198" t="str">
        <f t="shared" si="19"/>
        <v>C</v>
      </c>
      <c r="E81" s="199">
        <v>44715.145833333336</v>
      </c>
      <c r="F81" s="200" t="s">
        <v>91</v>
      </c>
      <c r="G81" s="201">
        <v>14623.15</v>
      </c>
      <c r="H81" s="201">
        <v>14589.73</v>
      </c>
      <c r="I81" s="202">
        <f t="shared" si="20"/>
        <v>33.420000000000073</v>
      </c>
      <c r="J81" s="201">
        <v>15247.01</v>
      </c>
      <c r="K81" s="199">
        <v>44715.377083333333</v>
      </c>
      <c r="L81" s="201">
        <v>14589.73</v>
      </c>
      <c r="M81" s="203">
        <f t="shared" si="21"/>
        <v>-33.42</v>
      </c>
      <c r="N81" s="204">
        <f t="shared" si="22"/>
        <v>-1</v>
      </c>
      <c r="O81" s="205">
        <f t="shared" si="23"/>
        <v>0</v>
      </c>
      <c r="P81" s="206">
        <f t="shared" si="24"/>
        <v>0</v>
      </c>
      <c r="Q81" s="206">
        <f t="shared" si="25"/>
        <v>-1</v>
      </c>
      <c r="R8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13137</v>
      </c>
      <c r="T8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1" s="208">
        <f ca="1">IF(Tabla336106734810[[#This Row],[Equity]]&lt;Tabla336106734810[[#This Row],[Equity Peak]],(Tabla336106734810[[#This Row],[Equity Peak]]-Tabla336106734810[[#This Row],[Equity]])/Tabla336106734810[[#This Row],[Equity Peak]],"")</f>
        <v>3.2051282051282048E-2</v>
      </c>
      <c r="V81" s="209">
        <f t="shared" si="26"/>
        <v>0</v>
      </c>
      <c r="W81" s="209">
        <f t="shared" si="27"/>
        <v>0</v>
      </c>
      <c r="X81" s="209">
        <f t="shared" si="28"/>
        <v>0</v>
      </c>
      <c r="Y81" s="209">
        <f t="shared" si="29"/>
        <v>0</v>
      </c>
      <c r="Z81" s="209">
        <f t="shared" si="30"/>
        <v>-1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0.23124999999708962</v>
      </c>
      <c r="AE81" s="210">
        <f t="shared" si="35"/>
        <v>0</v>
      </c>
      <c r="AF81" s="210">
        <f t="shared" si="36"/>
        <v>0.23124999999708962</v>
      </c>
      <c r="AG81" s="210">
        <f t="shared" si="37"/>
        <v>0</v>
      </c>
    </row>
    <row r="82" spans="2:33" ht="15" customHeight="1" x14ac:dyDescent="0.3">
      <c r="B82" s="196" t="s">
        <v>5</v>
      </c>
      <c r="C82" s="197" t="s">
        <v>15</v>
      </c>
      <c r="D82" s="198" t="str">
        <f t="shared" si="19"/>
        <v>C</v>
      </c>
      <c r="E82" s="199">
        <v>44707.760416666664</v>
      </c>
      <c r="F82" s="200" t="s">
        <v>91</v>
      </c>
      <c r="G82" s="201">
        <v>14226.79</v>
      </c>
      <c r="H82" s="201">
        <v>14185.76</v>
      </c>
      <c r="I82" s="202">
        <f t="shared" si="20"/>
        <v>41.030000000000655</v>
      </c>
      <c r="J82" s="201">
        <v>14992.63</v>
      </c>
      <c r="K82" s="199">
        <v>44712.408333333333</v>
      </c>
      <c r="L82" s="201">
        <v>14478.11</v>
      </c>
      <c r="M82" s="203">
        <f t="shared" si="21"/>
        <v>251.32</v>
      </c>
      <c r="N82" s="204">
        <f t="shared" si="22"/>
        <v>6.13</v>
      </c>
      <c r="O82" s="205">
        <f t="shared" si="23"/>
        <v>0</v>
      </c>
      <c r="P82" s="206">
        <f t="shared" si="24"/>
        <v>6.13</v>
      </c>
      <c r="Q82" s="206">
        <f t="shared" si="25"/>
        <v>0</v>
      </c>
      <c r="R8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13237</v>
      </c>
      <c r="T8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2" s="208">
        <f ca="1">IF(Tabla336106734810[[#This Row],[Equity]]&lt;Tabla336106734810[[#This Row],[Equity Peak]],(Tabla336106734810[[#This Row],[Equity Peak]]-Tabla336106734810[[#This Row],[Equity]])/Tabla336106734810[[#This Row],[Equity Peak]],"")</f>
        <v>2.4683171234895374E-2</v>
      </c>
      <c r="V82" s="209">
        <f t="shared" si="26"/>
        <v>0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6.13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4.6479166666686069</v>
      </c>
      <c r="AE82" s="210">
        <f t="shared" si="35"/>
        <v>4.6479166666686069</v>
      </c>
      <c r="AF82" s="210">
        <f t="shared" si="36"/>
        <v>0</v>
      </c>
      <c r="AG82" s="210">
        <f t="shared" si="37"/>
        <v>0</v>
      </c>
    </row>
    <row r="83" spans="2:33" ht="15" customHeight="1" x14ac:dyDescent="0.3">
      <c r="B83" s="196" t="s">
        <v>5</v>
      </c>
      <c r="C83" s="197" t="s">
        <v>15</v>
      </c>
      <c r="D83" s="198" t="str">
        <f t="shared" si="19"/>
        <v>C</v>
      </c>
      <c r="E83" s="199">
        <v>44698.927083333336</v>
      </c>
      <c r="F83" s="200" t="s">
        <v>91</v>
      </c>
      <c r="G83" s="201">
        <v>14215.41</v>
      </c>
      <c r="H83" s="201">
        <v>14168.83</v>
      </c>
      <c r="I83" s="202">
        <f t="shared" si="20"/>
        <v>46.579999999999927</v>
      </c>
      <c r="J83" s="201">
        <v>15084.85</v>
      </c>
      <c r="K83" s="199">
        <v>44699.275694444441</v>
      </c>
      <c r="L83" s="201">
        <v>14168.83</v>
      </c>
      <c r="M83" s="203">
        <f t="shared" si="21"/>
        <v>-46.58</v>
      </c>
      <c r="N83" s="204">
        <f t="shared" si="22"/>
        <v>-1</v>
      </c>
      <c r="O83" s="205">
        <f t="shared" si="23"/>
        <v>0</v>
      </c>
      <c r="P83" s="206">
        <f t="shared" si="24"/>
        <v>0</v>
      </c>
      <c r="Q83" s="206">
        <f t="shared" si="25"/>
        <v>-1</v>
      </c>
      <c r="R8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12624</v>
      </c>
      <c r="T8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3" s="208">
        <f ca="1">IF(Tabla336106734810[[#This Row],[Equity]]&lt;Tabla336106734810[[#This Row],[Equity Peak]],(Tabla336106734810[[#This Row],[Equity Peak]]-Tabla336106734810[[#This Row],[Equity]])/Tabla336106734810[[#This Row],[Equity Peak]],"")</f>
        <v>6.9849690539345713E-2</v>
      </c>
      <c r="V83" s="209">
        <f t="shared" si="26"/>
        <v>0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-1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0.34861111110512866</v>
      </c>
      <c r="AE83" s="210">
        <f t="shared" si="35"/>
        <v>0</v>
      </c>
      <c r="AF83" s="210">
        <f t="shared" si="36"/>
        <v>0.34861111110512866</v>
      </c>
      <c r="AG83" s="210">
        <f t="shared" si="37"/>
        <v>0</v>
      </c>
    </row>
    <row r="84" spans="2:33" ht="15" customHeight="1" x14ac:dyDescent="0.3">
      <c r="B84" s="196" t="s">
        <v>5</v>
      </c>
      <c r="C84" s="197" t="s">
        <v>15</v>
      </c>
      <c r="D84" s="198" t="str">
        <f t="shared" si="19"/>
        <v>C</v>
      </c>
      <c r="E84" s="199">
        <v>44698.447916666664</v>
      </c>
      <c r="F84" s="200" t="s">
        <v>91</v>
      </c>
      <c r="G84" s="201">
        <v>14126.56</v>
      </c>
      <c r="H84" s="201">
        <v>14077.48</v>
      </c>
      <c r="I84" s="202">
        <f t="shared" si="20"/>
        <v>49.079999999999927</v>
      </c>
      <c r="J84" s="201">
        <v>15042.81</v>
      </c>
      <c r="K84" s="199">
        <v>44698.738194444442</v>
      </c>
      <c r="L84" s="201">
        <v>14104.33</v>
      </c>
      <c r="M84" s="203">
        <f t="shared" si="21"/>
        <v>-22.23</v>
      </c>
      <c r="N84" s="204">
        <f t="shared" si="22"/>
        <v>-0.45</v>
      </c>
      <c r="O84" s="205">
        <f t="shared" si="23"/>
        <v>0</v>
      </c>
      <c r="P84" s="206">
        <f t="shared" si="24"/>
        <v>0</v>
      </c>
      <c r="Q84" s="206">
        <f t="shared" si="25"/>
        <v>-0.45</v>
      </c>
      <c r="R8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12724</v>
      </c>
      <c r="T8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4" s="208">
        <f ca="1">IF(Tabla336106734810[[#This Row],[Equity]]&lt;Tabla336106734810[[#This Row],[Equity Peak]],(Tabla336106734810[[#This Row],[Equity Peak]]-Tabla336106734810[[#This Row],[Equity]])/Tabla336106734810[[#This Row],[Equity Peak]],"")</f>
        <v>6.2481579722959035E-2</v>
      </c>
      <c r="V84" s="209">
        <f t="shared" si="26"/>
        <v>0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-0.45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0.29027777777810115</v>
      </c>
      <c r="AE84" s="210">
        <f t="shared" si="35"/>
        <v>0</v>
      </c>
      <c r="AF84" s="210">
        <f t="shared" si="36"/>
        <v>0.29027777777810115</v>
      </c>
      <c r="AG84" s="210">
        <f t="shared" si="37"/>
        <v>0</v>
      </c>
    </row>
    <row r="85" spans="2:33" ht="15" customHeight="1" x14ac:dyDescent="0.3">
      <c r="B85" s="196" t="s">
        <v>5</v>
      </c>
      <c r="C85" s="197" t="s">
        <v>15</v>
      </c>
      <c r="D85" s="198" t="str">
        <f t="shared" si="19"/>
        <v>C</v>
      </c>
      <c r="E85" s="199">
        <v>44694.479166666664</v>
      </c>
      <c r="F85" s="200" t="s">
        <v>91</v>
      </c>
      <c r="G85" s="201">
        <v>13917.17</v>
      </c>
      <c r="H85" s="201">
        <v>13857.5</v>
      </c>
      <c r="I85" s="202">
        <f t="shared" si="20"/>
        <v>59.670000000000073</v>
      </c>
      <c r="J85" s="201">
        <v>15031.1</v>
      </c>
      <c r="K85" s="199">
        <v>44697.425694444442</v>
      </c>
      <c r="L85" s="201">
        <v>13915.7</v>
      </c>
      <c r="M85" s="203">
        <f t="shared" si="21"/>
        <v>-1.47</v>
      </c>
      <c r="N85" s="204">
        <f t="shared" si="22"/>
        <v>-0.02</v>
      </c>
      <c r="O85" s="205">
        <f t="shared" si="23"/>
        <v>0</v>
      </c>
      <c r="P85" s="206">
        <f t="shared" si="24"/>
        <v>0</v>
      </c>
      <c r="Q85" s="206">
        <f t="shared" si="25"/>
        <v>-0.02</v>
      </c>
      <c r="R8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12769</v>
      </c>
      <c r="T8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5" s="208">
        <f ca="1">IF(Tabla336106734810[[#This Row],[Equity]]&lt;Tabla336106734810[[#This Row],[Equity Peak]],(Tabla336106734810[[#This Row],[Equity Peak]]-Tabla336106734810[[#This Row],[Equity]])/Tabla336106734810[[#This Row],[Equity Peak]],"")</f>
        <v>5.9165929855585025E-2</v>
      </c>
      <c r="V85" s="209">
        <f t="shared" si="26"/>
        <v>0</v>
      </c>
      <c r="W85" s="209">
        <f t="shared" si="27"/>
        <v>0</v>
      </c>
      <c r="X85" s="209">
        <f t="shared" si="28"/>
        <v>0</v>
      </c>
      <c r="Y85" s="209">
        <f t="shared" si="29"/>
        <v>0</v>
      </c>
      <c r="Z85" s="209">
        <f t="shared" si="30"/>
        <v>-0.02</v>
      </c>
      <c r="AA85" s="205">
        <f t="shared" si="31"/>
        <v>0</v>
      </c>
      <c r="AB85" s="209">
        <f t="shared" si="32"/>
        <v>0</v>
      </c>
      <c r="AC85" s="205">
        <f t="shared" si="33"/>
        <v>0</v>
      </c>
      <c r="AD85" s="210">
        <f t="shared" si="34"/>
        <v>2.9465277777781012</v>
      </c>
      <c r="AE85" s="210">
        <f t="shared" si="35"/>
        <v>0</v>
      </c>
      <c r="AF85" s="210">
        <f t="shared" si="36"/>
        <v>2.9465277777781012</v>
      </c>
      <c r="AG85" s="210">
        <f t="shared" si="37"/>
        <v>0</v>
      </c>
    </row>
    <row r="86" spans="2:33" ht="15" customHeight="1" x14ac:dyDescent="0.3">
      <c r="B86" s="196" t="s">
        <v>5</v>
      </c>
      <c r="C86" s="197" t="s">
        <v>15</v>
      </c>
      <c r="D86" s="198" t="str">
        <f t="shared" si="19"/>
        <v>C</v>
      </c>
      <c r="E86" s="199">
        <v>44694.270833333336</v>
      </c>
      <c r="F86" s="200" t="s">
        <v>91</v>
      </c>
      <c r="G86" s="201">
        <v>13901.92</v>
      </c>
      <c r="H86" s="201">
        <v>13840.61</v>
      </c>
      <c r="I86" s="202">
        <f t="shared" si="20"/>
        <v>61.309999999999491</v>
      </c>
      <c r="J86" s="201">
        <v>15046.4</v>
      </c>
      <c r="K86" s="199">
        <v>44694.384027777778</v>
      </c>
      <c r="L86" s="201">
        <v>13840.61</v>
      </c>
      <c r="M86" s="203">
        <f t="shared" si="21"/>
        <v>-61.31</v>
      </c>
      <c r="N86" s="204">
        <f t="shared" si="22"/>
        <v>-1</v>
      </c>
      <c r="O86" s="205">
        <f t="shared" si="23"/>
        <v>0</v>
      </c>
      <c r="P86" s="206">
        <f t="shared" si="24"/>
        <v>0</v>
      </c>
      <c r="Q86" s="206">
        <f t="shared" si="25"/>
        <v>-1</v>
      </c>
      <c r="R8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12771</v>
      </c>
      <c r="T8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6" s="208">
        <f ca="1">IF(Tabla336106734810[[#This Row],[Equity]]&lt;Tabla336106734810[[#This Row],[Equity Peak]],(Tabla336106734810[[#This Row],[Equity Peak]]-Tabla336106734810[[#This Row],[Equity]])/Tabla336106734810[[#This Row],[Equity Peak]],"")</f>
        <v>5.9018567639257294E-2</v>
      </c>
      <c r="V86" s="209">
        <f t="shared" si="26"/>
        <v>0</v>
      </c>
      <c r="W86" s="209">
        <f t="shared" si="27"/>
        <v>0</v>
      </c>
      <c r="X86" s="209">
        <f t="shared" si="28"/>
        <v>0</v>
      </c>
      <c r="Y86" s="209">
        <f t="shared" si="29"/>
        <v>0</v>
      </c>
      <c r="Z86" s="209">
        <f t="shared" si="30"/>
        <v>-1</v>
      </c>
      <c r="AA86" s="205">
        <f t="shared" si="31"/>
        <v>0</v>
      </c>
      <c r="AB86" s="209">
        <f t="shared" si="32"/>
        <v>0</v>
      </c>
      <c r="AC86" s="205">
        <f t="shared" si="33"/>
        <v>0</v>
      </c>
      <c r="AD86" s="210">
        <f t="shared" si="34"/>
        <v>0.1131944444423425</v>
      </c>
      <c r="AE86" s="210">
        <f t="shared" si="35"/>
        <v>0</v>
      </c>
      <c r="AF86" s="210">
        <f t="shared" si="36"/>
        <v>0.1131944444423425</v>
      </c>
      <c r="AG86" s="210">
        <f t="shared" si="37"/>
        <v>0</v>
      </c>
    </row>
    <row r="87" spans="2:33" ht="15" customHeight="1" x14ac:dyDescent="0.3">
      <c r="B87" s="196" t="s">
        <v>5</v>
      </c>
      <c r="C87" s="197" t="s">
        <v>13</v>
      </c>
      <c r="D87" s="198" t="str">
        <f t="shared" si="19"/>
        <v>C</v>
      </c>
      <c r="E87" s="199">
        <v>44691.145833333336</v>
      </c>
      <c r="F87" s="200" t="s">
        <v>91</v>
      </c>
      <c r="G87" s="201">
        <v>13286.6</v>
      </c>
      <c r="H87" s="201">
        <v>13344.57</v>
      </c>
      <c r="I87" s="202">
        <f t="shared" si="20"/>
        <v>57.969999999999345</v>
      </c>
      <c r="J87" s="201">
        <v>12204.44</v>
      </c>
      <c r="K87" s="199">
        <v>44691.20416666667</v>
      </c>
      <c r="L87" s="201">
        <v>13344.57</v>
      </c>
      <c r="M87" s="203">
        <f t="shared" si="21"/>
        <v>-57.97</v>
      </c>
      <c r="N87" s="204">
        <f t="shared" si="22"/>
        <v>-1</v>
      </c>
      <c r="O87" s="205">
        <f t="shared" si="23"/>
        <v>0</v>
      </c>
      <c r="P87" s="206">
        <f t="shared" si="24"/>
        <v>0</v>
      </c>
      <c r="Q87" s="206">
        <f t="shared" si="25"/>
        <v>-1</v>
      </c>
      <c r="R8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12871</v>
      </c>
      <c r="T8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7" s="208">
        <f ca="1">IF(Tabla336106734810[[#This Row],[Equity]]&lt;Tabla336106734810[[#This Row],[Equity Peak]],(Tabla336106734810[[#This Row],[Equity Peak]]-Tabla336106734810[[#This Row],[Equity]])/Tabla336106734810[[#This Row],[Equity Peak]],"")</f>
        <v>5.1650456822870616E-2</v>
      </c>
      <c r="V87" s="209">
        <f t="shared" si="26"/>
        <v>0</v>
      </c>
      <c r="W87" s="209">
        <f t="shared" si="27"/>
        <v>0</v>
      </c>
      <c r="X87" s="209">
        <f t="shared" si="28"/>
        <v>0</v>
      </c>
      <c r="Y87" s="209">
        <f t="shared" si="29"/>
        <v>0</v>
      </c>
      <c r="Z87" s="209">
        <f t="shared" si="30"/>
        <v>-1</v>
      </c>
      <c r="AA87" s="205">
        <f t="shared" si="31"/>
        <v>0</v>
      </c>
      <c r="AB87" s="209">
        <f t="shared" si="32"/>
        <v>0</v>
      </c>
      <c r="AC87" s="205">
        <f t="shared" si="33"/>
        <v>0</v>
      </c>
      <c r="AD87" s="210">
        <f t="shared" si="34"/>
        <v>5.8333333334303461E-2</v>
      </c>
      <c r="AE87" s="210">
        <f t="shared" si="35"/>
        <v>0</v>
      </c>
      <c r="AF87" s="210">
        <f t="shared" si="36"/>
        <v>5.8333333334303461E-2</v>
      </c>
      <c r="AG87" s="210">
        <f t="shared" si="37"/>
        <v>0</v>
      </c>
    </row>
    <row r="88" spans="2:33" ht="15" customHeight="1" x14ac:dyDescent="0.3">
      <c r="B88" s="196" t="s">
        <v>5</v>
      </c>
      <c r="C88" s="197" t="s">
        <v>13</v>
      </c>
      <c r="D88" s="198" t="str">
        <f t="shared" si="19"/>
        <v>C</v>
      </c>
      <c r="E88" s="199">
        <v>44690.770833333336</v>
      </c>
      <c r="F88" s="200" t="s">
        <v>91</v>
      </c>
      <c r="G88" s="201">
        <v>13381.33</v>
      </c>
      <c r="H88" s="201">
        <v>13436.98</v>
      </c>
      <c r="I88" s="202">
        <f t="shared" si="20"/>
        <v>55.649999999999636</v>
      </c>
      <c r="J88" s="201">
        <v>12342.51</v>
      </c>
      <c r="K88" s="199">
        <v>44690.786805555559</v>
      </c>
      <c r="L88" s="201">
        <v>13436.98</v>
      </c>
      <c r="M88" s="203">
        <f t="shared" si="21"/>
        <v>-55.65</v>
      </c>
      <c r="N88" s="204">
        <f t="shared" si="22"/>
        <v>-1</v>
      </c>
      <c r="O88" s="205">
        <f t="shared" si="23"/>
        <v>0</v>
      </c>
      <c r="P88" s="206">
        <f t="shared" si="24"/>
        <v>0</v>
      </c>
      <c r="Q88" s="206">
        <f t="shared" si="25"/>
        <v>-1</v>
      </c>
      <c r="R8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12971</v>
      </c>
      <c r="T8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8" s="208">
        <f ca="1">IF(Tabla336106734810[[#This Row],[Equity]]&lt;Tabla336106734810[[#This Row],[Equity Peak]],(Tabla336106734810[[#This Row],[Equity Peak]]-Tabla336106734810[[#This Row],[Equity]])/Tabla336106734810[[#This Row],[Equity Peak]],"")</f>
        <v>4.4282346006483939E-2</v>
      </c>
      <c r="V88" s="209">
        <f t="shared" si="26"/>
        <v>0</v>
      </c>
      <c r="W88" s="209">
        <f t="shared" si="27"/>
        <v>0</v>
      </c>
      <c r="X88" s="209">
        <f t="shared" si="28"/>
        <v>0</v>
      </c>
      <c r="Y88" s="209">
        <f t="shared" si="29"/>
        <v>0</v>
      </c>
      <c r="Z88" s="209">
        <f t="shared" si="30"/>
        <v>-1</v>
      </c>
      <c r="AA88" s="205">
        <f t="shared" si="31"/>
        <v>0</v>
      </c>
      <c r="AB88" s="209">
        <f t="shared" si="32"/>
        <v>0</v>
      </c>
      <c r="AC88" s="205">
        <f t="shared" si="33"/>
        <v>0</v>
      </c>
      <c r="AD88" s="210">
        <f t="shared" si="34"/>
        <v>1.5972222223354038E-2</v>
      </c>
      <c r="AE88" s="210">
        <f t="shared" si="35"/>
        <v>0</v>
      </c>
      <c r="AF88" s="210">
        <f t="shared" si="36"/>
        <v>1.5972222223354038E-2</v>
      </c>
      <c r="AG88" s="210">
        <f t="shared" si="37"/>
        <v>0</v>
      </c>
    </row>
    <row r="89" spans="2:33" ht="15" customHeight="1" x14ac:dyDescent="0.3">
      <c r="B89" s="196" t="s">
        <v>5</v>
      </c>
      <c r="C89" s="197" t="s">
        <v>13</v>
      </c>
      <c r="D89" s="198" t="str">
        <f t="shared" ref="D89:D120" si="38">IF(E89&lt;&gt;"",IF(K89&lt;&gt;"","C","O"),"")</f>
        <v>C</v>
      </c>
      <c r="E89" s="199">
        <v>44690.572916666664</v>
      </c>
      <c r="F89" s="200" t="s">
        <v>91</v>
      </c>
      <c r="G89" s="201">
        <v>13423.33</v>
      </c>
      <c r="H89" s="201">
        <v>13475.72</v>
      </c>
      <c r="I89" s="202">
        <f t="shared" ref="I89:I120" si="39">ABS(G89-H89)</f>
        <v>52.389999999999418</v>
      </c>
      <c r="J89" s="201">
        <v>12445.38</v>
      </c>
      <c r="K89" s="199">
        <v>44690.623611111114</v>
      </c>
      <c r="L89" s="201">
        <v>13475.72</v>
      </c>
      <c r="M89" s="203">
        <f t="shared" ref="M89:M120" si="40">ROUND(IF(C89="L",(L89-G89),(G89-L89)),4)</f>
        <v>-52.39</v>
      </c>
      <c r="N89" s="204">
        <f t="shared" ref="N89:N120" si="41">IFERROR(ROUND((M89/I89),2),"")</f>
        <v>-1</v>
      </c>
      <c r="O89" s="205">
        <f t="shared" ref="O89:O120" si="42">IF(D89="O",IF(N89&lt;0,N89,0),0)</f>
        <v>0</v>
      </c>
      <c r="P89" s="206">
        <f t="shared" ref="P89:P124" si="43">IF(N89&gt;= 0,N89,0)</f>
        <v>0</v>
      </c>
      <c r="Q89" s="206">
        <f t="shared" ref="Q89:Q124" si="44">IF(N89&lt;0,N89,0)</f>
        <v>-1</v>
      </c>
      <c r="R8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13071</v>
      </c>
      <c r="T8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89" s="208">
        <f ca="1">IF(Tabla336106734810[[#This Row],[Equity]]&lt;Tabla336106734810[[#This Row],[Equity Peak]],(Tabla336106734810[[#This Row],[Equity Peak]]-Tabla336106734810[[#This Row],[Equity]])/Tabla336106734810[[#This Row],[Equity Peak]],"")</f>
        <v>3.6914235190097261E-2</v>
      </c>
      <c r="V89" s="209">
        <f t="shared" ref="V89:V124" si="45">IF(B89="FX",N89,0)</f>
        <v>0</v>
      </c>
      <c r="W89" s="209">
        <f t="shared" ref="W89:W120" si="46">IF(D89="O",IF(V89&lt;0,V89,0),0)</f>
        <v>0</v>
      </c>
      <c r="X89" s="209">
        <f t="shared" ref="X89:X124" si="47">IF(B89="COM",N89,0)</f>
        <v>0</v>
      </c>
      <c r="Y89" s="209">
        <f t="shared" ref="Y89:Y120" si="48">IF(D89="O",IF(X89&lt;0,X89,0),0)</f>
        <v>0</v>
      </c>
      <c r="Z89" s="209">
        <f t="shared" ref="Z89:Z124" si="49">IF(B89="IND",N89,0)</f>
        <v>-1</v>
      </c>
      <c r="AA89" s="205">
        <f t="shared" ref="AA89:AA120" si="50">IF(D89="O",IF(Z89&lt;0,Z89,0),0)</f>
        <v>0</v>
      </c>
      <c r="AB89" s="209">
        <f t="shared" ref="AB89:AB124" si="51">IF(B89="CRYPTO",N89,0)</f>
        <v>0</v>
      </c>
      <c r="AC89" s="205">
        <f t="shared" ref="AC89:AC120" si="52">IF(D89="O",IF(AB89&lt;0,AB89,0),0)</f>
        <v>0</v>
      </c>
      <c r="AD89" s="210">
        <f t="shared" ref="AD89:AD124" si="53">IF(K89&lt;&gt;"",K89-E89,0)</f>
        <v>5.0694444449618459E-2</v>
      </c>
      <c r="AE89" s="210">
        <f t="shared" ref="AE89:AE120" si="54">IF(N89&gt;0,AD89,0)</f>
        <v>0</v>
      </c>
      <c r="AF89" s="210">
        <f t="shared" ref="AF89:AF124" si="55">IF(N89&lt;0,AD89,0)</f>
        <v>5.0694444449618459E-2</v>
      </c>
      <c r="AG89" s="210">
        <f t="shared" ref="AG89:AG124" si="56">IF(N89=0,AD89,0)</f>
        <v>0</v>
      </c>
    </row>
    <row r="90" spans="2:33" ht="15" customHeight="1" x14ac:dyDescent="0.3">
      <c r="B90" s="196" t="s">
        <v>5</v>
      </c>
      <c r="C90" s="197" t="s">
        <v>13</v>
      </c>
      <c r="D90" s="198" t="str">
        <f t="shared" si="38"/>
        <v>C</v>
      </c>
      <c r="E90" s="199">
        <v>44690.145833333336</v>
      </c>
      <c r="F90" s="200" t="s">
        <v>91</v>
      </c>
      <c r="G90" s="201">
        <v>13520.58</v>
      </c>
      <c r="H90" s="201">
        <v>13572.75</v>
      </c>
      <c r="I90" s="202">
        <f t="shared" si="39"/>
        <v>52.170000000000073</v>
      </c>
      <c r="J90" s="201">
        <v>12546.72</v>
      </c>
      <c r="K90" s="199">
        <v>44690.397222222222</v>
      </c>
      <c r="L90" s="201">
        <v>13568.25</v>
      </c>
      <c r="M90" s="203">
        <f t="shared" si="40"/>
        <v>-47.67</v>
      </c>
      <c r="N90" s="204">
        <f t="shared" si="41"/>
        <v>-0.91</v>
      </c>
      <c r="O90" s="205">
        <f t="shared" si="42"/>
        <v>0</v>
      </c>
      <c r="P90" s="206">
        <f t="shared" si="43"/>
        <v>0</v>
      </c>
      <c r="Q90" s="206">
        <f t="shared" si="44"/>
        <v>-0.91</v>
      </c>
      <c r="R9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13171</v>
      </c>
      <c r="T9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90" s="208">
        <f ca="1">IF(Tabla336106734810[[#This Row],[Equity]]&lt;Tabla336106734810[[#This Row],[Equity Peak]],(Tabla336106734810[[#This Row],[Equity Peak]]-Tabla336106734810[[#This Row],[Equity]])/Tabla336106734810[[#This Row],[Equity Peak]],"")</f>
        <v>2.954612437371058E-2</v>
      </c>
      <c r="V90" s="209">
        <f t="shared" si="45"/>
        <v>0</v>
      </c>
      <c r="W90" s="209">
        <f t="shared" si="46"/>
        <v>0</v>
      </c>
      <c r="X90" s="209">
        <f t="shared" si="47"/>
        <v>0</v>
      </c>
      <c r="Y90" s="209">
        <f t="shared" si="48"/>
        <v>0</v>
      </c>
      <c r="Z90" s="209">
        <f t="shared" si="49"/>
        <v>-0.91</v>
      </c>
      <c r="AA90" s="205">
        <f t="shared" si="50"/>
        <v>0</v>
      </c>
      <c r="AB90" s="209">
        <f t="shared" si="51"/>
        <v>0</v>
      </c>
      <c r="AC90" s="205">
        <f t="shared" si="52"/>
        <v>0</v>
      </c>
      <c r="AD90" s="210">
        <f t="shared" si="53"/>
        <v>0.25138888888614019</v>
      </c>
      <c r="AE90" s="210">
        <f t="shared" si="54"/>
        <v>0</v>
      </c>
      <c r="AF90" s="210">
        <f t="shared" si="55"/>
        <v>0.25138888888614019</v>
      </c>
      <c r="AG90" s="210">
        <f t="shared" si="56"/>
        <v>0</v>
      </c>
    </row>
    <row r="91" spans="2:33" ht="15" customHeight="1" x14ac:dyDescent="0.3">
      <c r="B91" s="196" t="s">
        <v>5</v>
      </c>
      <c r="C91" s="197" t="s">
        <v>13</v>
      </c>
      <c r="D91" s="198" t="str">
        <f t="shared" si="38"/>
        <v>C</v>
      </c>
      <c r="E91" s="199">
        <v>44687.697916666664</v>
      </c>
      <c r="F91" s="200" t="s">
        <v>91</v>
      </c>
      <c r="G91" s="201">
        <v>13611.9</v>
      </c>
      <c r="H91" s="201">
        <v>13660.2</v>
      </c>
      <c r="I91" s="202">
        <f t="shared" si="39"/>
        <v>48.300000000001091</v>
      </c>
      <c r="J91" s="201">
        <v>12710.37</v>
      </c>
      <c r="K91" s="199">
        <v>44687.720138888886</v>
      </c>
      <c r="L91" s="201">
        <v>13660.2</v>
      </c>
      <c r="M91" s="203">
        <f t="shared" si="40"/>
        <v>-48.3</v>
      </c>
      <c r="N91" s="204">
        <f t="shared" si="41"/>
        <v>-1</v>
      </c>
      <c r="O91" s="205">
        <f t="shared" si="42"/>
        <v>0</v>
      </c>
      <c r="P91" s="206">
        <f t="shared" si="43"/>
        <v>0</v>
      </c>
      <c r="Q91" s="206">
        <f t="shared" si="44"/>
        <v>-1</v>
      </c>
      <c r="R9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13262</v>
      </c>
      <c r="T9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91" s="208">
        <f ca="1">IF(Tabla336106734810[[#This Row],[Equity]]&lt;Tabla336106734810[[#This Row],[Equity Peak]],(Tabla336106734810[[#This Row],[Equity Peak]]-Tabla336106734810[[#This Row],[Equity]])/Tabla336106734810[[#This Row],[Equity Peak]],"")</f>
        <v>2.2841143530798705E-2</v>
      </c>
      <c r="V91" s="209">
        <f t="shared" si="45"/>
        <v>0</v>
      </c>
      <c r="W91" s="209">
        <f t="shared" si="46"/>
        <v>0</v>
      </c>
      <c r="X91" s="209">
        <f t="shared" si="47"/>
        <v>0</v>
      </c>
      <c r="Y91" s="209">
        <f t="shared" si="48"/>
        <v>0</v>
      </c>
      <c r="Z91" s="209">
        <f t="shared" si="49"/>
        <v>-1</v>
      </c>
      <c r="AA91" s="205">
        <f t="shared" si="50"/>
        <v>0</v>
      </c>
      <c r="AB91" s="209">
        <f t="shared" si="51"/>
        <v>0</v>
      </c>
      <c r="AC91" s="205">
        <f t="shared" si="52"/>
        <v>0</v>
      </c>
      <c r="AD91" s="210">
        <f t="shared" si="53"/>
        <v>2.2222222221898846E-2</v>
      </c>
      <c r="AE91" s="210">
        <f t="shared" si="54"/>
        <v>0</v>
      </c>
      <c r="AF91" s="210">
        <f t="shared" si="55"/>
        <v>2.2222222221898846E-2</v>
      </c>
      <c r="AG91" s="210">
        <f t="shared" si="56"/>
        <v>0</v>
      </c>
    </row>
    <row r="92" spans="2:33" ht="15" customHeight="1" x14ac:dyDescent="0.3">
      <c r="B92" s="196" t="s">
        <v>5</v>
      </c>
      <c r="C92" s="197" t="s">
        <v>13</v>
      </c>
      <c r="D92" s="198" t="str">
        <f t="shared" si="38"/>
        <v>C</v>
      </c>
      <c r="E92" s="199">
        <v>44687.520833333336</v>
      </c>
      <c r="F92" s="200" t="s">
        <v>91</v>
      </c>
      <c r="G92" s="201">
        <v>13686.9</v>
      </c>
      <c r="H92" s="201">
        <v>13734.31</v>
      </c>
      <c r="I92" s="202">
        <f t="shared" si="39"/>
        <v>47.409999999999854</v>
      </c>
      <c r="J92" s="201">
        <v>12801.82</v>
      </c>
      <c r="K92" s="199">
        <v>44687.526388888888</v>
      </c>
      <c r="L92" s="201">
        <v>13734.31</v>
      </c>
      <c r="M92" s="203">
        <f t="shared" si="40"/>
        <v>-47.41</v>
      </c>
      <c r="N92" s="204">
        <f t="shared" si="41"/>
        <v>-1</v>
      </c>
      <c r="O92" s="205">
        <f t="shared" si="42"/>
        <v>0</v>
      </c>
      <c r="P92" s="206">
        <f t="shared" si="43"/>
        <v>0</v>
      </c>
      <c r="Q92" s="206">
        <f t="shared" si="44"/>
        <v>-1</v>
      </c>
      <c r="R9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13362</v>
      </c>
      <c r="T9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92" s="208">
        <f ca="1">IF(Tabla336106734810[[#This Row],[Equity]]&lt;Tabla336106734810[[#This Row],[Equity Peak]],(Tabla336106734810[[#This Row],[Equity Peak]]-Tabla336106734810[[#This Row],[Equity]])/Tabla336106734810[[#This Row],[Equity Peak]],"")</f>
        <v>1.5473032714412025E-2</v>
      </c>
      <c r="V92" s="209">
        <f t="shared" si="45"/>
        <v>0</v>
      </c>
      <c r="W92" s="209">
        <f t="shared" si="46"/>
        <v>0</v>
      </c>
      <c r="X92" s="209">
        <f t="shared" si="47"/>
        <v>0</v>
      </c>
      <c r="Y92" s="209">
        <f t="shared" si="48"/>
        <v>0</v>
      </c>
      <c r="Z92" s="209">
        <f t="shared" si="49"/>
        <v>-1</v>
      </c>
      <c r="AA92" s="205">
        <f t="shared" si="50"/>
        <v>0</v>
      </c>
      <c r="AB92" s="209">
        <f t="shared" si="51"/>
        <v>0</v>
      </c>
      <c r="AC92" s="205">
        <f t="shared" si="52"/>
        <v>0</v>
      </c>
      <c r="AD92" s="210">
        <f t="shared" si="53"/>
        <v>5.5555555518367328E-3</v>
      </c>
      <c r="AE92" s="210">
        <f t="shared" si="54"/>
        <v>0</v>
      </c>
      <c r="AF92" s="210">
        <f t="shared" si="55"/>
        <v>5.5555555518367328E-3</v>
      </c>
      <c r="AG92" s="210">
        <f t="shared" si="56"/>
        <v>0</v>
      </c>
    </row>
    <row r="93" spans="2:33" ht="15" customHeight="1" x14ac:dyDescent="0.3">
      <c r="B93" s="196" t="s">
        <v>5</v>
      </c>
      <c r="C93" s="197" t="s">
        <v>13</v>
      </c>
      <c r="D93" s="198" t="str">
        <f t="shared" si="38"/>
        <v>C</v>
      </c>
      <c r="E93" s="199">
        <v>44687.447916666664</v>
      </c>
      <c r="F93" s="200" t="s">
        <v>91</v>
      </c>
      <c r="G93" s="201">
        <v>13736.9</v>
      </c>
      <c r="H93" s="201">
        <v>13783.62</v>
      </c>
      <c r="I93" s="202">
        <f t="shared" si="39"/>
        <v>46.720000000001164</v>
      </c>
      <c r="J93" s="201">
        <v>12864.77</v>
      </c>
      <c r="K93" s="199">
        <v>44687.456944444442</v>
      </c>
      <c r="L93" s="201">
        <v>13783.62</v>
      </c>
      <c r="M93" s="203">
        <f t="shared" si="40"/>
        <v>-46.72</v>
      </c>
      <c r="N93" s="204">
        <f t="shared" si="41"/>
        <v>-1</v>
      </c>
      <c r="O93" s="205">
        <f t="shared" si="42"/>
        <v>0</v>
      </c>
      <c r="P93" s="206">
        <f t="shared" si="43"/>
        <v>0</v>
      </c>
      <c r="Q93" s="206">
        <f t="shared" si="44"/>
        <v>-1</v>
      </c>
      <c r="R9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13462</v>
      </c>
      <c r="T9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93" s="208">
        <f ca="1">IF(Tabla336106734810[[#This Row],[Equity]]&lt;Tabla336106734810[[#This Row],[Equity Peak]],(Tabla336106734810[[#This Row],[Equity Peak]]-Tabla336106734810[[#This Row],[Equity]])/Tabla336106734810[[#This Row],[Equity Peak]],"")</f>
        <v>8.1049218980253461E-3</v>
      </c>
      <c r="V93" s="209">
        <f t="shared" si="45"/>
        <v>0</v>
      </c>
      <c r="W93" s="209">
        <f t="shared" si="46"/>
        <v>0</v>
      </c>
      <c r="X93" s="209">
        <f t="shared" si="47"/>
        <v>0</v>
      </c>
      <c r="Y93" s="209">
        <f t="shared" si="48"/>
        <v>0</v>
      </c>
      <c r="Z93" s="209">
        <f t="shared" si="49"/>
        <v>-1</v>
      </c>
      <c r="AA93" s="205">
        <f t="shared" si="50"/>
        <v>0</v>
      </c>
      <c r="AB93" s="209">
        <f t="shared" si="51"/>
        <v>0</v>
      </c>
      <c r="AC93" s="205">
        <f t="shared" si="52"/>
        <v>0</v>
      </c>
      <c r="AD93" s="210">
        <f t="shared" si="53"/>
        <v>9.0277777781011537E-3</v>
      </c>
      <c r="AE93" s="210">
        <f t="shared" si="54"/>
        <v>0</v>
      </c>
      <c r="AF93" s="210">
        <f t="shared" si="55"/>
        <v>9.0277777781011537E-3</v>
      </c>
      <c r="AG93" s="210">
        <f t="shared" si="56"/>
        <v>0</v>
      </c>
    </row>
    <row r="94" spans="2:33" ht="15" customHeight="1" x14ac:dyDescent="0.3">
      <c r="B94" s="196" t="s">
        <v>5</v>
      </c>
      <c r="C94" s="197" t="s">
        <v>15</v>
      </c>
      <c r="D94" s="198" t="str">
        <f t="shared" si="38"/>
        <v>C</v>
      </c>
      <c r="E94" s="199">
        <v>44685.9375</v>
      </c>
      <c r="F94" s="200" t="s">
        <v>91</v>
      </c>
      <c r="G94" s="201">
        <v>14208.48</v>
      </c>
      <c r="H94" s="201">
        <v>14156.94</v>
      </c>
      <c r="I94" s="202">
        <f t="shared" si="39"/>
        <v>51.539999999999054</v>
      </c>
      <c r="J94" s="201">
        <v>15170.62</v>
      </c>
      <c r="K94" s="199">
        <v>44686.463194444441</v>
      </c>
      <c r="L94" s="201">
        <v>14203.46</v>
      </c>
      <c r="M94" s="203">
        <f t="shared" si="40"/>
        <v>-5.0199999999999996</v>
      </c>
      <c r="N94" s="204">
        <f t="shared" si="41"/>
        <v>-0.1</v>
      </c>
      <c r="O94" s="205">
        <f t="shared" si="42"/>
        <v>0</v>
      </c>
      <c r="P94" s="206">
        <f t="shared" si="43"/>
        <v>0</v>
      </c>
      <c r="Q94" s="206">
        <f t="shared" si="44"/>
        <v>-0.1</v>
      </c>
      <c r="R9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13562</v>
      </c>
      <c r="T9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94" s="208">
        <f ca="1">IF(Tabla336106734810[[#This Row],[Equity]]&lt;Tabla336106734810[[#This Row],[Equity Peak]],(Tabla336106734810[[#This Row],[Equity Peak]]-Tabla336106734810[[#This Row],[Equity]])/Tabla336106734810[[#This Row],[Equity Peak]],"")</f>
        <v>7.3681108163866781E-4</v>
      </c>
      <c r="V94" s="209">
        <f t="shared" si="45"/>
        <v>0</v>
      </c>
      <c r="W94" s="209">
        <f t="shared" si="46"/>
        <v>0</v>
      </c>
      <c r="X94" s="209">
        <f t="shared" si="47"/>
        <v>0</v>
      </c>
      <c r="Y94" s="209">
        <f t="shared" si="48"/>
        <v>0</v>
      </c>
      <c r="Z94" s="209">
        <f t="shared" si="49"/>
        <v>-0.1</v>
      </c>
      <c r="AA94" s="205">
        <f t="shared" si="50"/>
        <v>0</v>
      </c>
      <c r="AB94" s="209">
        <f t="shared" si="51"/>
        <v>0</v>
      </c>
      <c r="AC94" s="205">
        <f t="shared" si="52"/>
        <v>0</v>
      </c>
      <c r="AD94" s="210">
        <f t="shared" si="53"/>
        <v>0.52569444444088731</v>
      </c>
      <c r="AE94" s="210">
        <f t="shared" si="54"/>
        <v>0</v>
      </c>
      <c r="AF94" s="210">
        <f t="shared" si="55"/>
        <v>0.52569444444088731</v>
      </c>
      <c r="AG94" s="210">
        <f t="shared" si="56"/>
        <v>0</v>
      </c>
    </row>
    <row r="95" spans="2:33" ht="15" customHeight="1" x14ac:dyDescent="0.3">
      <c r="B95" s="196" t="s">
        <v>5</v>
      </c>
      <c r="C95" s="197" t="s">
        <v>13</v>
      </c>
      <c r="D95" s="198" t="str">
        <f t="shared" si="38"/>
        <v>C</v>
      </c>
      <c r="E95" s="199">
        <v>44677.75</v>
      </c>
      <c r="F95" s="200" t="s">
        <v>91</v>
      </c>
      <c r="G95" s="201">
        <v>13856.99</v>
      </c>
      <c r="H95" s="201">
        <v>13906.59</v>
      </c>
      <c r="I95" s="202">
        <f t="shared" si="39"/>
        <v>49.600000000000364</v>
      </c>
      <c r="J95" s="201">
        <v>12931.1</v>
      </c>
      <c r="K95" s="199">
        <v>44678.456250000003</v>
      </c>
      <c r="L95" s="201">
        <v>13764.3</v>
      </c>
      <c r="M95" s="203">
        <f t="shared" si="40"/>
        <v>92.69</v>
      </c>
      <c r="N95" s="204">
        <f t="shared" si="41"/>
        <v>1.87</v>
      </c>
      <c r="O95" s="205">
        <f t="shared" si="42"/>
        <v>0</v>
      </c>
      <c r="P95" s="206">
        <f t="shared" si="43"/>
        <v>1.87</v>
      </c>
      <c r="Q95" s="206">
        <f t="shared" si="44"/>
        <v>0</v>
      </c>
      <c r="R9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13572</v>
      </c>
      <c r="T9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13572</v>
      </c>
      <c r="U95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95" s="209">
        <f t="shared" si="45"/>
        <v>0</v>
      </c>
      <c r="W95" s="209">
        <f t="shared" si="46"/>
        <v>0</v>
      </c>
      <c r="X95" s="209">
        <f t="shared" si="47"/>
        <v>0</v>
      </c>
      <c r="Y95" s="209">
        <f t="shared" si="48"/>
        <v>0</v>
      </c>
      <c r="Z95" s="209">
        <f t="shared" si="49"/>
        <v>1.87</v>
      </c>
      <c r="AA95" s="205">
        <f t="shared" si="50"/>
        <v>0</v>
      </c>
      <c r="AB95" s="209">
        <f t="shared" si="51"/>
        <v>0</v>
      </c>
      <c r="AC95" s="205">
        <f t="shared" si="52"/>
        <v>0</v>
      </c>
      <c r="AD95" s="210">
        <f t="shared" si="53"/>
        <v>0.70625000000291038</v>
      </c>
      <c r="AE95" s="210">
        <f t="shared" si="54"/>
        <v>0.70625000000291038</v>
      </c>
      <c r="AF95" s="210">
        <f t="shared" si="55"/>
        <v>0</v>
      </c>
      <c r="AG95" s="210">
        <f t="shared" si="56"/>
        <v>0</v>
      </c>
    </row>
    <row r="96" spans="2:33" ht="15" customHeight="1" x14ac:dyDescent="0.3">
      <c r="B96" s="196" t="s">
        <v>5</v>
      </c>
      <c r="C96" s="197" t="s">
        <v>13</v>
      </c>
      <c r="D96" s="198" t="str">
        <f t="shared" si="38"/>
        <v>C</v>
      </c>
      <c r="E96" s="199">
        <v>44676.177083333336</v>
      </c>
      <c r="F96" s="200" t="s">
        <v>91</v>
      </c>
      <c r="G96" s="201">
        <v>13975.73</v>
      </c>
      <c r="H96" s="201">
        <v>14016.15</v>
      </c>
      <c r="I96" s="202">
        <f t="shared" si="39"/>
        <v>40.420000000000073</v>
      </c>
      <c r="J96" s="201">
        <v>13221.29</v>
      </c>
      <c r="K96" s="199">
        <v>44676.428472222222</v>
      </c>
      <c r="L96" s="201">
        <v>13982.92</v>
      </c>
      <c r="M96" s="203">
        <f t="shared" si="40"/>
        <v>-7.19</v>
      </c>
      <c r="N96" s="204">
        <f t="shared" si="41"/>
        <v>-0.18</v>
      </c>
      <c r="O96" s="205">
        <f t="shared" si="42"/>
        <v>0</v>
      </c>
      <c r="P96" s="206">
        <f t="shared" si="43"/>
        <v>0</v>
      </c>
      <c r="Q96" s="206">
        <f t="shared" si="44"/>
        <v>-0.18</v>
      </c>
      <c r="R9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13385</v>
      </c>
      <c r="T9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96" s="208">
        <f ca="1">IF(Tabla336106734810[[#This Row],[Equity]]&lt;Tabla336106734810[[#This Row],[Equity Peak]],(Tabla336106734810[[#This Row],[Equity Peak]]-Tabla336106734810[[#This Row],[Equity]])/Tabla336106734810[[#This Row],[Equity Peak]],"")</f>
        <v>1.7153937947494034E-3</v>
      </c>
      <c r="V96" s="209">
        <f t="shared" si="45"/>
        <v>0</v>
      </c>
      <c r="W96" s="209">
        <f t="shared" si="46"/>
        <v>0</v>
      </c>
      <c r="X96" s="209">
        <f t="shared" si="47"/>
        <v>0</v>
      </c>
      <c r="Y96" s="209">
        <f t="shared" si="48"/>
        <v>0</v>
      </c>
      <c r="Z96" s="209">
        <f t="shared" si="49"/>
        <v>-0.18</v>
      </c>
      <c r="AA96" s="205">
        <f t="shared" si="50"/>
        <v>0</v>
      </c>
      <c r="AB96" s="209">
        <f t="shared" si="51"/>
        <v>0</v>
      </c>
      <c r="AC96" s="205">
        <f t="shared" si="52"/>
        <v>0</v>
      </c>
      <c r="AD96" s="210">
        <f t="shared" si="53"/>
        <v>0.25138888888614019</v>
      </c>
      <c r="AE96" s="210">
        <f t="shared" si="54"/>
        <v>0</v>
      </c>
      <c r="AF96" s="210">
        <f t="shared" si="55"/>
        <v>0.25138888888614019</v>
      </c>
      <c r="AG96" s="210">
        <f t="shared" si="56"/>
        <v>0</v>
      </c>
    </row>
    <row r="97" spans="2:33" ht="15" customHeight="1" x14ac:dyDescent="0.3">
      <c r="B97" s="196" t="s">
        <v>5</v>
      </c>
      <c r="C97" s="197" t="s">
        <v>15</v>
      </c>
      <c r="D97" s="198" t="str">
        <f t="shared" si="38"/>
        <v>C</v>
      </c>
      <c r="E97" s="199">
        <v>44672.197916666664</v>
      </c>
      <c r="F97" s="200" t="s">
        <v>91</v>
      </c>
      <c r="G97" s="201">
        <v>14401.2</v>
      </c>
      <c r="H97" s="201">
        <v>14362.56</v>
      </c>
      <c r="I97" s="202">
        <f t="shared" si="39"/>
        <v>38.640000000001237</v>
      </c>
      <c r="J97" s="201">
        <v>15122.43</v>
      </c>
      <c r="K97" s="199">
        <v>44672.783333333333</v>
      </c>
      <c r="L97" s="201">
        <v>14471.5</v>
      </c>
      <c r="M97" s="203">
        <f t="shared" si="40"/>
        <v>70.3</v>
      </c>
      <c r="N97" s="204">
        <f t="shared" si="41"/>
        <v>1.82</v>
      </c>
      <c r="O97" s="205">
        <f t="shared" si="42"/>
        <v>0</v>
      </c>
      <c r="P97" s="206">
        <f t="shared" si="43"/>
        <v>1.82</v>
      </c>
      <c r="Q97" s="206">
        <f t="shared" si="44"/>
        <v>0</v>
      </c>
      <c r="R9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13403</v>
      </c>
      <c r="T9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97" s="208">
        <f ca="1">IF(Tabla336106734810[[#This Row],[Equity]]&lt;Tabla336106734810[[#This Row],[Equity Peak]],(Tabla336106734810[[#This Row],[Equity Peak]]-Tabla336106734810[[#This Row],[Equity]])/Tabla336106734810[[#This Row],[Equity Peak]],"")</f>
        <v>3.7291169451073985E-4</v>
      </c>
      <c r="V97" s="209">
        <f t="shared" si="45"/>
        <v>0</v>
      </c>
      <c r="W97" s="209">
        <f t="shared" si="46"/>
        <v>0</v>
      </c>
      <c r="X97" s="209">
        <f t="shared" si="47"/>
        <v>0</v>
      </c>
      <c r="Y97" s="209">
        <f t="shared" si="48"/>
        <v>0</v>
      </c>
      <c r="Z97" s="209">
        <f t="shared" si="49"/>
        <v>1.82</v>
      </c>
      <c r="AA97" s="205">
        <f t="shared" si="50"/>
        <v>0</v>
      </c>
      <c r="AB97" s="209">
        <f t="shared" si="51"/>
        <v>0</v>
      </c>
      <c r="AC97" s="205">
        <f t="shared" si="52"/>
        <v>0</v>
      </c>
      <c r="AD97" s="210">
        <f t="shared" si="53"/>
        <v>0.58541666666860692</v>
      </c>
      <c r="AE97" s="210">
        <f t="shared" si="54"/>
        <v>0.58541666666860692</v>
      </c>
      <c r="AF97" s="210">
        <f t="shared" si="55"/>
        <v>0</v>
      </c>
      <c r="AG97" s="210">
        <f t="shared" si="56"/>
        <v>0</v>
      </c>
    </row>
    <row r="98" spans="2:33" ht="15" customHeight="1" x14ac:dyDescent="0.3">
      <c r="B98" s="196" t="s">
        <v>5</v>
      </c>
      <c r="C98" s="197" t="s">
        <v>15</v>
      </c>
      <c r="D98" s="198" t="str">
        <f t="shared" si="38"/>
        <v>C</v>
      </c>
      <c r="E98" s="199">
        <v>44671.53125</v>
      </c>
      <c r="F98" s="200" t="s">
        <v>91</v>
      </c>
      <c r="G98" s="201">
        <v>14310.08</v>
      </c>
      <c r="H98" s="201">
        <v>14270.42</v>
      </c>
      <c r="I98" s="202">
        <f t="shared" si="39"/>
        <v>39.659999999999854</v>
      </c>
      <c r="J98" s="201">
        <v>15050.35</v>
      </c>
      <c r="K98" s="199">
        <v>44671.913194444445</v>
      </c>
      <c r="L98" s="201">
        <v>14306.27</v>
      </c>
      <c r="M98" s="203">
        <f t="shared" si="40"/>
        <v>-3.81</v>
      </c>
      <c r="N98" s="204">
        <f t="shared" si="41"/>
        <v>-0.1</v>
      </c>
      <c r="O98" s="205">
        <f t="shared" si="42"/>
        <v>0</v>
      </c>
      <c r="P98" s="206">
        <f t="shared" si="43"/>
        <v>0</v>
      </c>
      <c r="Q98" s="206">
        <f t="shared" si="44"/>
        <v>-0.1</v>
      </c>
      <c r="R9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13221</v>
      </c>
      <c r="T9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98" s="208">
        <f ca="1">IF(Tabla336106734810[[#This Row],[Equity]]&lt;Tabla336106734810[[#This Row],[Equity Peak]],(Tabla336106734810[[#This Row],[Equity Peak]]-Tabla336106734810[[#This Row],[Equity]])/Tabla336106734810[[#This Row],[Equity Peak]],"")</f>
        <v>1.394689737470167E-2</v>
      </c>
      <c r="V98" s="209">
        <f t="shared" si="45"/>
        <v>0</v>
      </c>
      <c r="W98" s="209">
        <f t="shared" si="46"/>
        <v>0</v>
      </c>
      <c r="X98" s="209">
        <f t="shared" si="47"/>
        <v>0</v>
      </c>
      <c r="Y98" s="209">
        <f t="shared" si="48"/>
        <v>0</v>
      </c>
      <c r="Z98" s="209">
        <f t="shared" si="49"/>
        <v>-0.1</v>
      </c>
      <c r="AA98" s="205">
        <f t="shared" si="50"/>
        <v>0</v>
      </c>
      <c r="AB98" s="209">
        <f t="shared" si="51"/>
        <v>0</v>
      </c>
      <c r="AC98" s="205">
        <f t="shared" si="52"/>
        <v>0</v>
      </c>
      <c r="AD98" s="210">
        <f t="shared" si="53"/>
        <v>0.38194444444525288</v>
      </c>
      <c r="AE98" s="210">
        <f t="shared" si="54"/>
        <v>0</v>
      </c>
      <c r="AF98" s="210">
        <f t="shared" si="55"/>
        <v>0.38194444444525288</v>
      </c>
      <c r="AG98" s="210">
        <f t="shared" si="56"/>
        <v>0</v>
      </c>
    </row>
    <row r="99" spans="2:33" ht="15" customHeight="1" x14ac:dyDescent="0.3">
      <c r="B99" s="196" t="s">
        <v>5</v>
      </c>
      <c r="C99" s="197" t="s">
        <v>13</v>
      </c>
      <c r="D99" s="198" t="str">
        <f t="shared" si="38"/>
        <v>C</v>
      </c>
      <c r="E99" s="199">
        <v>44663.166666666664</v>
      </c>
      <c r="F99" s="200" t="s">
        <v>91</v>
      </c>
      <c r="G99" s="201">
        <v>14019.33</v>
      </c>
      <c r="H99" s="201">
        <v>14066.57</v>
      </c>
      <c r="I99" s="202">
        <f t="shared" si="39"/>
        <v>47.239999999999782</v>
      </c>
      <c r="J99" s="201">
        <v>13137.49</v>
      </c>
      <c r="K99" s="199">
        <v>44663.481249999997</v>
      </c>
      <c r="L99" s="201">
        <v>14020.77</v>
      </c>
      <c r="M99" s="203">
        <f t="shared" si="40"/>
        <v>-1.44</v>
      </c>
      <c r="N99" s="204">
        <f t="shared" si="41"/>
        <v>-0.03</v>
      </c>
      <c r="O99" s="205">
        <f t="shared" si="42"/>
        <v>0</v>
      </c>
      <c r="P99" s="206">
        <f t="shared" si="43"/>
        <v>0</v>
      </c>
      <c r="Q99" s="206">
        <f t="shared" si="44"/>
        <v>-0.03</v>
      </c>
      <c r="R9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13231</v>
      </c>
      <c r="T9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99" s="208">
        <f ca="1">IF(Tabla336106734810[[#This Row],[Equity]]&lt;Tabla336106734810[[#This Row],[Equity Peak]],(Tabla336106734810[[#This Row],[Equity Peak]]-Tabla336106734810[[#This Row],[Equity]])/Tabla336106734810[[#This Row],[Equity Peak]],"")</f>
        <v>1.3201073985680191E-2</v>
      </c>
      <c r="V99" s="209">
        <f t="shared" si="45"/>
        <v>0</v>
      </c>
      <c r="W99" s="209">
        <f t="shared" si="46"/>
        <v>0</v>
      </c>
      <c r="X99" s="209">
        <f t="shared" si="47"/>
        <v>0</v>
      </c>
      <c r="Y99" s="209">
        <f t="shared" si="48"/>
        <v>0</v>
      </c>
      <c r="Z99" s="209">
        <f t="shared" si="49"/>
        <v>-0.03</v>
      </c>
      <c r="AA99" s="205">
        <f t="shared" si="50"/>
        <v>0</v>
      </c>
      <c r="AB99" s="209">
        <f t="shared" si="51"/>
        <v>0</v>
      </c>
      <c r="AC99" s="205">
        <f t="shared" si="52"/>
        <v>0</v>
      </c>
      <c r="AD99" s="210">
        <f t="shared" si="53"/>
        <v>0.31458333333284827</v>
      </c>
      <c r="AE99" s="210">
        <f t="shared" si="54"/>
        <v>0</v>
      </c>
      <c r="AF99" s="210">
        <f t="shared" si="55"/>
        <v>0.31458333333284827</v>
      </c>
      <c r="AG99" s="210">
        <f t="shared" si="56"/>
        <v>0</v>
      </c>
    </row>
    <row r="100" spans="2:33" ht="15" customHeight="1" x14ac:dyDescent="0.3">
      <c r="B100" s="196" t="s">
        <v>5</v>
      </c>
      <c r="C100" s="197" t="s">
        <v>13</v>
      </c>
      <c r="D100" s="198" t="str">
        <f t="shared" si="38"/>
        <v>C</v>
      </c>
      <c r="E100" s="199">
        <v>44657.447916666664</v>
      </c>
      <c r="F100" s="200" t="s">
        <v>91</v>
      </c>
      <c r="G100" s="201">
        <v>14305.72</v>
      </c>
      <c r="H100" s="201">
        <v>14343.77</v>
      </c>
      <c r="I100" s="202">
        <f t="shared" si="39"/>
        <v>38.050000000001091</v>
      </c>
      <c r="J100" s="201">
        <v>13595.42</v>
      </c>
      <c r="K100" s="199">
        <v>44657.877083333333</v>
      </c>
      <c r="L100" s="201">
        <v>14193.06</v>
      </c>
      <c r="M100" s="203">
        <f t="shared" si="40"/>
        <v>112.66</v>
      </c>
      <c r="N100" s="204">
        <f t="shared" si="41"/>
        <v>2.96</v>
      </c>
      <c r="O100" s="205">
        <f t="shared" si="42"/>
        <v>0</v>
      </c>
      <c r="P100" s="206">
        <f t="shared" si="43"/>
        <v>2.96</v>
      </c>
      <c r="Q100" s="206">
        <f t="shared" si="44"/>
        <v>0</v>
      </c>
      <c r="R10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13234</v>
      </c>
      <c r="T10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0" s="208">
        <f ca="1">IF(Tabla336106734810[[#This Row],[Equity]]&lt;Tabla336106734810[[#This Row],[Equity Peak]],(Tabla336106734810[[#This Row],[Equity Peak]]-Tabla336106734810[[#This Row],[Equity]])/Tabla336106734810[[#This Row],[Equity Peak]],"")</f>
        <v>1.2977326968973748E-2</v>
      </c>
      <c r="V100" s="209">
        <f t="shared" si="45"/>
        <v>0</v>
      </c>
      <c r="W100" s="209">
        <f t="shared" si="46"/>
        <v>0</v>
      </c>
      <c r="X100" s="209">
        <f t="shared" si="47"/>
        <v>0</v>
      </c>
      <c r="Y100" s="209">
        <f t="shared" si="48"/>
        <v>0</v>
      </c>
      <c r="Z100" s="209">
        <f t="shared" si="49"/>
        <v>2.96</v>
      </c>
      <c r="AA100" s="205">
        <f t="shared" si="50"/>
        <v>0</v>
      </c>
      <c r="AB100" s="209">
        <f t="shared" si="51"/>
        <v>0</v>
      </c>
      <c r="AC100" s="205">
        <f t="shared" si="52"/>
        <v>0</v>
      </c>
      <c r="AD100" s="210">
        <f t="shared" si="53"/>
        <v>0.42916666666860692</v>
      </c>
      <c r="AE100" s="210">
        <f t="shared" si="54"/>
        <v>0.42916666666860692</v>
      </c>
      <c r="AF100" s="210">
        <f t="shared" si="55"/>
        <v>0</v>
      </c>
      <c r="AG100" s="210">
        <f t="shared" si="56"/>
        <v>0</v>
      </c>
    </row>
    <row r="101" spans="2:33" ht="15" customHeight="1" x14ac:dyDescent="0.3">
      <c r="B101" s="196" t="s">
        <v>5</v>
      </c>
      <c r="C101" s="197" t="s">
        <v>13</v>
      </c>
      <c r="D101" s="198" t="str">
        <f t="shared" si="38"/>
        <v>C</v>
      </c>
      <c r="E101" s="199">
        <v>44657.208333333336</v>
      </c>
      <c r="F101" s="200" t="s">
        <v>91</v>
      </c>
      <c r="G101" s="201">
        <v>14317.97</v>
      </c>
      <c r="H101" s="201">
        <v>14357.8</v>
      </c>
      <c r="I101" s="202">
        <f t="shared" si="39"/>
        <v>39.829999999999927</v>
      </c>
      <c r="J101" s="201">
        <v>13574.52</v>
      </c>
      <c r="K101" s="199">
        <v>44657.350694444445</v>
      </c>
      <c r="L101" s="201">
        <v>14357.8</v>
      </c>
      <c r="M101" s="203">
        <f t="shared" si="40"/>
        <v>-39.83</v>
      </c>
      <c r="N101" s="204">
        <f t="shared" si="41"/>
        <v>-1</v>
      </c>
      <c r="O101" s="205">
        <f t="shared" si="42"/>
        <v>0</v>
      </c>
      <c r="P101" s="206">
        <f t="shared" si="43"/>
        <v>0</v>
      </c>
      <c r="Q101" s="206">
        <f t="shared" si="44"/>
        <v>-1</v>
      </c>
      <c r="R10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12938</v>
      </c>
      <c r="T10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1" s="208">
        <f ca="1">IF(Tabla336106734810[[#This Row],[Equity]]&lt;Tabla336106734810[[#This Row],[Equity Peak]],(Tabla336106734810[[#This Row],[Equity Peak]]-Tabla336106734810[[#This Row],[Equity]])/Tabla336106734810[[#This Row],[Equity Peak]],"")</f>
        <v>3.5053699284009546E-2</v>
      </c>
      <c r="V101" s="209">
        <f t="shared" si="45"/>
        <v>0</v>
      </c>
      <c r="W101" s="209">
        <f t="shared" si="46"/>
        <v>0</v>
      </c>
      <c r="X101" s="209">
        <f t="shared" si="47"/>
        <v>0</v>
      </c>
      <c r="Y101" s="209">
        <f t="shared" si="48"/>
        <v>0</v>
      </c>
      <c r="Z101" s="209">
        <f t="shared" si="49"/>
        <v>-1</v>
      </c>
      <c r="AA101" s="205">
        <f t="shared" si="50"/>
        <v>0</v>
      </c>
      <c r="AB101" s="209">
        <f t="shared" si="51"/>
        <v>0</v>
      </c>
      <c r="AC101" s="205">
        <f t="shared" si="52"/>
        <v>0</v>
      </c>
      <c r="AD101" s="210">
        <f t="shared" si="53"/>
        <v>0.14236111110949423</v>
      </c>
      <c r="AE101" s="210">
        <f t="shared" si="54"/>
        <v>0</v>
      </c>
      <c r="AF101" s="210">
        <f t="shared" si="55"/>
        <v>0.14236111110949423</v>
      </c>
      <c r="AG101" s="210">
        <f t="shared" si="56"/>
        <v>0</v>
      </c>
    </row>
    <row r="102" spans="2:33" ht="15" customHeight="1" x14ac:dyDescent="0.3">
      <c r="B102" s="196" t="s">
        <v>5</v>
      </c>
      <c r="C102" s="197" t="s">
        <v>15</v>
      </c>
      <c r="D102" s="198" t="str">
        <f t="shared" si="38"/>
        <v>C</v>
      </c>
      <c r="E102" s="199">
        <v>44649.625</v>
      </c>
      <c r="F102" s="200" t="s">
        <v>91</v>
      </c>
      <c r="G102" s="201">
        <v>14798.77</v>
      </c>
      <c r="H102" s="201">
        <v>14752.04</v>
      </c>
      <c r="I102" s="202">
        <f t="shared" si="39"/>
        <v>46.729999999999563</v>
      </c>
      <c r="J102" s="201">
        <v>15671.01</v>
      </c>
      <c r="K102" s="199">
        <v>44649.717361111114</v>
      </c>
      <c r="L102" s="201">
        <v>14798.65</v>
      </c>
      <c r="M102" s="203">
        <f t="shared" si="40"/>
        <v>-0.12</v>
      </c>
      <c r="N102" s="204">
        <f t="shared" si="41"/>
        <v>0</v>
      </c>
      <c r="O102" s="205">
        <f t="shared" si="42"/>
        <v>0</v>
      </c>
      <c r="P102" s="206">
        <f t="shared" si="43"/>
        <v>0</v>
      </c>
      <c r="Q102" s="206">
        <f t="shared" si="44"/>
        <v>0</v>
      </c>
      <c r="R10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13038</v>
      </c>
      <c r="T10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2" s="208">
        <f ca="1">IF(Tabla336106734810[[#This Row],[Equity]]&lt;Tabla336106734810[[#This Row],[Equity Peak]],(Tabla336106734810[[#This Row],[Equity Peak]]-Tabla336106734810[[#This Row],[Equity]])/Tabla336106734810[[#This Row],[Equity Peak]],"")</f>
        <v>2.759546539379475E-2</v>
      </c>
      <c r="V102" s="209">
        <f t="shared" si="45"/>
        <v>0</v>
      </c>
      <c r="W102" s="209">
        <f t="shared" si="46"/>
        <v>0</v>
      </c>
      <c r="X102" s="209">
        <f t="shared" si="47"/>
        <v>0</v>
      </c>
      <c r="Y102" s="209">
        <f t="shared" si="48"/>
        <v>0</v>
      </c>
      <c r="Z102" s="209">
        <f t="shared" si="49"/>
        <v>0</v>
      </c>
      <c r="AA102" s="205">
        <f t="shared" si="50"/>
        <v>0</v>
      </c>
      <c r="AB102" s="209">
        <f t="shared" si="51"/>
        <v>0</v>
      </c>
      <c r="AC102" s="205">
        <f t="shared" si="52"/>
        <v>0</v>
      </c>
      <c r="AD102" s="210">
        <f t="shared" si="53"/>
        <v>9.2361111113859806E-2</v>
      </c>
      <c r="AE102" s="210">
        <f t="shared" si="54"/>
        <v>0</v>
      </c>
      <c r="AF102" s="210">
        <f t="shared" si="55"/>
        <v>0</v>
      </c>
      <c r="AG102" s="210">
        <f t="shared" si="56"/>
        <v>9.2361111113859806E-2</v>
      </c>
    </row>
    <row r="103" spans="2:33" ht="15" customHeight="1" x14ac:dyDescent="0.3">
      <c r="B103" s="196" t="s">
        <v>5</v>
      </c>
      <c r="C103" s="197" t="s">
        <v>15</v>
      </c>
      <c r="D103" s="198" t="str">
        <f t="shared" si="38"/>
        <v>C</v>
      </c>
      <c r="E103" s="199">
        <v>44649.510416666664</v>
      </c>
      <c r="F103" s="200" t="s">
        <v>91</v>
      </c>
      <c r="G103" s="201">
        <v>14676.27</v>
      </c>
      <c r="H103" s="201">
        <v>14631.9</v>
      </c>
      <c r="I103" s="202">
        <f t="shared" si="39"/>
        <v>44.3700000000008</v>
      </c>
      <c r="J103" s="201">
        <v>15504.51</v>
      </c>
      <c r="K103" s="199">
        <v>44649.605555555558</v>
      </c>
      <c r="L103" s="201">
        <v>14639.86</v>
      </c>
      <c r="M103" s="203">
        <f t="shared" si="40"/>
        <v>-36.409999999999997</v>
      </c>
      <c r="N103" s="204">
        <f t="shared" si="41"/>
        <v>-0.82</v>
      </c>
      <c r="O103" s="205">
        <f t="shared" si="42"/>
        <v>0</v>
      </c>
      <c r="P103" s="206">
        <f t="shared" si="43"/>
        <v>0</v>
      </c>
      <c r="Q103" s="206">
        <f t="shared" si="44"/>
        <v>-0.82</v>
      </c>
      <c r="R10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13038</v>
      </c>
      <c r="T10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3" s="208">
        <f ca="1">IF(Tabla336106734810[[#This Row],[Equity]]&lt;Tabla336106734810[[#This Row],[Equity Peak]],(Tabla336106734810[[#This Row],[Equity Peak]]-Tabla336106734810[[#This Row],[Equity]])/Tabla336106734810[[#This Row],[Equity Peak]],"")</f>
        <v>2.759546539379475E-2</v>
      </c>
      <c r="V103" s="209">
        <f t="shared" si="45"/>
        <v>0</v>
      </c>
      <c r="W103" s="209">
        <f t="shared" si="46"/>
        <v>0</v>
      </c>
      <c r="X103" s="209">
        <f t="shared" si="47"/>
        <v>0</v>
      </c>
      <c r="Y103" s="209">
        <f t="shared" si="48"/>
        <v>0</v>
      </c>
      <c r="Z103" s="209">
        <f t="shared" si="49"/>
        <v>-0.82</v>
      </c>
      <c r="AA103" s="205">
        <f t="shared" si="50"/>
        <v>0</v>
      </c>
      <c r="AB103" s="209">
        <f t="shared" si="51"/>
        <v>0</v>
      </c>
      <c r="AC103" s="205">
        <f t="shared" si="52"/>
        <v>0</v>
      </c>
      <c r="AD103" s="210">
        <f t="shared" si="53"/>
        <v>9.5138888893416151E-2</v>
      </c>
      <c r="AE103" s="210">
        <f t="shared" si="54"/>
        <v>0</v>
      </c>
      <c r="AF103" s="210">
        <f t="shared" si="55"/>
        <v>9.5138888893416151E-2</v>
      </c>
      <c r="AG103" s="210">
        <f t="shared" si="56"/>
        <v>0</v>
      </c>
    </row>
    <row r="104" spans="2:33" ht="15" customHeight="1" x14ac:dyDescent="0.3">
      <c r="B104" s="196" t="s">
        <v>5</v>
      </c>
      <c r="C104" s="197" t="s">
        <v>15</v>
      </c>
      <c r="D104" s="198" t="str">
        <f t="shared" si="38"/>
        <v>C</v>
      </c>
      <c r="E104" s="199">
        <v>44649.4375</v>
      </c>
      <c r="F104" s="200" t="s">
        <v>91</v>
      </c>
      <c r="G104" s="201">
        <v>14661.27</v>
      </c>
      <c r="H104" s="201">
        <v>14617.75</v>
      </c>
      <c r="I104" s="202">
        <f t="shared" si="39"/>
        <v>43.520000000000437</v>
      </c>
      <c r="J104" s="201">
        <v>15473.67</v>
      </c>
      <c r="K104" s="199">
        <v>44649.442361111112</v>
      </c>
      <c r="L104" s="201">
        <v>14617.75</v>
      </c>
      <c r="M104" s="203">
        <f t="shared" si="40"/>
        <v>-43.52</v>
      </c>
      <c r="N104" s="204">
        <f t="shared" si="41"/>
        <v>-1</v>
      </c>
      <c r="O104" s="205">
        <f t="shared" si="42"/>
        <v>0</v>
      </c>
      <c r="P104" s="206">
        <f t="shared" si="43"/>
        <v>0</v>
      </c>
      <c r="Q104" s="206">
        <f t="shared" si="44"/>
        <v>-1</v>
      </c>
      <c r="R10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13120</v>
      </c>
      <c r="T10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4" s="208">
        <f ca="1">IF(Tabla336106734810[[#This Row],[Equity]]&lt;Tabla336106734810[[#This Row],[Equity Peak]],(Tabla336106734810[[#This Row],[Equity Peak]]-Tabla336106734810[[#This Row],[Equity]])/Tabla336106734810[[#This Row],[Equity Peak]],"")</f>
        <v>2.1479713603818614E-2</v>
      </c>
      <c r="V104" s="209">
        <f t="shared" si="45"/>
        <v>0</v>
      </c>
      <c r="W104" s="209">
        <f t="shared" si="46"/>
        <v>0</v>
      </c>
      <c r="X104" s="209">
        <f t="shared" si="47"/>
        <v>0</v>
      </c>
      <c r="Y104" s="209">
        <f t="shared" si="48"/>
        <v>0</v>
      </c>
      <c r="Z104" s="209">
        <f t="shared" si="49"/>
        <v>-1</v>
      </c>
      <c r="AA104" s="205">
        <f t="shared" si="50"/>
        <v>0</v>
      </c>
      <c r="AB104" s="209">
        <f t="shared" si="51"/>
        <v>0</v>
      </c>
      <c r="AC104" s="205">
        <f t="shared" si="52"/>
        <v>0</v>
      </c>
      <c r="AD104" s="210">
        <f t="shared" si="53"/>
        <v>4.8611111124046147E-3</v>
      </c>
      <c r="AE104" s="210">
        <f t="shared" si="54"/>
        <v>0</v>
      </c>
      <c r="AF104" s="210">
        <f t="shared" si="55"/>
        <v>4.8611111124046147E-3</v>
      </c>
      <c r="AG104" s="210">
        <f t="shared" si="56"/>
        <v>0</v>
      </c>
    </row>
    <row r="105" spans="2:33" ht="15" customHeight="1" x14ac:dyDescent="0.3">
      <c r="B105" s="196" t="s">
        <v>5</v>
      </c>
      <c r="C105" s="197" t="s">
        <v>15</v>
      </c>
      <c r="D105" s="198" t="str">
        <f t="shared" si="38"/>
        <v>C</v>
      </c>
      <c r="E105" s="199">
        <v>44648.59375</v>
      </c>
      <c r="F105" s="200" t="s">
        <v>91</v>
      </c>
      <c r="G105" s="201">
        <v>14582.94</v>
      </c>
      <c r="H105" s="201">
        <v>14539.28</v>
      </c>
      <c r="I105" s="202">
        <f t="shared" si="39"/>
        <v>43.659999999999854</v>
      </c>
      <c r="J105" s="201">
        <v>15397.93</v>
      </c>
      <c r="K105" s="199">
        <v>44648.65</v>
      </c>
      <c r="L105" s="201">
        <v>14544.62</v>
      </c>
      <c r="M105" s="203">
        <f t="shared" si="40"/>
        <v>-38.32</v>
      </c>
      <c r="N105" s="204">
        <f t="shared" si="41"/>
        <v>-0.88</v>
      </c>
      <c r="O105" s="205">
        <f t="shared" si="42"/>
        <v>0</v>
      </c>
      <c r="P105" s="206">
        <f t="shared" si="43"/>
        <v>0</v>
      </c>
      <c r="Q105" s="206">
        <f t="shared" si="44"/>
        <v>-0.88</v>
      </c>
      <c r="R10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13220</v>
      </c>
      <c r="T10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5" s="208">
        <f ca="1">IF(Tabla336106734810[[#This Row],[Equity]]&lt;Tabla336106734810[[#This Row],[Equity Peak]],(Tabla336106734810[[#This Row],[Equity Peak]]-Tabla336106734810[[#This Row],[Equity]])/Tabla336106734810[[#This Row],[Equity Peak]],"")</f>
        <v>1.4021479713603818E-2</v>
      </c>
      <c r="V105" s="209">
        <f t="shared" si="45"/>
        <v>0</v>
      </c>
      <c r="W105" s="209">
        <f t="shared" si="46"/>
        <v>0</v>
      </c>
      <c r="X105" s="209">
        <f t="shared" si="47"/>
        <v>0</v>
      </c>
      <c r="Y105" s="209">
        <f t="shared" si="48"/>
        <v>0</v>
      </c>
      <c r="Z105" s="209">
        <f t="shared" si="49"/>
        <v>-0.88</v>
      </c>
      <c r="AA105" s="205">
        <f t="shared" si="50"/>
        <v>0</v>
      </c>
      <c r="AB105" s="209">
        <f t="shared" si="51"/>
        <v>0</v>
      </c>
      <c r="AC105" s="205">
        <f t="shared" si="52"/>
        <v>0</v>
      </c>
      <c r="AD105" s="210">
        <f t="shared" si="53"/>
        <v>5.6250000001455192E-2</v>
      </c>
      <c r="AE105" s="210">
        <f t="shared" si="54"/>
        <v>0</v>
      </c>
      <c r="AF105" s="210">
        <f t="shared" si="55"/>
        <v>5.6250000001455192E-2</v>
      </c>
      <c r="AG105" s="210">
        <f t="shared" si="56"/>
        <v>0</v>
      </c>
    </row>
    <row r="106" spans="2:33" ht="15" customHeight="1" x14ac:dyDescent="0.3">
      <c r="B106" s="196" t="s">
        <v>5</v>
      </c>
      <c r="C106" s="197" t="s">
        <v>15</v>
      </c>
      <c r="D106" s="198" t="str">
        <f t="shared" si="38"/>
        <v>C</v>
      </c>
      <c r="E106" s="199">
        <v>44643.239583333336</v>
      </c>
      <c r="F106" s="200" t="s">
        <v>91</v>
      </c>
      <c r="G106" s="201">
        <v>14563.49</v>
      </c>
      <c r="H106" s="201">
        <v>14515.77</v>
      </c>
      <c r="I106" s="202">
        <f t="shared" si="39"/>
        <v>47.719999999999345</v>
      </c>
      <c r="J106" s="201">
        <v>15454.29</v>
      </c>
      <c r="K106" s="199">
        <v>44643.453472222223</v>
      </c>
      <c r="L106" s="201">
        <v>14515.77</v>
      </c>
      <c r="M106" s="203">
        <f t="shared" si="40"/>
        <v>-47.72</v>
      </c>
      <c r="N106" s="204">
        <f t="shared" si="41"/>
        <v>-1</v>
      </c>
      <c r="O106" s="205">
        <f t="shared" si="42"/>
        <v>0</v>
      </c>
      <c r="P106" s="206">
        <f t="shared" si="43"/>
        <v>0</v>
      </c>
      <c r="Q106" s="206">
        <f t="shared" si="44"/>
        <v>-1</v>
      </c>
      <c r="R10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13308</v>
      </c>
      <c r="T10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6" s="208">
        <f ca="1">IF(Tabla336106734810[[#This Row],[Equity]]&lt;Tabla336106734810[[#This Row],[Equity Peak]],(Tabla336106734810[[#This Row],[Equity Peak]]-Tabla336106734810[[#This Row],[Equity]])/Tabla336106734810[[#This Row],[Equity Peak]],"")</f>
        <v>7.4582338902147967E-3</v>
      </c>
      <c r="V106" s="209">
        <f t="shared" si="45"/>
        <v>0</v>
      </c>
      <c r="W106" s="209">
        <f t="shared" si="46"/>
        <v>0</v>
      </c>
      <c r="X106" s="209">
        <f t="shared" si="47"/>
        <v>0</v>
      </c>
      <c r="Y106" s="209">
        <f t="shared" si="48"/>
        <v>0</v>
      </c>
      <c r="Z106" s="209">
        <f t="shared" si="49"/>
        <v>-1</v>
      </c>
      <c r="AA106" s="205">
        <f t="shared" si="50"/>
        <v>0</v>
      </c>
      <c r="AB106" s="209">
        <f t="shared" si="51"/>
        <v>0</v>
      </c>
      <c r="AC106" s="205">
        <f t="shared" si="52"/>
        <v>0</v>
      </c>
      <c r="AD106" s="210">
        <f t="shared" si="53"/>
        <v>0.21388888888759539</v>
      </c>
      <c r="AE106" s="210">
        <f t="shared" si="54"/>
        <v>0</v>
      </c>
      <c r="AF106" s="210">
        <f t="shared" si="55"/>
        <v>0.21388888888759539</v>
      </c>
      <c r="AG106" s="210">
        <f t="shared" si="56"/>
        <v>0</v>
      </c>
    </row>
    <row r="107" spans="2:33" ht="15" customHeight="1" x14ac:dyDescent="0.3">
      <c r="B107" s="196" t="s">
        <v>5</v>
      </c>
      <c r="C107" s="197" t="s">
        <v>15</v>
      </c>
      <c r="D107" s="198" t="str">
        <f t="shared" si="38"/>
        <v>C</v>
      </c>
      <c r="E107" s="199">
        <v>44636.40625</v>
      </c>
      <c r="F107" s="200" t="s">
        <v>91</v>
      </c>
      <c r="G107" s="201">
        <v>14181.38</v>
      </c>
      <c r="H107" s="201">
        <v>14104.45</v>
      </c>
      <c r="I107" s="202">
        <f t="shared" si="39"/>
        <v>76.929999999998472</v>
      </c>
      <c r="J107" s="201">
        <v>15617.5</v>
      </c>
      <c r="K107" s="199">
        <v>44637.546527777777</v>
      </c>
      <c r="L107" s="201">
        <v>14273.73</v>
      </c>
      <c r="M107" s="203">
        <f t="shared" si="40"/>
        <v>92.35</v>
      </c>
      <c r="N107" s="204">
        <f t="shared" si="41"/>
        <v>1.2</v>
      </c>
      <c r="O107" s="205">
        <f t="shared" si="42"/>
        <v>0</v>
      </c>
      <c r="P107" s="206">
        <f t="shared" si="43"/>
        <v>1.2</v>
      </c>
      <c r="Q107" s="206">
        <f t="shared" si="44"/>
        <v>0</v>
      </c>
      <c r="R10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13408</v>
      </c>
      <c r="T10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13408</v>
      </c>
      <c r="U107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07" s="209">
        <f t="shared" si="45"/>
        <v>0</v>
      </c>
      <c r="W107" s="209">
        <f t="shared" si="46"/>
        <v>0</v>
      </c>
      <c r="X107" s="209">
        <f t="shared" si="47"/>
        <v>0</v>
      </c>
      <c r="Y107" s="209">
        <f t="shared" si="48"/>
        <v>0</v>
      </c>
      <c r="Z107" s="209">
        <f t="shared" si="49"/>
        <v>1.2</v>
      </c>
      <c r="AA107" s="205">
        <f t="shared" si="50"/>
        <v>0</v>
      </c>
      <c r="AB107" s="209">
        <f t="shared" si="51"/>
        <v>0</v>
      </c>
      <c r="AC107" s="205">
        <f t="shared" si="52"/>
        <v>0</v>
      </c>
      <c r="AD107" s="210">
        <f t="shared" si="53"/>
        <v>1.140277777776646</v>
      </c>
      <c r="AE107" s="210">
        <f t="shared" si="54"/>
        <v>1.140277777776646</v>
      </c>
      <c r="AF107" s="210">
        <f t="shared" si="55"/>
        <v>0</v>
      </c>
      <c r="AG107" s="210">
        <f t="shared" si="56"/>
        <v>0</v>
      </c>
    </row>
    <row r="108" spans="2:33" ht="15" customHeight="1" x14ac:dyDescent="0.3">
      <c r="B108" s="196" t="s">
        <v>5</v>
      </c>
      <c r="C108" s="197" t="s">
        <v>13</v>
      </c>
      <c r="D108" s="198" t="str">
        <f t="shared" si="38"/>
        <v>C</v>
      </c>
      <c r="E108" s="199">
        <v>44624.09375</v>
      </c>
      <c r="F108" s="200" t="s">
        <v>91</v>
      </c>
      <c r="G108" s="201">
        <v>13590.26</v>
      </c>
      <c r="H108" s="201">
        <v>13665.44</v>
      </c>
      <c r="I108" s="202">
        <f t="shared" si="39"/>
        <v>75.180000000000291</v>
      </c>
      <c r="J108" s="201">
        <v>12186.82</v>
      </c>
      <c r="K108" s="199">
        <v>44627.581250000003</v>
      </c>
      <c r="L108" s="201">
        <v>12767.21</v>
      </c>
      <c r="M108" s="203">
        <f t="shared" si="40"/>
        <v>823.05</v>
      </c>
      <c r="N108" s="204">
        <f t="shared" si="41"/>
        <v>10.95</v>
      </c>
      <c r="O108" s="205">
        <f t="shared" si="42"/>
        <v>0</v>
      </c>
      <c r="P108" s="206">
        <f t="shared" si="43"/>
        <v>10.95</v>
      </c>
      <c r="Q108" s="206">
        <f t="shared" si="44"/>
        <v>0</v>
      </c>
      <c r="R10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13288</v>
      </c>
      <c r="T10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13288</v>
      </c>
      <c r="U108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08" s="209">
        <f t="shared" si="45"/>
        <v>0</v>
      </c>
      <c r="W108" s="209">
        <f t="shared" si="46"/>
        <v>0</v>
      </c>
      <c r="X108" s="209">
        <f t="shared" si="47"/>
        <v>0</v>
      </c>
      <c r="Y108" s="209">
        <f t="shared" si="48"/>
        <v>0</v>
      </c>
      <c r="Z108" s="209">
        <f t="shared" si="49"/>
        <v>10.95</v>
      </c>
      <c r="AA108" s="205">
        <f t="shared" si="50"/>
        <v>0</v>
      </c>
      <c r="AB108" s="209">
        <f t="shared" si="51"/>
        <v>0</v>
      </c>
      <c r="AC108" s="205">
        <f t="shared" si="52"/>
        <v>0</v>
      </c>
      <c r="AD108" s="210">
        <f t="shared" si="53"/>
        <v>3.4875000000029104</v>
      </c>
      <c r="AE108" s="210">
        <f t="shared" si="54"/>
        <v>3.4875000000029104</v>
      </c>
      <c r="AF108" s="210">
        <f t="shared" si="55"/>
        <v>0</v>
      </c>
      <c r="AG108" s="210">
        <f t="shared" si="56"/>
        <v>0</v>
      </c>
    </row>
    <row r="109" spans="2:33" ht="15" customHeight="1" x14ac:dyDescent="0.3">
      <c r="B109" s="196" t="s">
        <v>5</v>
      </c>
      <c r="C109" s="197" t="s">
        <v>13</v>
      </c>
      <c r="D109" s="198" t="str">
        <f t="shared" si="38"/>
        <v>C</v>
      </c>
      <c r="E109" s="199">
        <v>44623.760416666664</v>
      </c>
      <c r="F109" s="200" t="s">
        <v>91</v>
      </c>
      <c r="G109" s="201">
        <v>13691.72</v>
      </c>
      <c r="H109" s="201">
        <v>13768.68</v>
      </c>
      <c r="I109" s="202">
        <f t="shared" si="39"/>
        <v>76.960000000000946</v>
      </c>
      <c r="J109" s="201">
        <v>12255.06</v>
      </c>
      <c r="K109" s="199">
        <v>44623.813888888886</v>
      </c>
      <c r="L109" s="201">
        <v>13768.68</v>
      </c>
      <c r="M109" s="203">
        <f t="shared" si="40"/>
        <v>-76.959999999999994</v>
      </c>
      <c r="N109" s="204">
        <f t="shared" si="41"/>
        <v>-1</v>
      </c>
      <c r="O109" s="205">
        <f t="shared" si="42"/>
        <v>0</v>
      </c>
      <c r="P109" s="206">
        <f t="shared" si="43"/>
        <v>0</v>
      </c>
      <c r="Q109" s="206">
        <f t="shared" si="44"/>
        <v>-1</v>
      </c>
      <c r="R10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0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12193</v>
      </c>
      <c r="T10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12293</v>
      </c>
      <c r="U109" s="208">
        <f ca="1">IF(Tabla336106734810[[#This Row],[Equity]]&lt;Tabla336106734810[[#This Row],[Equity Peak]],(Tabla336106734810[[#This Row],[Equity Peak]]-Tabla336106734810[[#This Row],[Equity]])/Tabla336106734810[[#This Row],[Equity Peak]],"")</f>
        <v>8.1347108110306678E-3</v>
      </c>
      <c r="V109" s="209">
        <f t="shared" si="45"/>
        <v>0</v>
      </c>
      <c r="W109" s="209">
        <f t="shared" si="46"/>
        <v>0</v>
      </c>
      <c r="X109" s="209">
        <f t="shared" si="47"/>
        <v>0</v>
      </c>
      <c r="Y109" s="209">
        <f t="shared" si="48"/>
        <v>0</v>
      </c>
      <c r="Z109" s="209">
        <f t="shared" si="49"/>
        <v>-1</v>
      </c>
      <c r="AA109" s="205">
        <f t="shared" si="50"/>
        <v>0</v>
      </c>
      <c r="AB109" s="209">
        <f t="shared" si="51"/>
        <v>0</v>
      </c>
      <c r="AC109" s="205">
        <f t="shared" si="52"/>
        <v>0</v>
      </c>
      <c r="AD109" s="210">
        <f t="shared" si="53"/>
        <v>5.3472222221898846E-2</v>
      </c>
      <c r="AE109" s="210">
        <f t="shared" si="54"/>
        <v>0</v>
      </c>
      <c r="AF109" s="210">
        <f t="shared" si="55"/>
        <v>5.3472222221898846E-2</v>
      </c>
      <c r="AG109" s="210">
        <f t="shared" si="56"/>
        <v>0</v>
      </c>
    </row>
    <row r="110" spans="2:33" ht="15" customHeight="1" x14ac:dyDescent="0.3">
      <c r="B110" s="196" t="s">
        <v>5</v>
      </c>
      <c r="C110" s="197" t="s">
        <v>13</v>
      </c>
      <c r="D110" s="198" t="str">
        <f t="shared" si="38"/>
        <v>C</v>
      </c>
      <c r="E110" s="199">
        <v>44616.21875</v>
      </c>
      <c r="F110" s="200" t="s">
        <v>91</v>
      </c>
      <c r="G110" s="201">
        <v>14217.2</v>
      </c>
      <c r="H110" s="201">
        <v>14288.5</v>
      </c>
      <c r="I110" s="202">
        <f t="shared" si="39"/>
        <v>71.299999999999272</v>
      </c>
      <c r="J110" s="201">
        <v>12886.35</v>
      </c>
      <c r="K110" s="199">
        <v>44616.422222222223</v>
      </c>
      <c r="L110" s="201">
        <v>14076.7</v>
      </c>
      <c r="M110" s="203">
        <f t="shared" si="40"/>
        <v>140.5</v>
      </c>
      <c r="N110" s="204">
        <f t="shared" si="41"/>
        <v>1.97</v>
      </c>
      <c r="O110" s="205">
        <f t="shared" si="42"/>
        <v>0</v>
      </c>
      <c r="P110" s="206">
        <f t="shared" si="43"/>
        <v>1.97</v>
      </c>
      <c r="Q110" s="206">
        <f t="shared" si="44"/>
        <v>0</v>
      </c>
      <c r="R11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12293</v>
      </c>
      <c r="T11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12293</v>
      </c>
      <c r="U110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10" s="209">
        <f t="shared" si="45"/>
        <v>0</v>
      </c>
      <c r="W110" s="209">
        <f t="shared" si="46"/>
        <v>0</v>
      </c>
      <c r="X110" s="209">
        <f t="shared" si="47"/>
        <v>0</v>
      </c>
      <c r="Y110" s="209">
        <f t="shared" si="48"/>
        <v>0</v>
      </c>
      <c r="Z110" s="209">
        <f t="shared" si="49"/>
        <v>1.97</v>
      </c>
      <c r="AA110" s="205">
        <f t="shared" si="50"/>
        <v>0</v>
      </c>
      <c r="AB110" s="209">
        <f t="shared" si="51"/>
        <v>0</v>
      </c>
      <c r="AC110" s="205">
        <f t="shared" si="52"/>
        <v>0</v>
      </c>
      <c r="AD110" s="210">
        <f t="shared" si="53"/>
        <v>0.20347222222335404</v>
      </c>
      <c r="AE110" s="210">
        <f t="shared" si="54"/>
        <v>0.20347222222335404</v>
      </c>
      <c r="AF110" s="210">
        <f t="shared" si="55"/>
        <v>0</v>
      </c>
      <c r="AG110" s="210">
        <f t="shared" si="56"/>
        <v>0</v>
      </c>
    </row>
    <row r="111" spans="2:33" ht="15" customHeight="1" x14ac:dyDescent="0.3">
      <c r="B111" s="196" t="s">
        <v>5</v>
      </c>
      <c r="C111" s="197" t="s">
        <v>13</v>
      </c>
      <c r="D111" s="198" t="str">
        <f t="shared" si="38"/>
        <v>C</v>
      </c>
      <c r="E111" s="199">
        <v>44613.614583333336</v>
      </c>
      <c r="F111" s="200" t="s">
        <v>91</v>
      </c>
      <c r="G111" s="201">
        <v>14866.07</v>
      </c>
      <c r="H111" s="201">
        <v>14915.03</v>
      </c>
      <c r="I111" s="202">
        <f t="shared" si="39"/>
        <v>48.960000000000946</v>
      </c>
      <c r="J111" s="201">
        <v>13952.18</v>
      </c>
      <c r="K111" s="199">
        <v>44614.445138888892</v>
      </c>
      <c r="L111" s="201">
        <v>14518.16</v>
      </c>
      <c r="M111" s="203">
        <f t="shared" si="40"/>
        <v>347.91</v>
      </c>
      <c r="N111" s="204">
        <f t="shared" si="41"/>
        <v>7.11</v>
      </c>
      <c r="O111" s="205">
        <f t="shared" si="42"/>
        <v>0</v>
      </c>
      <c r="P111" s="206">
        <f t="shared" si="43"/>
        <v>7.11</v>
      </c>
      <c r="Q111" s="206">
        <f t="shared" si="44"/>
        <v>0</v>
      </c>
      <c r="R11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12096</v>
      </c>
      <c r="T11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12096</v>
      </c>
      <c r="U111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11" s="209">
        <f t="shared" si="45"/>
        <v>0</v>
      </c>
      <c r="W111" s="209">
        <f t="shared" si="46"/>
        <v>0</v>
      </c>
      <c r="X111" s="209">
        <f t="shared" si="47"/>
        <v>0</v>
      </c>
      <c r="Y111" s="209">
        <f t="shared" si="48"/>
        <v>0</v>
      </c>
      <c r="Z111" s="209">
        <f t="shared" si="49"/>
        <v>7.11</v>
      </c>
      <c r="AA111" s="205">
        <f t="shared" si="50"/>
        <v>0</v>
      </c>
      <c r="AB111" s="209">
        <f t="shared" si="51"/>
        <v>0</v>
      </c>
      <c r="AC111" s="205">
        <f t="shared" si="52"/>
        <v>0</v>
      </c>
      <c r="AD111" s="210">
        <f t="shared" si="53"/>
        <v>0.83055555555620231</v>
      </c>
      <c r="AE111" s="210">
        <f t="shared" si="54"/>
        <v>0.83055555555620231</v>
      </c>
      <c r="AF111" s="210">
        <f t="shared" si="55"/>
        <v>0</v>
      </c>
      <c r="AG111" s="210">
        <f t="shared" si="56"/>
        <v>0</v>
      </c>
    </row>
    <row r="112" spans="2:33" ht="15" customHeight="1" x14ac:dyDescent="0.3">
      <c r="B112" s="196" t="s">
        <v>5</v>
      </c>
      <c r="C112" s="197" t="s">
        <v>13</v>
      </c>
      <c r="D112" s="198" t="str">
        <f t="shared" si="38"/>
        <v>C</v>
      </c>
      <c r="E112" s="199">
        <v>44606.427083333336</v>
      </c>
      <c r="F112" s="200" t="s">
        <v>91</v>
      </c>
      <c r="G112" s="201">
        <v>15029.73</v>
      </c>
      <c r="H112" s="201">
        <v>15068.54</v>
      </c>
      <c r="I112" s="202">
        <f t="shared" si="39"/>
        <v>38.81000000000131</v>
      </c>
      <c r="J112" s="201">
        <v>14305.22</v>
      </c>
      <c r="K112" s="199">
        <v>44606.532638888886</v>
      </c>
      <c r="L112" s="201">
        <v>14991.75</v>
      </c>
      <c r="M112" s="203">
        <f t="shared" si="40"/>
        <v>37.979999999999997</v>
      </c>
      <c r="N112" s="204">
        <f t="shared" si="41"/>
        <v>0.98</v>
      </c>
      <c r="O112" s="205">
        <f t="shared" si="42"/>
        <v>0</v>
      </c>
      <c r="P112" s="206">
        <f t="shared" si="43"/>
        <v>0.98</v>
      </c>
      <c r="Q112" s="206">
        <f t="shared" si="44"/>
        <v>0</v>
      </c>
      <c r="R11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11385</v>
      </c>
      <c r="T11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11665</v>
      </c>
      <c r="U112" s="208">
        <f ca="1">IF(Tabla336106734810[[#This Row],[Equity]]&lt;Tabla336106734810[[#This Row],[Equity Peak]],(Tabla336106734810[[#This Row],[Equity Peak]]-Tabla336106734810[[#This Row],[Equity]])/Tabla336106734810[[#This Row],[Equity Peak]],"")</f>
        <v>2.4003429061294469E-2</v>
      </c>
      <c r="V112" s="209">
        <f t="shared" si="45"/>
        <v>0</v>
      </c>
      <c r="W112" s="209">
        <f t="shared" si="46"/>
        <v>0</v>
      </c>
      <c r="X112" s="209">
        <f t="shared" si="47"/>
        <v>0</v>
      </c>
      <c r="Y112" s="209">
        <f t="shared" si="48"/>
        <v>0</v>
      </c>
      <c r="Z112" s="209">
        <f t="shared" si="49"/>
        <v>0.98</v>
      </c>
      <c r="AA112" s="205">
        <f t="shared" si="50"/>
        <v>0</v>
      </c>
      <c r="AB112" s="209">
        <f t="shared" si="51"/>
        <v>0</v>
      </c>
      <c r="AC112" s="205">
        <f t="shared" si="52"/>
        <v>0</v>
      </c>
      <c r="AD112" s="210">
        <f t="shared" si="53"/>
        <v>0.10555555555038154</v>
      </c>
      <c r="AE112" s="210">
        <f t="shared" si="54"/>
        <v>0.10555555555038154</v>
      </c>
      <c r="AF112" s="210">
        <f t="shared" si="55"/>
        <v>0</v>
      </c>
      <c r="AG112" s="210">
        <f t="shared" si="56"/>
        <v>0</v>
      </c>
    </row>
    <row r="113" spans="2:33" ht="15" customHeight="1" x14ac:dyDescent="0.3">
      <c r="B113" s="196" t="s">
        <v>5</v>
      </c>
      <c r="C113" s="197" t="s">
        <v>13</v>
      </c>
      <c r="D113" s="198" t="str">
        <f t="shared" si="38"/>
        <v>C</v>
      </c>
      <c r="E113" s="199">
        <v>44596.666666666664</v>
      </c>
      <c r="F113" s="200" t="s">
        <v>91</v>
      </c>
      <c r="G113" s="201">
        <v>15087.85</v>
      </c>
      <c r="H113" s="201">
        <v>15125.62</v>
      </c>
      <c r="I113" s="202">
        <f t="shared" si="39"/>
        <v>37.770000000000437</v>
      </c>
      <c r="J113" s="201">
        <v>14382.82</v>
      </c>
      <c r="K113" s="199">
        <v>44596.695833333331</v>
      </c>
      <c r="L113" s="201">
        <v>15125.62</v>
      </c>
      <c r="M113" s="203">
        <f t="shared" si="40"/>
        <v>-37.770000000000003</v>
      </c>
      <c r="N113" s="204">
        <f t="shared" si="41"/>
        <v>-1</v>
      </c>
      <c r="O113" s="205">
        <f t="shared" si="42"/>
        <v>0</v>
      </c>
      <c r="P113" s="206">
        <f t="shared" si="43"/>
        <v>0</v>
      </c>
      <c r="Q113" s="206">
        <f t="shared" si="44"/>
        <v>-1</v>
      </c>
      <c r="R11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11287</v>
      </c>
      <c r="T11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11665</v>
      </c>
      <c r="U113" s="208">
        <f ca="1">IF(Tabla336106734810[[#This Row],[Equity]]&lt;Tabla336106734810[[#This Row],[Equity Peak]],(Tabla336106734810[[#This Row],[Equity Peak]]-Tabla336106734810[[#This Row],[Equity]])/Tabla336106734810[[#This Row],[Equity Peak]],"")</f>
        <v>3.2404629232747534E-2</v>
      </c>
      <c r="V113" s="209">
        <f t="shared" si="45"/>
        <v>0</v>
      </c>
      <c r="W113" s="209">
        <f t="shared" si="46"/>
        <v>0</v>
      </c>
      <c r="X113" s="209">
        <f t="shared" si="47"/>
        <v>0</v>
      </c>
      <c r="Y113" s="209">
        <f t="shared" si="48"/>
        <v>0</v>
      </c>
      <c r="Z113" s="209">
        <f t="shared" si="49"/>
        <v>-1</v>
      </c>
      <c r="AA113" s="205">
        <f t="shared" si="50"/>
        <v>0</v>
      </c>
      <c r="AB113" s="209">
        <f t="shared" si="51"/>
        <v>0</v>
      </c>
      <c r="AC113" s="205">
        <f t="shared" si="52"/>
        <v>0</v>
      </c>
      <c r="AD113" s="210">
        <f t="shared" si="53"/>
        <v>2.9166666667151731E-2</v>
      </c>
      <c r="AE113" s="210">
        <f t="shared" si="54"/>
        <v>0</v>
      </c>
      <c r="AF113" s="210">
        <f t="shared" si="55"/>
        <v>2.9166666667151731E-2</v>
      </c>
      <c r="AG113" s="210">
        <f t="shared" si="56"/>
        <v>0</v>
      </c>
    </row>
    <row r="114" spans="2:33" ht="15" customHeight="1" x14ac:dyDescent="0.3">
      <c r="B114" s="196" t="s">
        <v>5</v>
      </c>
      <c r="C114" s="197" t="s">
        <v>13</v>
      </c>
      <c r="D114" s="198" t="str">
        <f t="shared" si="38"/>
        <v>C</v>
      </c>
      <c r="E114" s="199">
        <v>44596.583333333336</v>
      </c>
      <c r="F114" s="200" t="s">
        <v>91</v>
      </c>
      <c r="G114" s="201">
        <v>15109.35</v>
      </c>
      <c r="H114" s="201">
        <v>15146.2</v>
      </c>
      <c r="I114" s="202">
        <f t="shared" si="39"/>
        <v>36.850000000000364</v>
      </c>
      <c r="J114" s="201">
        <v>14421.47</v>
      </c>
      <c r="K114" s="199">
        <v>44596.588888888888</v>
      </c>
      <c r="L114" s="201">
        <v>15146.2</v>
      </c>
      <c r="M114" s="203">
        <f t="shared" si="40"/>
        <v>-36.85</v>
      </c>
      <c r="N114" s="204">
        <f t="shared" si="41"/>
        <v>-1</v>
      </c>
      <c r="O114" s="205">
        <f t="shared" si="42"/>
        <v>0</v>
      </c>
      <c r="P114" s="206">
        <f t="shared" si="43"/>
        <v>0</v>
      </c>
      <c r="Q114" s="206">
        <f t="shared" si="44"/>
        <v>-1</v>
      </c>
      <c r="R11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11387</v>
      </c>
      <c r="T11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11665</v>
      </c>
      <c r="U114" s="208">
        <f ca="1">IF(Tabla336106734810[[#This Row],[Equity]]&lt;Tabla336106734810[[#This Row],[Equity Peak]],(Tabla336106734810[[#This Row],[Equity Peak]]-Tabla336106734810[[#This Row],[Equity]])/Tabla336106734810[[#This Row],[Equity Peak]],"")</f>
        <v>2.3831975996570939E-2</v>
      </c>
      <c r="V114" s="209">
        <f t="shared" si="45"/>
        <v>0</v>
      </c>
      <c r="W114" s="209">
        <f t="shared" si="46"/>
        <v>0</v>
      </c>
      <c r="X114" s="209">
        <f t="shared" si="47"/>
        <v>0</v>
      </c>
      <c r="Y114" s="209">
        <f t="shared" si="48"/>
        <v>0</v>
      </c>
      <c r="Z114" s="209">
        <f t="shared" si="49"/>
        <v>-1</v>
      </c>
      <c r="AA114" s="205">
        <f t="shared" si="50"/>
        <v>0</v>
      </c>
      <c r="AB114" s="209">
        <f t="shared" si="51"/>
        <v>0</v>
      </c>
      <c r="AC114" s="205">
        <f t="shared" si="52"/>
        <v>0</v>
      </c>
      <c r="AD114" s="210">
        <f t="shared" si="53"/>
        <v>5.5555555518367328E-3</v>
      </c>
      <c r="AE114" s="210">
        <f t="shared" si="54"/>
        <v>0</v>
      </c>
      <c r="AF114" s="210">
        <f t="shared" si="55"/>
        <v>5.5555555518367328E-3</v>
      </c>
      <c r="AG114" s="210">
        <f t="shared" si="56"/>
        <v>0</v>
      </c>
    </row>
    <row r="115" spans="2:33" ht="15" customHeight="1" x14ac:dyDescent="0.3">
      <c r="B115" s="196" t="s">
        <v>5</v>
      </c>
      <c r="C115" s="197" t="s">
        <v>15</v>
      </c>
      <c r="D115" s="198" t="str">
        <f t="shared" si="38"/>
        <v>C</v>
      </c>
      <c r="E115" s="199">
        <v>44594.104166666664</v>
      </c>
      <c r="F115" s="200" t="s">
        <v>91</v>
      </c>
      <c r="G115" s="201">
        <v>15691.17</v>
      </c>
      <c r="H115" s="201">
        <v>15638.82</v>
      </c>
      <c r="I115" s="202">
        <f t="shared" si="39"/>
        <v>52.350000000000364</v>
      </c>
      <c r="J115" s="201">
        <v>16668.349999999999</v>
      </c>
      <c r="K115" s="199">
        <v>44594.553472222222</v>
      </c>
      <c r="L115" s="201">
        <v>15650.5</v>
      </c>
      <c r="M115" s="203">
        <f t="shared" si="40"/>
        <v>-40.67</v>
      </c>
      <c r="N115" s="204">
        <f t="shared" si="41"/>
        <v>-0.78</v>
      </c>
      <c r="O115" s="205">
        <f t="shared" si="42"/>
        <v>0</v>
      </c>
      <c r="P115" s="206">
        <f t="shared" si="43"/>
        <v>0</v>
      </c>
      <c r="Q115" s="206">
        <f t="shared" si="44"/>
        <v>-0.78</v>
      </c>
      <c r="R11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11487</v>
      </c>
      <c r="T11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11665</v>
      </c>
      <c r="U115" s="208">
        <f ca="1">IF(Tabla336106734810[[#This Row],[Equity]]&lt;Tabla336106734810[[#This Row],[Equity Peak]],(Tabla336106734810[[#This Row],[Equity Peak]]-Tabla336106734810[[#This Row],[Equity]])/Tabla336106734810[[#This Row],[Equity Peak]],"")</f>
        <v>1.5259322760394342E-2</v>
      </c>
      <c r="V115" s="209">
        <f t="shared" si="45"/>
        <v>0</v>
      </c>
      <c r="W115" s="209">
        <f t="shared" si="46"/>
        <v>0</v>
      </c>
      <c r="X115" s="209">
        <f t="shared" si="47"/>
        <v>0</v>
      </c>
      <c r="Y115" s="209">
        <f t="shared" si="48"/>
        <v>0</v>
      </c>
      <c r="Z115" s="209">
        <f t="shared" si="49"/>
        <v>-0.78</v>
      </c>
      <c r="AA115" s="205">
        <f t="shared" si="50"/>
        <v>0</v>
      </c>
      <c r="AB115" s="209">
        <f t="shared" si="51"/>
        <v>0</v>
      </c>
      <c r="AC115" s="205">
        <f t="shared" si="52"/>
        <v>0</v>
      </c>
      <c r="AD115" s="210">
        <f t="shared" si="53"/>
        <v>0.4493055555576575</v>
      </c>
      <c r="AE115" s="210">
        <f t="shared" si="54"/>
        <v>0</v>
      </c>
      <c r="AF115" s="210">
        <f t="shared" si="55"/>
        <v>0.4493055555576575</v>
      </c>
      <c r="AG115" s="210">
        <f t="shared" si="56"/>
        <v>0</v>
      </c>
    </row>
    <row r="116" spans="2:33" ht="15" customHeight="1" x14ac:dyDescent="0.3">
      <c r="B116" s="196" t="s">
        <v>5</v>
      </c>
      <c r="C116" s="197" t="s">
        <v>15</v>
      </c>
      <c r="D116" s="198" t="str">
        <f t="shared" si="38"/>
        <v>C</v>
      </c>
      <c r="E116" s="199">
        <v>44593.427083333336</v>
      </c>
      <c r="F116" s="200" t="s">
        <v>91</v>
      </c>
      <c r="G116" s="201">
        <v>15679.93</v>
      </c>
      <c r="H116" s="201">
        <v>15623.76</v>
      </c>
      <c r="I116" s="202">
        <f t="shared" si="39"/>
        <v>56.170000000000073</v>
      </c>
      <c r="J116" s="201">
        <v>16728.46</v>
      </c>
      <c r="K116" s="199">
        <v>44593.463888888888</v>
      </c>
      <c r="L116" s="201">
        <v>15623.76</v>
      </c>
      <c r="M116" s="203">
        <f t="shared" si="40"/>
        <v>-56.17</v>
      </c>
      <c r="N116" s="204">
        <f t="shared" si="41"/>
        <v>-1</v>
      </c>
      <c r="O116" s="205">
        <f t="shared" si="42"/>
        <v>0</v>
      </c>
      <c r="P116" s="206">
        <f t="shared" si="43"/>
        <v>0</v>
      </c>
      <c r="Q116" s="206">
        <f t="shared" si="44"/>
        <v>-1</v>
      </c>
      <c r="R11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11565</v>
      </c>
      <c r="T11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11665</v>
      </c>
      <c r="U116" s="208">
        <f ca="1">IF(Tabla336106734810[[#This Row],[Equity]]&lt;Tabla336106734810[[#This Row],[Equity Peak]],(Tabla336106734810[[#This Row],[Equity Peak]]-Tabla336106734810[[#This Row],[Equity]])/Tabla336106734810[[#This Row],[Equity Peak]],"")</f>
        <v>8.5726532361765969E-3</v>
      </c>
      <c r="V116" s="209">
        <f t="shared" si="45"/>
        <v>0</v>
      </c>
      <c r="W116" s="209">
        <f t="shared" si="46"/>
        <v>0</v>
      </c>
      <c r="X116" s="209">
        <f t="shared" si="47"/>
        <v>0</v>
      </c>
      <c r="Y116" s="209">
        <f t="shared" si="48"/>
        <v>0</v>
      </c>
      <c r="Z116" s="209">
        <f t="shared" si="49"/>
        <v>-1</v>
      </c>
      <c r="AA116" s="205">
        <f t="shared" si="50"/>
        <v>0</v>
      </c>
      <c r="AB116" s="209">
        <f t="shared" si="51"/>
        <v>0</v>
      </c>
      <c r="AC116" s="205">
        <f t="shared" si="52"/>
        <v>0</v>
      </c>
      <c r="AD116" s="210">
        <f t="shared" si="53"/>
        <v>3.6805555551836733E-2</v>
      </c>
      <c r="AE116" s="210">
        <f t="shared" si="54"/>
        <v>0</v>
      </c>
      <c r="AF116" s="210">
        <f t="shared" si="55"/>
        <v>3.6805555551836733E-2</v>
      </c>
      <c r="AG116" s="210">
        <f t="shared" si="56"/>
        <v>0</v>
      </c>
    </row>
    <row r="117" spans="2:33" ht="15" customHeight="1" x14ac:dyDescent="0.3">
      <c r="B117" s="196" t="s">
        <v>5</v>
      </c>
      <c r="C117" s="197" t="s">
        <v>13</v>
      </c>
      <c r="D117" s="198" t="str">
        <f t="shared" si="38"/>
        <v>C</v>
      </c>
      <c r="E117" s="199">
        <v>44582.59375</v>
      </c>
      <c r="F117" s="200" t="s">
        <v>91</v>
      </c>
      <c r="G117" s="201">
        <v>15616.63</v>
      </c>
      <c r="H117" s="201">
        <v>15655.49</v>
      </c>
      <c r="I117" s="202">
        <f t="shared" si="39"/>
        <v>38.860000000000582</v>
      </c>
      <c r="J117" s="201">
        <v>14891.26</v>
      </c>
      <c r="K117" s="199">
        <v>44585.784722222219</v>
      </c>
      <c r="L117" s="201">
        <v>14891.26</v>
      </c>
      <c r="M117" s="203">
        <f t="shared" si="40"/>
        <v>725.37</v>
      </c>
      <c r="N117" s="204">
        <f t="shared" si="41"/>
        <v>18.670000000000002</v>
      </c>
      <c r="O117" s="205">
        <f t="shared" si="42"/>
        <v>0</v>
      </c>
      <c r="P117" s="206">
        <f t="shared" si="43"/>
        <v>18.670000000000002</v>
      </c>
      <c r="Q117" s="206">
        <f t="shared" si="44"/>
        <v>0</v>
      </c>
      <c r="R11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11665</v>
      </c>
      <c r="T11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11665</v>
      </c>
      <c r="U117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17" s="209">
        <f t="shared" si="45"/>
        <v>0</v>
      </c>
      <c r="W117" s="209">
        <f t="shared" si="46"/>
        <v>0</v>
      </c>
      <c r="X117" s="209">
        <f t="shared" si="47"/>
        <v>0</v>
      </c>
      <c r="Y117" s="209">
        <f t="shared" si="48"/>
        <v>0</v>
      </c>
      <c r="Z117" s="209">
        <f t="shared" si="49"/>
        <v>18.670000000000002</v>
      </c>
      <c r="AA117" s="205">
        <f t="shared" si="50"/>
        <v>0</v>
      </c>
      <c r="AB117" s="209">
        <f t="shared" si="51"/>
        <v>0</v>
      </c>
      <c r="AC117" s="205">
        <f t="shared" si="52"/>
        <v>0</v>
      </c>
      <c r="AD117" s="210">
        <f t="shared" si="53"/>
        <v>3.1909722222189885</v>
      </c>
      <c r="AE117" s="210">
        <f t="shared" si="54"/>
        <v>3.1909722222189885</v>
      </c>
      <c r="AF117" s="210">
        <f t="shared" si="55"/>
        <v>0</v>
      </c>
      <c r="AG117" s="210">
        <f t="shared" si="56"/>
        <v>0</v>
      </c>
    </row>
    <row r="118" spans="2:33" ht="15" customHeight="1" x14ac:dyDescent="0.3">
      <c r="B118" s="196" t="s">
        <v>5</v>
      </c>
      <c r="C118" s="197" t="s">
        <v>13</v>
      </c>
      <c r="D118" s="198" t="str">
        <f t="shared" si="38"/>
        <v>C</v>
      </c>
      <c r="E118" s="199">
        <v>44579.427083333336</v>
      </c>
      <c r="F118" s="200" t="s">
        <v>91</v>
      </c>
      <c r="G118" s="201">
        <v>15793.66</v>
      </c>
      <c r="H118" s="201">
        <v>15822.4</v>
      </c>
      <c r="I118" s="202">
        <f t="shared" si="39"/>
        <v>28.739999999999782</v>
      </c>
      <c r="J118" s="201">
        <v>15257.14</v>
      </c>
      <c r="K118" s="199">
        <v>44579.519444444442</v>
      </c>
      <c r="L118" s="201">
        <v>15790.42</v>
      </c>
      <c r="M118" s="203">
        <f t="shared" si="40"/>
        <v>3.24</v>
      </c>
      <c r="N118" s="204">
        <f t="shared" si="41"/>
        <v>0.11</v>
      </c>
      <c r="O118" s="205">
        <f t="shared" si="42"/>
        <v>0</v>
      </c>
      <c r="P118" s="206">
        <f t="shared" si="43"/>
        <v>0.11</v>
      </c>
      <c r="Q118" s="206">
        <f t="shared" si="44"/>
        <v>0</v>
      </c>
      <c r="R11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9798</v>
      </c>
      <c r="T11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18" s="208">
        <f ca="1">IF(Tabla336106734810[[#This Row],[Equity]]&lt;Tabla336106734810[[#This Row],[Equity Peak]],(Tabla336106734810[[#This Row],[Equity Peak]]-Tabla336106734810[[#This Row],[Equity]])/Tabla336106734810[[#This Row],[Equity Peak]],"")</f>
        <v>2.0199999999999999E-2</v>
      </c>
      <c r="V118" s="209">
        <f t="shared" si="45"/>
        <v>0</v>
      </c>
      <c r="W118" s="209">
        <f t="shared" si="46"/>
        <v>0</v>
      </c>
      <c r="X118" s="209">
        <f t="shared" si="47"/>
        <v>0</v>
      </c>
      <c r="Y118" s="209">
        <f t="shared" si="48"/>
        <v>0</v>
      </c>
      <c r="Z118" s="209">
        <f t="shared" si="49"/>
        <v>0.11</v>
      </c>
      <c r="AA118" s="205">
        <f t="shared" si="50"/>
        <v>0</v>
      </c>
      <c r="AB118" s="209">
        <f t="shared" si="51"/>
        <v>0</v>
      </c>
      <c r="AC118" s="205">
        <f t="shared" si="52"/>
        <v>0</v>
      </c>
      <c r="AD118" s="210">
        <f t="shared" si="53"/>
        <v>9.2361111106583849E-2</v>
      </c>
      <c r="AE118" s="210">
        <f t="shared" si="54"/>
        <v>9.2361111106583849E-2</v>
      </c>
      <c r="AF118" s="210">
        <f t="shared" si="55"/>
        <v>0</v>
      </c>
      <c r="AG118" s="210">
        <f t="shared" si="56"/>
        <v>0</v>
      </c>
    </row>
    <row r="119" spans="2:33" ht="15" customHeight="1" x14ac:dyDescent="0.3">
      <c r="B119" s="196" t="s">
        <v>5</v>
      </c>
      <c r="C119" s="197" t="s">
        <v>13</v>
      </c>
      <c r="D119" s="198" t="str">
        <f t="shared" si="38"/>
        <v>C</v>
      </c>
      <c r="E119" s="199">
        <v>44571.697916666664</v>
      </c>
      <c r="F119" s="200" t="s">
        <v>91</v>
      </c>
      <c r="G119" s="201">
        <v>15820.53</v>
      </c>
      <c r="H119" s="201">
        <v>15858.34</v>
      </c>
      <c r="I119" s="202">
        <f t="shared" si="39"/>
        <v>37.809999999999491</v>
      </c>
      <c r="J119" s="201">
        <v>15114.67</v>
      </c>
      <c r="K119" s="199">
        <v>44571.863888888889</v>
      </c>
      <c r="L119" s="201">
        <v>15824.39</v>
      </c>
      <c r="M119" s="203">
        <f t="shared" si="40"/>
        <v>-3.86</v>
      </c>
      <c r="N119" s="204">
        <f t="shared" si="41"/>
        <v>-0.1</v>
      </c>
      <c r="O119" s="205">
        <f t="shared" si="42"/>
        <v>0</v>
      </c>
      <c r="P119" s="206">
        <f t="shared" si="43"/>
        <v>0</v>
      </c>
      <c r="Q119" s="206">
        <f t="shared" si="44"/>
        <v>-0.1</v>
      </c>
      <c r="R11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1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9787</v>
      </c>
      <c r="T11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19" s="208">
        <f ca="1">IF(Tabla336106734810[[#This Row],[Equity]]&lt;Tabla336106734810[[#This Row],[Equity Peak]],(Tabla336106734810[[#This Row],[Equity Peak]]-Tabla336106734810[[#This Row],[Equity]])/Tabla336106734810[[#This Row],[Equity Peak]],"")</f>
        <v>2.1299999999999999E-2</v>
      </c>
      <c r="V119" s="209">
        <f t="shared" si="45"/>
        <v>0</v>
      </c>
      <c r="W119" s="209">
        <f t="shared" si="46"/>
        <v>0</v>
      </c>
      <c r="X119" s="209">
        <f t="shared" si="47"/>
        <v>0</v>
      </c>
      <c r="Y119" s="209">
        <f t="shared" si="48"/>
        <v>0</v>
      </c>
      <c r="Z119" s="209">
        <f t="shared" si="49"/>
        <v>-0.1</v>
      </c>
      <c r="AA119" s="205">
        <f t="shared" si="50"/>
        <v>0</v>
      </c>
      <c r="AB119" s="209">
        <f t="shared" si="51"/>
        <v>0</v>
      </c>
      <c r="AC119" s="205">
        <f t="shared" si="52"/>
        <v>0</v>
      </c>
      <c r="AD119" s="210">
        <f t="shared" si="53"/>
        <v>0.16597222222480923</v>
      </c>
      <c r="AE119" s="210">
        <f t="shared" si="54"/>
        <v>0</v>
      </c>
      <c r="AF119" s="210">
        <f t="shared" si="55"/>
        <v>0.16597222222480923</v>
      </c>
      <c r="AG119" s="210">
        <f t="shared" si="56"/>
        <v>0</v>
      </c>
    </row>
    <row r="120" spans="2:33" ht="15" customHeight="1" x14ac:dyDescent="0.3">
      <c r="B120" s="196" t="s">
        <v>5</v>
      </c>
      <c r="C120" s="197" t="s">
        <v>15</v>
      </c>
      <c r="D120" s="198" t="str">
        <f t="shared" si="38"/>
        <v>C</v>
      </c>
      <c r="E120" s="199">
        <v>44566.46875</v>
      </c>
      <c r="F120" s="200" t="s">
        <v>91</v>
      </c>
      <c r="G120" s="201">
        <v>16221.64</v>
      </c>
      <c r="H120" s="201">
        <v>16195.8</v>
      </c>
      <c r="I120" s="202">
        <f t="shared" si="39"/>
        <v>25.840000000000146</v>
      </c>
      <c r="J120" s="201">
        <v>16703.990000000002</v>
      </c>
      <c r="K120" s="199">
        <v>44566.699305555558</v>
      </c>
      <c r="L120" s="201">
        <v>16220.36</v>
      </c>
      <c r="M120" s="203">
        <f t="shared" si="40"/>
        <v>-1.28</v>
      </c>
      <c r="N120" s="204">
        <f t="shared" si="41"/>
        <v>-0.05</v>
      </c>
      <c r="O120" s="205">
        <f t="shared" si="42"/>
        <v>0</v>
      </c>
      <c r="P120" s="206">
        <f t="shared" si="43"/>
        <v>0</v>
      </c>
      <c r="Q120" s="206">
        <f t="shared" si="44"/>
        <v>-0.05</v>
      </c>
      <c r="R12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2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9797</v>
      </c>
      <c r="T12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20" s="208">
        <f ca="1">IF(Tabla336106734810[[#This Row],[Equity]]&lt;Tabla336106734810[[#This Row],[Equity Peak]],(Tabla336106734810[[#This Row],[Equity Peak]]-Tabla336106734810[[#This Row],[Equity]])/Tabla336106734810[[#This Row],[Equity Peak]],"")</f>
        <v>2.0299999999999999E-2</v>
      </c>
      <c r="V120" s="209">
        <f t="shared" si="45"/>
        <v>0</v>
      </c>
      <c r="W120" s="209">
        <f t="shared" si="46"/>
        <v>0</v>
      </c>
      <c r="X120" s="209">
        <f t="shared" si="47"/>
        <v>0</v>
      </c>
      <c r="Y120" s="209">
        <f t="shared" si="48"/>
        <v>0</v>
      </c>
      <c r="Z120" s="209">
        <f t="shared" si="49"/>
        <v>-0.05</v>
      </c>
      <c r="AA120" s="205">
        <f t="shared" si="50"/>
        <v>0</v>
      </c>
      <c r="AB120" s="209">
        <f t="shared" si="51"/>
        <v>0</v>
      </c>
      <c r="AC120" s="205">
        <f t="shared" si="52"/>
        <v>0</v>
      </c>
      <c r="AD120" s="210">
        <f t="shared" si="53"/>
        <v>0.2305555555576575</v>
      </c>
      <c r="AE120" s="210">
        <f t="shared" si="54"/>
        <v>0</v>
      </c>
      <c r="AF120" s="210">
        <f t="shared" si="55"/>
        <v>0.2305555555576575</v>
      </c>
      <c r="AG120" s="210">
        <f t="shared" si="56"/>
        <v>0</v>
      </c>
    </row>
    <row r="121" spans="2:33" ht="15" customHeight="1" x14ac:dyDescent="0.3">
      <c r="B121" s="196" t="s">
        <v>5</v>
      </c>
      <c r="C121" s="197" t="s">
        <v>15</v>
      </c>
      <c r="D121" s="198" t="str">
        <f t="shared" ref="D121:D152" si="57">IF(E121&lt;&gt;"",IF(K121&lt;&gt;"","C","O"),"")</f>
        <v>C</v>
      </c>
      <c r="E121" s="199">
        <v>44565.520833333336</v>
      </c>
      <c r="F121" s="200" t="s">
        <v>91</v>
      </c>
      <c r="G121" s="201">
        <v>16109.16</v>
      </c>
      <c r="H121" s="201">
        <v>16083.87</v>
      </c>
      <c r="I121" s="202">
        <f t="shared" ref="I121:I152" si="58">ABS(G121-H121)</f>
        <v>25.289999999999054</v>
      </c>
      <c r="J121" s="201">
        <v>16581.16</v>
      </c>
      <c r="K121" s="199">
        <v>44565.752083333333</v>
      </c>
      <c r="L121" s="201">
        <v>16110.05</v>
      </c>
      <c r="M121" s="203">
        <f t="shared" ref="M121:M152" si="59">ROUND(IF(C121="L",(L121-G121),(G121-L121)),4)</f>
        <v>0.89</v>
      </c>
      <c r="N121" s="204">
        <f t="shared" ref="N121:N152" si="60">IFERROR(ROUND((M121/I121),2),"")</f>
        <v>0.04</v>
      </c>
      <c r="O121" s="205">
        <f t="shared" ref="O121:O152" si="61">IF(D121="O",IF(N121&lt;0,N121,0),0)</f>
        <v>0</v>
      </c>
      <c r="P121" s="206">
        <f t="shared" si="43"/>
        <v>0.04</v>
      </c>
      <c r="Q121" s="206">
        <f t="shared" si="44"/>
        <v>0</v>
      </c>
      <c r="R12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2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9802</v>
      </c>
      <c r="T12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21" s="208">
        <f ca="1">IF(Tabla336106734810[[#This Row],[Equity]]&lt;Tabla336106734810[[#This Row],[Equity Peak]],(Tabla336106734810[[#This Row],[Equity Peak]]-Tabla336106734810[[#This Row],[Equity]])/Tabla336106734810[[#This Row],[Equity Peak]],"")</f>
        <v>1.9800000000000002E-2</v>
      </c>
      <c r="V121" s="209">
        <f t="shared" si="45"/>
        <v>0</v>
      </c>
      <c r="W121" s="209">
        <f t="shared" ref="W121:W152" si="62">IF(D121="O",IF(V121&lt;0,V121,0),0)</f>
        <v>0</v>
      </c>
      <c r="X121" s="209">
        <f t="shared" si="47"/>
        <v>0</v>
      </c>
      <c r="Y121" s="209">
        <f t="shared" ref="Y121:Y152" si="63">IF(D121="O",IF(X121&lt;0,X121,0),0)</f>
        <v>0</v>
      </c>
      <c r="Z121" s="209">
        <f t="shared" si="49"/>
        <v>0.04</v>
      </c>
      <c r="AA121" s="205">
        <f t="shared" ref="AA121:AA152" si="64">IF(D121="O",IF(Z121&lt;0,Z121,0),0)</f>
        <v>0</v>
      </c>
      <c r="AB121" s="209">
        <f t="shared" si="51"/>
        <v>0</v>
      </c>
      <c r="AC121" s="205">
        <f t="shared" ref="AC121:AC152" si="65">IF(D121="O",IF(AB121&lt;0,AB121,0),0)</f>
        <v>0</v>
      </c>
      <c r="AD121" s="210">
        <f t="shared" si="53"/>
        <v>0.23124999999708962</v>
      </c>
      <c r="AE121" s="210">
        <f t="shared" ref="AE121:AE152" si="66">IF(N121&gt;0,AD121,0)</f>
        <v>0.23124999999708962</v>
      </c>
      <c r="AF121" s="210">
        <f t="shared" si="55"/>
        <v>0</v>
      </c>
      <c r="AG121" s="210">
        <f t="shared" si="56"/>
        <v>0</v>
      </c>
    </row>
    <row r="122" spans="2:33" ht="15" customHeight="1" x14ac:dyDescent="0.3">
      <c r="B122" s="196" t="s">
        <v>5</v>
      </c>
      <c r="C122" s="197" t="s">
        <v>15</v>
      </c>
      <c r="D122" s="198" t="str">
        <f t="shared" si="57"/>
        <v>C</v>
      </c>
      <c r="E122" s="199">
        <v>44565.322916666664</v>
      </c>
      <c r="F122" s="200" t="s">
        <v>91</v>
      </c>
      <c r="G122" s="201">
        <v>16073.46</v>
      </c>
      <c r="H122" s="201">
        <v>16048.77</v>
      </c>
      <c r="I122" s="202">
        <f t="shared" si="58"/>
        <v>24.68999999999869</v>
      </c>
      <c r="J122" s="201">
        <v>16534.39</v>
      </c>
      <c r="K122" s="199">
        <v>44565.42083333333</v>
      </c>
      <c r="L122" s="201">
        <v>16052.98</v>
      </c>
      <c r="M122" s="203">
        <f t="shared" si="59"/>
        <v>-20.48</v>
      </c>
      <c r="N122" s="204">
        <f t="shared" si="60"/>
        <v>-0.83</v>
      </c>
      <c r="O122" s="205">
        <f t="shared" si="61"/>
        <v>0</v>
      </c>
      <c r="P122" s="206">
        <f t="shared" si="43"/>
        <v>0</v>
      </c>
      <c r="Q122" s="206">
        <f t="shared" si="44"/>
        <v>-0.83</v>
      </c>
      <c r="R12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12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9798</v>
      </c>
      <c r="T12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22" s="208">
        <f ca="1">IF(Tabla336106734810[[#This Row],[Equity]]&lt;Tabla336106734810[[#This Row],[Equity Peak]],(Tabla336106734810[[#This Row],[Equity Peak]]-Tabla336106734810[[#This Row],[Equity]])/Tabla336106734810[[#This Row],[Equity Peak]],"")</f>
        <v>2.0199999999999999E-2</v>
      </c>
      <c r="V122" s="209">
        <f t="shared" si="45"/>
        <v>0</v>
      </c>
      <c r="W122" s="209">
        <f t="shared" si="62"/>
        <v>0</v>
      </c>
      <c r="X122" s="209">
        <f t="shared" si="47"/>
        <v>0</v>
      </c>
      <c r="Y122" s="209">
        <f t="shared" si="63"/>
        <v>0</v>
      </c>
      <c r="Z122" s="209">
        <f t="shared" si="49"/>
        <v>-0.83</v>
      </c>
      <c r="AA122" s="205">
        <f t="shared" si="64"/>
        <v>0</v>
      </c>
      <c r="AB122" s="209">
        <f t="shared" si="51"/>
        <v>0</v>
      </c>
      <c r="AC122" s="205">
        <f t="shared" si="65"/>
        <v>0</v>
      </c>
      <c r="AD122" s="210">
        <f t="shared" si="53"/>
        <v>9.7916666665696539E-2</v>
      </c>
      <c r="AE122" s="210">
        <f t="shared" si="66"/>
        <v>0</v>
      </c>
      <c r="AF122" s="210">
        <f t="shared" si="55"/>
        <v>9.7916666665696539E-2</v>
      </c>
      <c r="AG122" s="210">
        <f t="shared" si="56"/>
        <v>0</v>
      </c>
    </row>
    <row r="123" spans="2:33" ht="15" customHeight="1" x14ac:dyDescent="0.3">
      <c r="B123" s="196" t="s">
        <v>5</v>
      </c>
      <c r="C123" s="197" t="s">
        <v>15</v>
      </c>
      <c r="D123" s="198" t="str">
        <f t="shared" si="57"/>
        <v>C</v>
      </c>
      <c r="E123" s="199">
        <v>44564.625</v>
      </c>
      <c r="F123" s="200" t="s">
        <v>91</v>
      </c>
      <c r="G123" s="201">
        <v>16057.66</v>
      </c>
      <c r="H123" s="201">
        <v>16034.29</v>
      </c>
      <c r="I123" s="202">
        <f t="shared" si="58"/>
        <v>23.369999999998981</v>
      </c>
      <c r="J123" s="201">
        <v>16493.96</v>
      </c>
      <c r="K123" s="199">
        <v>44564.668055555558</v>
      </c>
      <c r="L123" s="201">
        <v>16034.29</v>
      </c>
      <c r="M123" s="203">
        <f t="shared" si="59"/>
        <v>-23.37</v>
      </c>
      <c r="N123" s="204">
        <f t="shared" si="60"/>
        <v>-1</v>
      </c>
      <c r="O123" s="205">
        <f t="shared" si="61"/>
        <v>0</v>
      </c>
      <c r="P123" s="206">
        <f t="shared" si="43"/>
        <v>0</v>
      </c>
      <c r="Q123" s="206">
        <f t="shared" si="44"/>
        <v>-1</v>
      </c>
      <c r="R12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12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9881</v>
      </c>
      <c r="T12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23" s="208">
        <f ca="1">IF(Tabla336106734810[[#This Row],[Equity]]&lt;Tabla336106734810[[#This Row],[Equity Peak]],(Tabla336106734810[[#This Row],[Equity Peak]]-Tabla336106734810[[#This Row],[Equity]])/Tabla336106734810[[#This Row],[Equity Peak]],"")</f>
        <v>1.1900000000000001E-2</v>
      </c>
      <c r="V123" s="209">
        <f t="shared" si="45"/>
        <v>0</v>
      </c>
      <c r="W123" s="209">
        <f t="shared" si="62"/>
        <v>0</v>
      </c>
      <c r="X123" s="209">
        <f t="shared" si="47"/>
        <v>0</v>
      </c>
      <c r="Y123" s="209">
        <f t="shared" si="63"/>
        <v>0</v>
      </c>
      <c r="Z123" s="209">
        <f t="shared" si="49"/>
        <v>-1</v>
      </c>
      <c r="AA123" s="205">
        <f t="shared" si="64"/>
        <v>0</v>
      </c>
      <c r="AB123" s="209">
        <f t="shared" si="51"/>
        <v>0</v>
      </c>
      <c r="AC123" s="205">
        <f t="shared" si="65"/>
        <v>0</v>
      </c>
      <c r="AD123" s="210">
        <f t="shared" si="53"/>
        <v>4.3055555557657499E-2</v>
      </c>
      <c r="AE123" s="210">
        <f t="shared" si="66"/>
        <v>0</v>
      </c>
      <c r="AF123" s="210">
        <f t="shared" si="55"/>
        <v>4.3055555557657499E-2</v>
      </c>
      <c r="AG123" s="210">
        <f t="shared" si="56"/>
        <v>0</v>
      </c>
    </row>
    <row r="124" spans="2:33" ht="15" customHeight="1" x14ac:dyDescent="0.3">
      <c r="B124" s="196" t="s">
        <v>5</v>
      </c>
      <c r="C124" s="197" t="s">
        <v>15</v>
      </c>
      <c r="D124" s="198" t="str">
        <f t="shared" si="57"/>
        <v>C</v>
      </c>
      <c r="E124" s="199">
        <v>44564.427083333336</v>
      </c>
      <c r="F124" s="200" t="s">
        <v>91</v>
      </c>
      <c r="G124" s="201">
        <v>15996.66</v>
      </c>
      <c r="H124" s="201">
        <v>15974.46</v>
      </c>
      <c r="I124" s="202">
        <f t="shared" si="58"/>
        <v>22.200000000000728</v>
      </c>
      <c r="J124" s="201">
        <v>16411.099999999999</v>
      </c>
      <c r="K124" s="199">
        <v>44564.481249999997</v>
      </c>
      <c r="L124" s="201">
        <v>15992.55</v>
      </c>
      <c r="M124" s="203">
        <f t="shared" si="59"/>
        <v>-4.1100000000000003</v>
      </c>
      <c r="N124" s="204">
        <f t="shared" si="60"/>
        <v>-0.19</v>
      </c>
      <c r="O124" s="205">
        <f t="shared" si="61"/>
        <v>0</v>
      </c>
      <c r="P124" s="206">
        <f t="shared" si="43"/>
        <v>0</v>
      </c>
      <c r="Q124" s="206">
        <f t="shared" si="44"/>
        <v>-0.19</v>
      </c>
      <c r="R12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12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9981</v>
      </c>
      <c r="T12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</v>
      </c>
      <c r="U124" s="208">
        <f ca="1">IF(Tabla336106734810[[#This Row],[Equity]]&lt;Tabla336106734810[[#This Row],[Equity Peak]],(Tabla336106734810[[#This Row],[Equity Peak]]-Tabla336106734810[[#This Row],[Equity]])/Tabla336106734810[[#This Row],[Equity Peak]],"")</f>
        <v>1.9E-3</v>
      </c>
      <c r="V124" s="209">
        <f t="shared" si="45"/>
        <v>0</v>
      </c>
      <c r="W124" s="209">
        <f t="shared" si="62"/>
        <v>0</v>
      </c>
      <c r="X124" s="209">
        <f t="shared" si="47"/>
        <v>0</v>
      </c>
      <c r="Y124" s="209">
        <f t="shared" si="63"/>
        <v>0</v>
      </c>
      <c r="Z124" s="209">
        <f t="shared" si="49"/>
        <v>-0.19</v>
      </c>
      <c r="AA124" s="205">
        <f t="shared" si="64"/>
        <v>0</v>
      </c>
      <c r="AB124" s="209">
        <f t="shared" si="51"/>
        <v>0</v>
      </c>
      <c r="AC124" s="205">
        <f t="shared" si="65"/>
        <v>0</v>
      </c>
      <c r="AD124" s="210">
        <f t="shared" si="53"/>
        <v>5.4166666661330964E-2</v>
      </c>
      <c r="AE124" s="210">
        <f t="shared" si="66"/>
        <v>0</v>
      </c>
      <c r="AF124" s="210">
        <f t="shared" si="55"/>
        <v>5.4166666661330964E-2</v>
      </c>
      <c r="AG124" s="210">
        <f t="shared" si="56"/>
        <v>0</v>
      </c>
    </row>
  </sheetData>
  <sheetProtection algorithmName="SHA-512" hashValue="2tKDJlmokOcFjIaj1WG5fGg50fbqIar4g3sW5NKuBhl/yI3Lfz7S1BmXDMck7ce0FxYMVMKopsjXIpM2qB3AXA==" saltValue="59U1vqebXcmkPdc0Hyrfd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3" priority="3" operator="equal">
      <formula>"OK"</formula>
    </cfRule>
    <cfRule type="cellIs" dxfId="22" priority="4" operator="equal">
      <formula>"warning"</formula>
    </cfRule>
  </conditionalFormatting>
  <conditionalFormatting sqref="F13">
    <cfRule type="cellIs" dxfId="21" priority="1" operator="equal">
      <formula>"OK"</formula>
    </cfRule>
    <cfRule type="cellIs" dxfId="20" priority="2" operator="equal">
      <formula>"Error!!"</formula>
    </cfRule>
  </conditionalFormatting>
  <conditionalFormatting sqref="E15:H15 K15:L15">
    <cfRule type="expression" dxfId="19" priority="5">
      <formula>+$D15=#REF!</formula>
    </cfRule>
    <cfRule type="expression" dxfId="18" priority="6">
      <formula>+$D15=#REF!</formula>
    </cfRule>
  </conditionalFormatting>
  <conditionalFormatting sqref="D15 K16:L24 D16:H124 J17:L124">
    <cfRule type="expression" dxfId="17" priority="7">
      <formula>+$D15=$AG$8</formula>
    </cfRule>
    <cfRule type="expression" dxfId="1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25:B124" xr:uid="{EFDCDC49-89F5-4C18-BD21-68F0A3322770}">
      <formula1>$AE$4:$AE$7</formula1>
    </dataValidation>
    <dataValidation type="list" allowBlank="1" showInputMessage="1" showErrorMessage="1" promptTitle="Instrument Type" prompt="Select Type from List_x000a_" sqref="B15:B24" xr:uid="{A047C651-5DC2-4B2C-BE2E-122315CC2EA4}">
      <formula1>$AE$4:$AE$6</formula1>
    </dataValidation>
    <dataValidation type="list" allowBlank="1" showInputMessage="1" showErrorMessage="1" promptTitle="Trade Direction" prompt="Select from List" sqref="C15:C25" xr:uid="{01F994FC-B8A6-4941-864F-659B53D6DEA5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565-9CC8-4560-8B30-0F11881B1080}">
  <sheetPr codeName="Hoja17">
    <pageSetUpPr fitToPage="1"/>
  </sheetPr>
  <dimension ref="A1:AX163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L18" sqref="L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COUNTA(Tabla336106734811[Inst])</f>
        <v>147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61.400000000000006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61.400000000000006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COUNTIF(Tabla336106734811[No. of Rs],"&gt;0")</f>
        <v>44</v>
      </c>
      <c r="G7" s="24">
        <f>IFERROR((F7/$F$6),"")</f>
        <v>0.29931972789115646</v>
      </c>
      <c r="H7" s="78">
        <f>IFERROR((+P13/F7),"")</f>
        <v>3.5879545454545454</v>
      </c>
      <c r="I7" s="227">
        <f>H7/H9</f>
        <v>3.8308211690869505</v>
      </c>
      <c r="J7" s="227">
        <f>AVERAGE(Tabla336106734811[No. of Rs])</f>
        <v>0.417687074829932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COUNTIF(Tabla336106734811[No.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OFFSET(Tabla336106734811[[#Headers],[Equity]],1,0)</f>
        <v>16140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COUNTIF(Tabla336106734811[No. of Rs],"&lt;0")</f>
        <v>103</v>
      </c>
      <c r="G9" s="32">
        <f>IFERROR((F9/$F$6),"")</f>
        <v>0.70068027210884354</v>
      </c>
      <c r="H9" s="79">
        <f>IFERROR((-Q13/F9),"")</f>
        <v>0.93660194174757294</v>
      </c>
      <c r="I9" s="229"/>
      <c r="J9" s="229"/>
      <c r="K9" s="149"/>
      <c r="L9" s="230" t="s">
        <v>106</v>
      </c>
      <c r="M9" s="231"/>
      <c r="N9" s="125">
        <f ca="1">MAX(Tabla336106734811[Drawdown])</f>
        <v>6.0591072091010265E-2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OFFSET(Tabla336106734811[[#Headers],[Drawdown]],1,0)</f>
        <v>2.1021392358105601E-3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IF(COUNTIFS(Tabla336106734811[O/C],"O")&lt;1,"None",COUNTIFS(Tabla336106734811[O/C],"O"))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SUM(Tabla336106734811[No. of Rs])</f>
        <v>61.400000000000006</v>
      </c>
      <c r="O13" s="42">
        <f>SUM(Tabla336106734811[Heat])</f>
        <v>0</v>
      </c>
      <c r="P13" s="43">
        <f>SUM(Tabla336106734811[[ TR WIN]])</f>
        <v>157.87</v>
      </c>
      <c r="Q13" s="43">
        <f>SUM(Tabla336106734811[[ TR LOSS]])</f>
        <v>-96.470000000000013</v>
      </c>
      <c r="R13" s="114"/>
      <c r="S13" s="115"/>
      <c r="T13" s="115"/>
      <c r="U13" s="121"/>
      <c r="V13" s="44">
        <f>SUM(Tabla336106734811[Currency])</f>
        <v>0</v>
      </c>
      <c r="W13" s="44">
        <f>SUM(Tabla336106734811[Heat3])</f>
        <v>0</v>
      </c>
      <c r="X13" s="44">
        <f>SUM(Tabla336106734811[Commodities])</f>
        <v>0</v>
      </c>
      <c r="Y13" s="44">
        <f>SUM(Tabla336106734811[Heat4])</f>
        <v>0</v>
      </c>
      <c r="Z13" s="44">
        <f>SUM(Tabla336106734811[Index])</f>
        <v>61.400000000000006</v>
      </c>
      <c r="AA13" s="44">
        <f>SUM(Tabla336106734811[Heat5])</f>
        <v>0</v>
      </c>
      <c r="AB13" s="44">
        <f>SUM(Tabla336106734811[Cryptocurrency])</f>
        <v>0</v>
      </c>
      <c r="AC13" s="44">
        <f>SUM(Tabla336106734811[Heat6])</f>
        <v>0</v>
      </c>
      <c r="AD13" s="75">
        <f>AVERAGEIF(Tabla336106734811[Length of 
Trade],"&lt;&gt;0")</f>
        <v>27.940121882086299</v>
      </c>
      <c r="AE13" s="75">
        <f>AVERAGEIF(Tabla336106734811[Win],"&lt;&gt;0")</f>
        <v>1.4210700757584247</v>
      </c>
      <c r="AF13" s="75">
        <f>AVERAGEIF(Tabla336106734811[Loss],"&lt;&gt;0")</f>
        <v>39.268648867313743</v>
      </c>
      <c r="AG13" s="76" t="e">
        <f>AVERAGEIF(Tabla336106734811[Breakeven],"&lt;&gt;0")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5</v>
      </c>
      <c r="C17" s="197" t="s">
        <v>15</v>
      </c>
      <c r="D17" s="233" t="str">
        <f>IF(E17&lt;&gt;"",IF(K17&lt;&gt;"","C","O"),"")</f>
        <v>C</v>
      </c>
      <c r="E17" s="234">
        <v>44875.65625</v>
      </c>
      <c r="F17" s="200" t="s">
        <v>92</v>
      </c>
      <c r="G17" s="235">
        <v>11225.2</v>
      </c>
      <c r="H17" s="236">
        <v>11187.43</v>
      </c>
      <c r="I17" s="237">
        <f>ABS(G17-H17)</f>
        <v>37.770000000000437</v>
      </c>
      <c r="J17" s="235">
        <v>11930.16</v>
      </c>
      <c r="K17" s="199">
        <v>44876.688888888886</v>
      </c>
      <c r="L17" s="235">
        <v>11557.87</v>
      </c>
      <c r="M17" s="238">
        <f>ROUND(IF(C17="L",(L17-G17),(G17-L17)),4)</f>
        <v>332.67</v>
      </c>
      <c r="N17" s="239">
        <f>IFERROR(ROUND((M17/I17),2),"")</f>
        <v>8.81</v>
      </c>
      <c r="O17" s="240">
        <f>IF(D17="O",IF(N17&lt;0,N17,0),0)</f>
        <v>0</v>
      </c>
      <c r="P17" s="241">
        <f>IF(N17&gt;= 0,N17,0)</f>
        <v>8.81</v>
      </c>
      <c r="Q17" s="241">
        <f>IF(N17&lt;0,N17,0)</f>
        <v>0</v>
      </c>
      <c r="R17" s="241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7" s="242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16140</v>
      </c>
      <c r="T17" s="242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17" s="243">
        <f ca="1">IF(Tabla336106734811[[#This Row],[Equity]]&lt;Tabla336106734811[[#This Row],[Equity Peak]],(Tabla336106734811[[#This Row],[Equity Peak]]-Tabla336106734811[[#This Row],[Equity]])/Tabla336106734811[[#This Row],[Equity Peak]],"")</f>
        <v>2.1021392358105601E-3</v>
      </c>
      <c r="V17" s="244">
        <f>IF(B17="FX",N17,0)</f>
        <v>0</v>
      </c>
      <c r="W17" s="244">
        <f>IF(D17="O",IF(V17&lt;0,V17,0),0)</f>
        <v>0</v>
      </c>
      <c r="X17" s="244">
        <f>IF(B17="COM",N17,0)</f>
        <v>0</v>
      </c>
      <c r="Y17" s="244">
        <f>IF(D17="O",IF(X17&lt;0,X17,0),0)</f>
        <v>0</v>
      </c>
      <c r="Z17" s="244">
        <f>IF(B17="IND",N17,0)</f>
        <v>8.81</v>
      </c>
      <c r="AA17" s="240">
        <f>IF(D17="O",IF(Z17&lt;0,Z17,0),0)</f>
        <v>0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1.0326388888861402</v>
      </c>
      <c r="AE17" s="245">
        <f>IF(N17&gt;0,AD17,0)</f>
        <v>1.0326388888861402</v>
      </c>
      <c r="AF17" s="245">
        <f>IF(N17&lt;0,AD17,0)</f>
        <v>0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232" t="s">
        <v>5</v>
      </c>
      <c r="C18" s="197" t="s">
        <v>13</v>
      </c>
      <c r="D18" s="233" t="str">
        <f>IF(E18&lt;&gt;"",IF(K18&lt;&gt;"","C","O"),"")</f>
        <v>C</v>
      </c>
      <c r="E18" s="234">
        <v>44874.958333333336</v>
      </c>
      <c r="F18" s="200" t="s">
        <v>92</v>
      </c>
      <c r="G18" s="235">
        <v>10796.39</v>
      </c>
      <c r="H18" s="236">
        <v>10844.52</v>
      </c>
      <c r="I18" s="237">
        <f>ABS(G18-H18)</f>
        <v>48.130000000001019</v>
      </c>
      <c r="J18" s="235">
        <v>9898</v>
      </c>
      <c r="K18" s="199">
        <v>44875.128472222219</v>
      </c>
      <c r="L18" s="235">
        <v>10847.15</v>
      </c>
      <c r="M18" s="238">
        <f>ROUND(IF(C18="L",(L18-G18),(G18-L18)),4)</f>
        <v>-50.76</v>
      </c>
      <c r="N18" s="239">
        <f>IFERROR(ROUND((M18/I18),2),"")</f>
        <v>-1.05</v>
      </c>
      <c r="O18" s="240">
        <f>IF(D18="O",IF(N18&lt;0,N18,0),0)</f>
        <v>0</v>
      </c>
      <c r="P18" s="241">
        <f>IF(N18&gt;= 0,N18,0)</f>
        <v>0</v>
      </c>
      <c r="Q18" s="241">
        <f>IF(N18&lt;0,N18,0)</f>
        <v>-1.05</v>
      </c>
      <c r="R18" s="241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8" s="242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15259</v>
      </c>
      <c r="T18" s="242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18" s="243">
        <f ca="1">IF(Tabla336106734811[[#This Row],[Equity]]&lt;Tabla336106734811[[#This Row],[Equity Peak]],(Tabla336106734811[[#This Row],[Equity Peak]]-Tabla336106734811[[#This Row],[Equity]])/Tabla336106734811[[#This Row],[Equity Peak]],"")</f>
        <v>5.6572276493137133E-2</v>
      </c>
      <c r="V18" s="244">
        <f>IF(B18="FX",N18,0)</f>
        <v>0</v>
      </c>
      <c r="W18" s="244">
        <f>IF(D18="O",IF(V18&lt;0,V18,0),0)</f>
        <v>0</v>
      </c>
      <c r="X18" s="244">
        <f>IF(B18="COM",N18,0)</f>
        <v>0</v>
      </c>
      <c r="Y18" s="244">
        <f>IF(D18="O",IF(X18&lt;0,X18,0),0)</f>
        <v>0</v>
      </c>
      <c r="Z18" s="244">
        <f>IF(B18="IND",N18,0)</f>
        <v>-1.05</v>
      </c>
      <c r="AA18" s="240">
        <f>IF(D18="O",IF(Z18&lt;0,Z18,0),0)</f>
        <v>0</v>
      </c>
      <c r="AB18" s="244">
        <f>IF(B18="CRYPTO",N18,0)</f>
        <v>0</v>
      </c>
      <c r="AC18" s="240">
        <f>IF(D18="O",IF(AB18&lt;0,AB18,0),0)</f>
        <v>0</v>
      </c>
      <c r="AD18" s="245">
        <f>IF(K18&lt;&gt;"",K18-E18,0)</f>
        <v>0.17013888888322981</v>
      </c>
      <c r="AE18" s="245">
        <f>IF(N18&gt;0,AD18,0)</f>
        <v>0</v>
      </c>
      <c r="AF18" s="245">
        <f>IF(N18&lt;0,AD18,0)</f>
        <v>0.17013888888322981</v>
      </c>
      <c r="AG18" s="245">
        <f>IF(N18=0,AD18,0)</f>
        <v>0</v>
      </c>
      <c r="AH18" s="176"/>
      <c r="AI18" s="109"/>
    </row>
    <row r="19" spans="1:35" s="112" customFormat="1" x14ac:dyDescent="0.3">
      <c r="A19" s="140"/>
      <c r="B19" s="232" t="s">
        <v>5</v>
      </c>
      <c r="C19" s="197" t="s">
        <v>13</v>
      </c>
      <c r="D19" s="233" t="str">
        <f>IF(E19&lt;&gt;"",IF(K19&lt;&gt;"","C","O"),"")</f>
        <v>C</v>
      </c>
      <c r="E19" s="234">
        <v>44874.916666666664</v>
      </c>
      <c r="F19" s="200" t="s">
        <v>92</v>
      </c>
      <c r="G19" s="235">
        <v>10805.01</v>
      </c>
      <c r="H19" s="236">
        <v>10851.9</v>
      </c>
      <c r="I19" s="237">
        <f>ABS(G19-H19)</f>
        <v>46.889999999999418</v>
      </c>
      <c r="J19" s="235">
        <v>9929.69</v>
      </c>
      <c r="K19" s="199">
        <v>44874.92291666667</v>
      </c>
      <c r="L19" s="235">
        <v>10853.66</v>
      </c>
      <c r="M19" s="238">
        <f>ROUND(IF(C19="L",(L19-G19),(G19-L19)),4)</f>
        <v>-48.65</v>
      </c>
      <c r="N19" s="239">
        <f>IFERROR(ROUND((M19/I19),2),"")</f>
        <v>-1.04</v>
      </c>
      <c r="O19" s="240">
        <f>IF(D19="O",IF(N19&lt;0,N19,0),0)</f>
        <v>0</v>
      </c>
      <c r="P19" s="241">
        <f>IF(N19&gt;= 0,N19,0)</f>
        <v>0</v>
      </c>
      <c r="Q19" s="241">
        <f>IF(N19&lt;0,N19,0)</f>
        <v>-1.04</v>
      </c>
      <c r="R19" s="241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9" s="242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15364</v>
      </c>
      <c r="T19" s="242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19" s="243">
        <f ca="1">IF(Tabla336106734811[[#This Row],[Equity]]&lt;Tabla336106734811[[#This Row],[Equity Peak]],(Tabla336106734811[[#This Row],[Equity Peak]]-Tabla336106734811[[#This Row],[Equity]])/Tabla336106734811[[#This Row],[Equity Peak]],"")</f>
        <v>5.0080375911957464E-2</v>
      </c>
      <c r="V19" s="244">
        <f>IF(B19="FX",N19,0)</f>
        <v>0</v>
      </c>
      <c r="W19" s="244">
        <f>IF(D19="O",IF(V19&lt;0,V19,0),0)</f>
        <v>0</v>
      </c>
      <c r="X19" s="244">
        <f>IF(B19="COM",N19,0)</f>
        <v>0</v>
      </c>
      <c r="Y19" s="244">
        <f>IF(D19="O",IF(X19&lt;0,X19,0),0)</f>
        <v>0</v>
      </c>
      <c r="Z19" s="244">
        <f>IF(B19="IND",N19,0)</f>
        <v>-1.04</v>
      </c>
      <c r="AA19" s="240">
        <f>IF(D19="O",IF(Z19&lt;0,Z19,0),0)</f>
        <v>0</v>
      </c>
      <c r="AB19" s="244">
        <f>IF(B19="CRYPTO",N19,0)</f>
        <v>0</v>
      </c>
      <c r="AC19" s="240">
        <f>IF(D19="O",IF(AB19&lt;0,AB19,0),0)</f>
        <v>0</v>
      </c>
      <c r="AD19" s="245">
        <f>IF(K19&lt;&gt;"",K19-E19,0)</f>
        <v>6.2500000058207661E-3</v>
      </c>
      <c r="AE19" s="245">
        <f>IF(N19&gt;0,AD19,0)</f>
        <v>0</v>
      </c>
      <c r="AF19" s="245">
        <f>IF(N19&lt;0,AD19,0)</f>
        <v>6.2500000058207661E-3</v>
      </c>
      <c r="AG19" s="245">
        <f>IF(N19=0,AD19,0)</f>
        <v>0</v>
      </c>
      <c r="AH19" s="176"/>
      <c r="AI19" s="109"/>
    </row>
    <row r="20" spans="1:35" s="112" customFormat="1" x14ac:dyDescent="0.3">
      <c r="A20" s="140"/>
      <c r="B20" s="232" t="s">
        <v>5</v>
      </c>
      <c r="C20" s="197" t="s">
        <v>15</v>
      </c>
      <c r="D20" s="233" t="str">
        <f>IF(E20&lt;&gt;"",IF(K20&lt;&gt;"","C","O"),"")</f>
        <v>C</v>
      </c>
      <c r="E20" s="234">
        <v>40855.78125</v>
      </c>
      <c r="F20" s="200" t="s">
        <v>92</v>
      </c>
      <c r="G20" s="235">
        <v>11171.94</v>
      </c>
      <c r="H20" s="236">
        <v>11141.54</v>
      </c>
      <c r="I20" s="237">
        <f>ABS(G20-H20)</f>
        <v>30.399999999999636</v>
      </c>
      <c r="J20" s="235">
        <v>11739.38</v>
      </c>
      <c r="K20" s="199">
        <v>44873.802777777775</v>
      </c>
      <c r="L20" s="235">
        <v>11140.03</v>
      </c>
      <c r="M20" s="238">
        <f>ROUND(IF(C20="L",(L20-G20),(G20-L20)),4)</f>
        <v>-31.91</v>
      </c>
      <c r="N20" s="239">
        <f>IFERROR(ROUND((M20/I20),2),"")</f>
        <v>-1.05</v>
      </c>
      <c r="O20" s="240">
        <f>IF(D20="O",IF(N20&lt;0,N20,0),0)</f>
        <v>0</v>
      </c>
      <c r="P20" s="241">
        <f>IF(N20&gt;= 0,N20,0)</f>
        <v>0</v>
      </c>
      <c r="Q20" s="241">
        <f>IF(N20&lt;0,N20,0)</f>
        <v>-1.05</v>
      </c>
      <c r="R20" s="241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0" s="242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15468</v>
      </c>
      <c r="T20" s="242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0" s="243">
        <f ca="1">IF(Tabla336106734811[[#This Row],[Equity]]&lt;Tabla336106734811[[#This Row],[Equity Peak]],(Tabla336106734811[[#This Row],[Equity Peak]]-Tabla336106734811[[#This Row],[Equity]])/Tabla336106734811[[#This Row],[Equity Peak]],"")</f>
        <v>4.3650302955360452E-2</v>
      </c>
      <c r="V20" s="244">
        <f>IF(B20="FX",N20,0)</f>
        <v>0</v>
      </c>
      <c r="W20" s="244">
        <f>IF(D20="O",IF(V20&lt;0,V20,0),0)</f>
        <v>0</v>
      </c>
      <c r="X20" s="244">
        <f>IF(B20="COM",N20,0)</f>
        <v>0</v>
      </c>
      <c r="Y20" s="244">
        <f>IF(D20="O",IF(X20&lt;0,X20,0),0)</f>
        <v>0</v>
      </c>
      <c r="Z20" s="244">
        <f>IF(B20="IND",N20,0)</f>
        <v>-1.05</v>
      </c>
      <c r="AA20" s="240">
        <f>IF(D20="O",IF(Z20&lt;0,Z20,0),0)</f>
        <v>0</v>
      </c>
      <c r="AB20" s="244">
        <f>IF(B20="CRYPTO",N20,0)</f>
        <v>0</v>
      </c>
      <c r="AC20" s="240">
        <f>IF(D20="O",IF(AB20&lt;0,AB20,0),0)</f>
        <v>0</v>
      </c>
      <c r="AD20" s="245">
        <f>IF(K20&lt;&gt;"",K20-E20,0)</f>
        <v>4018.0215277777752</v>
      </c>
      <c r="AE20" s="245">
        <f>IF(N20&gt;0,AD20,0)</f>
        <v>0</v>
      </c>
      <c r="AF20" s="245">
        <f>IF(N20&lt;0,AD20,0)</f>
        <v>4018.0215277777752</v>
      </c>
      <c r="AG20" s="245">
        <f>IF(N20=0,AD20,0)</f>
        <v>0</v>
      </c>
      <c r="AH20" s="176"/>
      <c r="AI20" s="109"/>
    </row>
    <row r="21" spans="1:35" s="112" customFormat="1" x14ac:dyDescent="0.3">
      <c r="A21" s="140"/>
      <c r="B21" s="196" t="s">
        <v>5</v>
      </c>
      <c r="C21" s="197" t="s">
        <v>13</v>
      </c>
      <c r="D21" s="198" t="str">
        <f t="shared" ref="D21:D52" si="0">IF(E21&lt;&gt;"",IF(K21&lt;&gt;"","C","O"),"")</f>
        <v>C</v>
      </c>
      <c r="E21" s="199">
        <v>44867.9375</v>
      </c>
      <c r="F21" s="200" t="s">
        <v>92</v>
      </c>
      <c r="G21" s="201">
        <v>10977.43</v>
      </c>
      <c r="H21" s="201">
        <v>11024.09</v>
      </c>
      <c r="I21" s="202">
        <f t="shared" ref="I21:I52" si="1">ABS(G21-H21)</f>
        <v>46.659999999999854</v>
      </c>
      <c r="J21" s="201">
        <v>10106.43</v>
      </c>
      <c r="K21" s="199">
        <v>44869.589583333334</v>
      </c>
      <c r="L21" s="201">
        <v>10800.38</v>
      </c>
      <c r="M21" s="203">
        <f t="shared" ref="M21:M52" si="2">ROUND(IF(C21="L",(L21-G21),(G21-L21)),4)</f>
        <v>177.05</v>
      </c>
      <c r="N21" s="204">
        <f t="shared" ref="N21:N52" si="3">IFERROR(ROUND((M21/I21),2),"")</f>
        <v>3.79</v>
      </c>
      <c r="O21" s="205">
        <f t="shared" ref="O21:O52" si="4">IF(D21="O",IF(N21&lt;0,N21,0),0)</f>
        <v>0</v>
      </c>
      <c r="P21" s="206">
        <f t="shared" ref="P21:P52" si="5">IF(N21&gt;= 0,N21,0)</f>
        <v>3.79</v>
      </c>
      <c r="Q21" s="206">
        <f t="shared" ref="Q21:Q52" si="6">IF(N21&lt;0,N21,0)</f>
        <v>0</v>
      </c>
      <c r="R2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15573</v>
      </c>
      <c r="T2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1" s="208">
        <f ca="1">IF(Tabla336106734811[[#This Row],[Equity]]&lt;Tabla336106734811[[#This Row],[Equity Peak]],(Tabla336106734811[[#This Row],[Equity Peak]]-Tabla336106734811[[#This Row],[Equity]])/Tabla336106734811[[#This Row],[Equity Peak]],"")</f>
        <v>3.7158402374180784E-2</v>
      </c>
      <c r="V21" s="209">
        <f t="shared" ref="V21:V52" si="7">IF(B21="FX",N21,0)</f>
        <v>0</v>
      </c>
      <c r="W21" s="209">
        <f t="shared" ref="W21:W52" si="8">IF(D21="O",IF(V21&lt;0,V21,0),0)</f>
        <v>0</v>
      </c>
      <c r="X21" s="209">
        <f t="shared" ref="X21:X52" si="9">IF(B21="COM",N21,0)</f>
        <v>0</v>
      </c>
      <c r="Y21" s="209">
        <f t="shared" ref="Y21:Y52" si="10">IF(D21="O",IF(X21&lt;0,X21,0),0)</f>
        <v>0</v>
      </c>
      <c r="Z21" s="209">
        <f t="shared" ref="Z21:Z52" si="11">IF(B21="IND",N21,0)</f>
        <v>3.79</v>
      </c>
      <c r="AA21" s="205">
        <f t="shared" ref="AA21:AA52" si="12">IF(D21="O",IF(Z21&lt;0,Z21,0),0)</f>
        <v>0</v>
      </c>
      <c r="AB21" s="209">
        <f t="shared" ref="AB21:AB52" si="13">IF(B21="CRYPTO",N21,0)</f>
        <v>0</v>
      </c>
      <c r="AC21" s="205">
        <f t="shared" ref="AC21:AC52" si="14">IF(D21="O",IF(AB21&lt;0,AB21,0),0)</f>
        <v>0</v>
      </c>
      <c r="AD21" s="210">
        <f t="shared" ref="AD21:AD52" si="15">IF(K21&lt;&gt;"",K21-E21,0)</f>
        <v>1.6520833333343035</v>
      </c>
      <c r="AE21" s="210">
        <f t="shared" ref="AE21:AE52" si="16">IF(N21&gt;0,AD21,0)</f>
        <v>1.6520833333343035</v>
      </c>
      <c r="AF21" s="210">
        <f t="shared" ref="AF21:AF52" si="17">IF(N21&lt;0,AD21,0)</f>
        <v>0</v>
      </c>
      <c r="AG21" s="210">
        <f t="shared" ref="AG21:AG52" si="18">IF(N21=0,AD21,0)</f>
        <v>0</v>
      </c>
      <c r="AH21" s="176"/>
      <c r="AI21" s="109"/>
    </row>
    <row r="22" spans="1:35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44867.916666666664</v>
      </c>
      <c r="F22" s="200" t="s">
        <v>92</v>
      </c>
      <c r="G22" s="201">
        <v>11116.58</v>
      </c>
      <c r="H22" s="201">
        <v>11158.29</v>
      </c>
      <c r="I22" s="202">
        <f t="shared" si="1"/>
        <v>41.710000000000946</v>
      </c>
      <c r="J22" s="201">
        <v>10337.98</v>
      </c>
      <c r="K22" s="199">
        <v>44867.922222222223</v>
      </c>
      <c r="L22" s="201">
        <v>11158.29</v>
      </c>
      <c r="M22" s="203">
        <f t="shared" si="2"/>
        <v>-41.71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15194</v>
      </c>
      <c r="T2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2" s="208">
        <f ca="1">IF(Tabla336106734811[[#This Row],[Equity]]&lt;Tabla336106734811[[#This Row],[Equity Peak]],(Tabla336106734811[[#This Row],[Equity Peak]]-Tabla336106734811[[#This Row],[Equity]])/Tabla336106734811[[#This Row],[Equity Peak]],"")</f>
        <v>6.0591072091010265E-2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-1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5.5555555591126904E-3</v>
      </c>
      <c r="AE22" s="210">
        <f t="shared" si="16"/>
        <v>0</v>
      </c>
      <c r="AF22" s="210">
        <f t="shared" si="17"/>
        <v>5.5555555591126904E-3</v>
      </c>
      <c r="AG22" s="210">
        <f t="shared" si="18"/>
        <v>0</v>
      </c>
    </row>
    <row r="23" spans="1:35" ht="15" customHeight="1" x14ac:dyDescent="0.3">
      <c r="B23" s="196" t="s">
        <v>5</v>
      </c>
      <c r="C23" s="197" t="s">
        <v>13</v>
      </c>
      <c r="D23" s="198" t="str">
        <f t="shared" si="0"/>
        <v>C</v>
      </c>
      <c r="E23" s="199">
        <v>44867.71875</v>
      </c>
      <c r="F23" s="200" t="s">
        <v>92</v>
      </c>
      <c r="G23" s="201">
        <v>11223.43</v>
      </c>
      <c r="H23" s="201">
        <v>11250.65</v>
      </c>
      <c r="I23" s="202">
        <f t="shared" si="1"/>
        <v>27.219999999999345</v>
      </c>
      <c r="J23" s="201">
        <v>10715.28</v>
      </c>
      <c r="K23" s="199">
        <v>44867.875</v>
      </c>
      <c r="L23" s="201">
        <v>11241.18</v>
      </c>
      <c r="M23" s="203">
        <f t="shared" si="2"/>
        <v>-17.75</v>
      </c>
      <c r="N23" s="204">
        <f t="shared" si="3"/>
        <v>-0.65</v>
      </c>
      <c r="O23" s="205">
        <f t="shared" si="4"/>
        <v>0</v>
      </c>
      <c r="P23" s="206">
        <f t="shared" si="5"/>
        <v>0</v>
      </c>
      <c r="Q23" s="206">
        <f t="shared" si="6"/>
        <v>-0.65</v>
      </c>
      <c r="R2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15294</v>
      </c>
      <c r="T2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3" s="208">
        <f ca="1">IF(Tabla336106734811[[#This Row],[Equity]]&lt;Tabla336106734811[[#This Row],[Equity Peak]],(Tabla336106734811[[#This Row],[Equity Peak]]-Tabla336106734811[[#This Row],[Equity]])/Tabla336106734811[[#This Row],[Equity Peak]],"")</f>
        <v>5.4408309632743908E-2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-0.65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0.15625</v>
      </c>
      <c r="AE23" s="210">
        <f t="shared" si="16"/>
        <v>0</v>
      </c>
      <c r="AF23" s="210">
        <f t="shared" si="17"/>
        <v>0.15625</v>
      </c>
      <c r="AG23" s="210">
        <f t="shared" si="18"/>
        <v>0</v>
      </c>
    </row>
    <row r="24" spans="1:35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44866.96875</v>
      </c>
      <c r="F24" s="200" t="s">
        <v>92</v>
      </c>
      <c r="G24" s="201">
        <v>11256.66</v>
      </c>
      <c r="H24" s="201">
        <v>11293.2</v>
      </c>
      <c r="I24" s="202">
        <f t="shared" si="1"/>
        <v>36.540000000000873</v>
      </c>
      <c r="J24" s="201">
        <v>10574.6</v>
      </c>
      <c r="K24" s="199">
        <v>44867.049305555556</v>
      </c>
      <c r="L24" s="201">
        <v>11293.2</v>
      </c>
      <c r="M24" s="203">
        <f t="shared" si="2"/>
        <v>-36.54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15359</v>
      </c>
      <c r="T2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4" s="208">
        <f ca="1">IF(Tabla336106734811[[#This Row],[Equity]]&lt;Tabla336106734811[[#This Row],[Equity Peak]],(Tabla336106734811[[#This Row],[Equity Peak]]-Tabla336106734811[[#This Row],[Equity]])/Tabla336106734811[[#This Row],[Equity Peak]],"")</f>
        <v>5.0389514034870783E-2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8.0555555556202307E-2</v>
      </c>
      <c r="AE24" s="210">
        <f t="shared" si="16"/>
        <v>0</v>
      </c>
      <c r="AF24" s="210">
        <f t="shared" si="17"/>
        <v>8.0555555556202307E-2</v>
      </c>
      <c r="AG24" s="210">
        <f t="shared" si="18"/>
        <v>0</v>
      </c>
    </row>
    <row r="25" spans="1:35" ht="15" customHeight="1" x14ac:dyDescent="0.3">
      <c r="B25" s="196" t="s">
        <v>5</v>
      </c>
      <c r="C25" s="197" t="s">
        <v>13</v>
      </c>
      <c r="D25" s="198" t="str">
        <f t="shared" si="0"/>
        <v>C</v>
      </c>
      <c r="E25" s="199">
        <v>44861.885416666664</v>
      </c>
      <c r="F25" s="200" t="s">
        <v>92</v>
      </c>
      <c r="G25" s="201">
        <v>11192.19</v>
      </c>
      <c r="H25" s="201">
        <v>11240.92</v>
      </c>
      <c r="I25" s="202">
        <f t="shared" si="1"/>
        <v>48.729999999999563</v>
      </c>
      <c r="J25" s="201">
        <v>10282.629999999999</v>
      </c>
      <c r="K25" s="199">
        <v>44862.645833333336</v>
      </c>
      <c r="L25" s="201">
        <v>11147.08</v>
      </c>
      <c r="M25" s="203">
        <f t="shared" si="2"/>
        <v>45.11</v>
      </c>
      <c r="N25" s="204">
        <f t="shared" si="3"/>
        <v>0.93</v>
      </c>
      <c r="O25" s="205">
        <f t="shared" si="4"/>
        <v>0</v>
      </c>
      <c r="P25" s="206">
        <f t="shared" si="5"/>
        <v>0.93</v>
      </c>
      <c r="Q25" s="206">
        <f t="shared" si="6"/>
        <v>0</v>
      </c>
      <c r="R2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15459</v>
      </c>
      <c r="T2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5" s="208">
        <f ca="1">IF(Tabla336106734811[[#This Row],[Equity]]&lt;Tabla336106734811[[#This Row],[Equity Peak]],(Tabla336106734811[[#This Row],[Equity Peak]]-Tabla336106734811[[#This Row],[Equity]])/Tabla336106734811[[#This Row],[Equity Peak]],"")</f>
        <v>4.4206751576604426E-2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0.93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0.76041666667151731</v>
      </c>
      <c r="AE25" s="210">
        <f t="shared" si="16"/>
        <v>0.76041666667151731</v>
      </c>
      <c r="AF25" s="210">
        <f t="shared" si="17"/>
        <v>0</v>
      </c>
      <c r="AG25" s="210">
        <f t="shared" si="18"/>
        <v>0</v>
      </c>
    </row>
    <row r="26" spans="1:35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44861.8125</v>
      </c>
      <c r="F26" s="200" t="s">
        <v>92</v>
      </c>
      <c r="G26" s="201">
        <v>11200.19</v>
      </c>
      <c r="H26" s="201">
        <v>11249.61</v>
      </c>
      <c r="I26" s="202">
        <f t="shared" si="1"/>
        <v>49.420000000000073</v>
      </c>
      <c r="J26" s="201">
        <v>10277.709999999999</v>
      </c>
      <c r="K26" s="199">
        <v>44861.824999999997</v>
      </c>
      <c r="L26" s="201">
        <v>11249.61</v>
      </c>
      <c r="M26" s="203">
        <f t="shared" si="2"/>
        <v>-49.42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15366</v>
      </c>
      <c r="T2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6" s="208">
        <f ca="1">IF(Tabla336106734811[[#This Row],[Equity]]&lt;Tabla336106734811[[#This Row],[Equity Peak]],(Tabla336106734811[[#This Row],[Equity Peak]]-Tabla336106734811[[#This Row],[Equity]])/Tabla336106734811[[#This Row],[Equity Peak]],"")</f>
        <v>4.9956720662792137E-2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-1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1.2499999997089617E-2</v>
      </c>
      <c r="AE26" s="210">
        <f t="shared" si="16"/>
        <v>0</v>
      </c>
      <c r="AF26" s="210">
        <f t="shared" si="17"/>
        <v>1.2499999997089617E-2</v>
      </c>
      <c r="AG26" s="210">
        <f t="shared" si="18"/>
        <v>0</v>
      </c>
    </row>
    <row r="27" spans="1:35" ht="15" customHeight="1" x14ac:dyDescent="0.3">
      <c r="B27" s="196" t="s">
        <v>5</v>
      </c>
      <c r="C27" s="197" t="s">
        <v>13</v>
      </c>
      <c r="D27" s="198" t="str">
        <f t="shared" si="0"/>
        <v>C</v>
      </c>
      <c r="E27" s="199">
        <v>44861.708333333336</v>
      </c>
      <c r="F27" s="200" t="s">
        <v>92</v>
      </c>
      <c r="G27" s="201">
        <v>11242.69</v>
      </c>
      <c r="H27" s="201">
        <v>11285.77</v>
      </c>
      <c r="I27" s="202">
        <f t="shared" si="1"/>
        <v>43.079999999999927</v>
      </c>
      <c r="J27" s="201">
        <v>10438.51</v>
      </c>
      <c r="K27" s="199">
        <v>44861.711805555555</v>
      </c>
      <c r="L27" s="201">
        <v>11285.77</v>
      </c>
      <c r="M27" s="203">
        <f t="shared" si="2"/>
        <v>-43.08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15466</v>
      </c>
      <c r="T2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7" s="208">
        <f ca="1">IF(Tabla336106734811[[#This Row],[Equity]]&lt;Tabla336106734811[[#This Row],[Equity Peak]],(Tabla336106734811[[#This Row],[Equity Peak]]-Tabla336106734811[[#This Row],[Equity]])/Tabla336106734811[[#This Row],[Equity Peak]],"")</f>
        <v>4.377395820452578E-2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-1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3.4722222189884633E-3</v>
      </c>
      <c r="AE27" s="210">
        <f t="shared" si="16"/>
        <v>0</v>
      </c>
      <c r="AF27" s="210">
        <f t="shared" si="17"/>
        <v>3.4722222189884633E-3</v>
      </c>
      <c r="AG27" s="210">
        <f t="shared" si="18"/>
        <v>0</v>
      </c>
    </row>
    <row r="28" spans="1:35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44859.697916666664</v>
      </c>
      <c r="F28" s="200" t="s">
        <v>92</v>
      </c>
      <c r="G28" s="201">
        <v>11508.47</v>
      </c>
      <c r="H28" s="201">
        <v>11477.48</v>
      </c>
      <c r="I28" s="202">
        <f t="shared" si="1"/>
        <v>30.989999999999782</v>
      </c>
      <c r="J28" s="201">
        <v>12087.02</v>
      </c>
      <c r="K28" s="199">
        <v>44859.961111111108</v>
      </c>
      <c r="L28" s="201">
        <v>11541.2</v>
      </c>
      <c r="M28" s="203">
        <f t="shared" si="2"/>
        <v>32.729999999999997</v>
      </c>
      <c r="N28" s="204">
        <f t="shared" si="3"/>
        <v>1.06</v>
      </c>
      <c r="O28" s="205">
        <f t="shared" si="4"/>
        <v>0</v>
      </c>
      <c r="P28" s="206">
        <f t="shared" si="5"/>
        <v>1.06</v>
      </c>
      <c r="Q28" s="206">
        <f t="shared" si="6"/>
        <v>0</v>
      </c>
      <c r="R2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15566</v>
      </c>
      <c r="T2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8" s="208">
        <f ca="1">IF(Tabla336106734811[[#This Row],[Equity]]&lt;Tabla336106734811[[#This Row],[Equity Peak]],(Tabla336106734811[[#This Row],[Equity Peak]]-Tabla336106734811[[#This Row],[Equity]])/Tabla336106734811[[#This Row],[Equity Peak]],"")</f>
        <v>3.759119574625943E-2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1.06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0.26319444444379769</v>
      </c>
      <c r="AE28" s="210">
        <f t="shared" si="16"/>
        <v>0.26319444444379769</v>
      </c>
      <c r="AF28" s="210">
        <f t="shared" si="17"/>
        <v>0</v>
      </c>
      <c r="AG28" s="210">
        <f t="shared" si="18"/>
        <v>0</v>
      </c>
    </row>
    <row r="29" spans="1:35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44855.927083333336</v>
      </c>
      <c r="F29" s="200" t="s">
        <v>92</v>
      </c>
      <c r="G29" s="201">
        <v>11279.68</v>
      </c>
      <c r="H29" s="201">
        <v>11230.2</v>
      </c>
      <c r="I29" s="202">
        <f t="shared" si="1"/>
        <v>49.479999999999563</v>
      </c>
      <c r="J29" s="201">
        <v>12203.32</v>
      </c>
      <c r="K29" s="199">
        <v>44858.429166666669</v>
      </c>
      <c r="L29" s="201">
        <v>11272.93</v>
      </c>
      <c r="M29" s="203">
        <f t="shared" si="2"/>
        <v>-6.75</v>
      </c>
      <c r="N29" s="204">
        <f t="shared" si="3"/>
        <v>-0.14000000000000001</v>
      </c>
      <c r="O29" s="205">
        <f t="shared" si="4"/>
        <v>0</v>
      </c>
      <c r="P29" s="206">
        <f t="shared" si="5"/>
        <v>0</v>
      </c>
      <c r="Q29" s="206">
        <f t="shared" si="6"/>
        <v>-0.14000000000000001</v>
      </c>
      <c r="R2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15460</v>
      </c>
      <c r="T2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29" s="208">
        <f ca="1">IF(Tabla336106734811[[#This Row],[Equity]]&lt;Tabla336106734811[[#This Row],[Equity Peak]],(Tabla336106734811[[#This Row],[Equity Peak]]-Tabla336106734811[[#This Row],[Equity]])/Tabla336106734811[[#This Row],[Equity Peak]],"")</f>
        <v>4.4144923952021763E-2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-0.14000000000000001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2.5020833333328483</v>
      </c>
      <c r="AE29" s="210">
        <f t="shared" si="16"/>
        <v>0</v>
      </c>
      <c r="AF29" s="210">
        <f t="shared" si="17"/>
        <v>2.5020833333328483</v>
      </c>
      <c r="AG29" s="210">
        <f t="shared" si="18"/>
        <v>0</v>
      </c>
    </row>
    <row r="30" spans="1:35" ht="15" customHeight="1" x14ac:dyDescent="0.3">
      <c r="B30" s="196" t="s">
        <v>5</v>
      </c>
      <c r="C30" s="197" t="s">
        <v>13</v>
      </c>
      <c r="D30" s="198" t="str">
        <f t="shared" si="0"/>
        <v>C</v>
      </c>
      <c r="E30" s="199">
        <v>44855.489583333336</v>
      </c>
      <c r="F30" s="200" t="s">
        <v>92</v>
      </c>
      <c r="G30" s="201">
        <v>10928.31</v>
      </c>
      <c r="H30" s="201">
        <v>10979.11</v>
      </c>
      <c r="I30" s="202">
        <f t="shared" si="1"/>
        <v>50.800000000001091</v>
      </c>
      <c r="J30" s="201">
        <v>9979.9699999999993</v>
      </c>
      <c r="K30" s="199">
        <v>44855.667361111111</v>
      </c>
      <c r="L30" s="201">
        <v>10979.11</v>
      </c>
      <c r="M30" s="203">
        <f t="shared" si="2"/>
        <v>-50.8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15474</v>
      </c>
      <c r="T3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0" s="208">
        <f ca="1">IF(Tabla336106734811[[#This Row],[Equity]]&lt;Tabla336106734811[[#This Row],[Equity Peak]],(Tabla336106734811[[#This Row],[Equity Peak]]-Tabla336106734811[[#This Row],[Equity]])/Tabla336106734811[[#This Row],[Equity Peak]],"")</f>
        <v>4.3279337207864477E-2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0.17777777777519077</v>
      </c>
      <c r="AE30" s="210">
        <f t="shared" si="16"/>
        <v>0</v>
      </c>
      <c r="AF30" s="210">
        <f t="shared" si="17"/>
        <v>0.17777777777519077</v>
      </c>
      <c r="AG30" s="210">
        <f t="shared" si="18"/>
        <v>0</v>
      </c>
    </row>
    <row r="31" spans="1:35" ht="15" customHeight="1" x14ac:dyDescent="0.3">
      <c r="B31" s="196" t="s">
        <v>5</v>
      </c>
      <c r="C31" s="197" t="s">
        <v>13</v>
      </c>
      <c r="D31" s="198" t="str">
        <f t="shared" si="0"/>
        <v>C</v>
      </c>
      <c r="E31" s="199">
        <v>44855.09375</v>
      </c>
      <c r="F31" s="200" t="s">
        <v>92</v>
      </c>
      <c r="G31" s="201">
        <v>10944.58</v>
      </c>
      <c r="H31" s="201">
        <v>11002.24</v>
      </c>
      <c r="I31" s="202">
        <f t="shared" si="1"/>
        <v>57.659999999999854</v>
      </c>
      <c r="J31" s="201">
        <v>9868.18</v>
      </c>
      <c r="K31" s="199">
        <v>44855.252083333333</v>
      </c>
      <c r="L31" s="201">
        <v>11002.24</v>
      </c>
      <c r="M31" s="203">
        <f t="shared" si="2"/>
        <v>-57.66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15574</v>
      </c>
      <c r="T3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1" s="208">
        <f ca="1">IF(Tabla336106734811[[#This Row],[Equity]]&lt;Tabla336106734811[[#This Row],[Equity Peak]],(Tabla336106734811[[#This Row],[Equity Peak]]-Tabla336106734811[[#This Row],[Equity]])/Tabla336106734811[[#This Row],[Equity Peak]],"")</f>
        <v>3.709657474959812E-2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-1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0.15833333333284827</v>
      </c>
      <c r="AE31" s="210">
        <f t="shared" si="16"/>
        <v>0</v>
      </c>
      <c r="AF31" s="210">
        <f t="shared" si="17"/>
        <v>0.15833333333284827</v>
      </c>
      <c r="AG31" s="210">
        <f t="shared" si="18"/>
        <v>0</v>
      </c>
    </row>
    <row r="32" spans="1:35" ht="15" customHeight="1" x14ac:dyDescent="0.3">
      <c r="B32" s="196" t="s">
        <v>5</v>
      </c>
      <c r="C32" s="197" t="s">
        <v>13</v>
      </c>
      <c r="D32" s="198" t="str">
        <f t="shared" si="0"/>
        <v>C</v>
      </c>
      <c r="E32" s="199">
        <v>44854.15625</v>
      </c>
      <c r="F32" s="200" t="s">
        <v>92</v>
      </c>
      <c r="G32" s="201">
        <v>10995.24</v>
      </c>
      <c r="H32" s="201">
        <v>11050.7</v>
      </c>
      <c r="I32" s="202">
        <f t="shared" si="1"/>
        <v>55.460000000000946</v>
      </c>
      <c r="J32" s="201">
        <v>9959.9500000000007</v>
      </c>
      <c r="K32" s="199">
        <v>44854.34097222222</v>
      </c>
      <c r="L32" s="201">
        <v>11050.7</v>
      </c>
      <c r="M32" s="203">
        <f t="shared" si="2"/>
        <v>-55.46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15674</v>
      </c>
      <c r="T3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2" s="208">
        <f ca="1">IF(Tabla336106734811[[#This Row],[Equity]]&lt;Tabla336106734811[[#This Row],[Equity Peak]],(Tabla336106734811[[#This Row],[Equity Peak]]-Tabla336106734811[[#This Row],[Equity]])/Tabla336106734811[[#This Row],[Equity Peak]],"")</f>
        <v>3.0913812291331767E-2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-1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0.18472222222044365</v>
      </c>
      <c r="AE32" s="210">
        <f t="shared" si="16"/>
        <v>0</v>
      </c>
      <c r="AF32" s="210">
        <f t="shared" si="17"/>
        <v>0.18472222222044365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44852.635416666664</v>
      </c>
      <c r="F33" s="200" t="s">
        <v>92</v>
      </c>
      <c r="G33" s="201">
        <v>11312.42</v>
      </c>
      <c r="H33" s="201">
        <v>11272.07</v>
      </c>
      <c r="I33" s="202">
        <f t="shared" si="1"/>
        <v>40.350000000000364</v>
      </c>
      <c r="J33" s="201">
        <v>12065.69</v>
      </c>
      <c r="K33" s="199">
        <v>44852.703472222223</v>
      </c>
      <c r="L33" s="201">
        <v>11272.07</v>
      </c>
      <c r="M33" s="203">
        <f t="shared" si="2"/>
        <v>-40.35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15774</v>
      </c>
      <c r="T3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3" s="208">
        <f ca="1">IF(Tabla336106734811[[#This Row],[Equity]]&lt;Tabla336106734811[[#This Row],[Equity Peak]],(Tabla336106734811[[#This Row],[Equity Peak]]-Tabla336106734811[[#This Row],[Equity]])/Tabla336106734811[[#This Row],[Equity Peak]],"")</f>
        <v>2.4731049833065413E-2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-1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6.805555555911269E-2</v>
      </c>
      <c r="AE33" s="210">
        <f t="shared" si="16"/>
        <v>0</v>
      </c>
      <c r="AF33" s="210">
        <f t="shared" si="17"/>
        <v>6.805555555911269E-2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0"/>
        <v>C</v>
      </c>
      <c r="E34" s="199">
        <v>44852.3125</v>
      </c>
      <c r="F34" s="200" t="s">
        <v>92</v>
      </c>
      <c r="G34" s="201">
        <v>11294.69</v>
      </c>
      <c r="H34" s="201">
        <v>11250.42</v>
      </c>
      <c r="I34" s="202">
        <f t="shared" si="1"/>
        <v>44.270000000000437</v>
      </c>
      <c r="J34" s="201">
        <v>12120.98</v>
      </c>
      <c r="K34" s="199">
        <v>44852.372916666667</v>
      </c>
      <c r="L34" s="201">
        <v>11250.42</v>
      </c>
      <c r="M34" s="203">
        <f t="shared" si="2"/>
        <v>-44.27</v>
      </c>
      <c r="N34" s="204">
        <f t="shared" si="3"/>
        <v>-1</v>
      </c>
      <c r="O34" s="205">
        <f t="shared" si="4"/>
        <v>0</v>
      </c>
      <c r="P34" s="206">
        <f t="shared" si="5"/>
        <v>0</v>
      </c>
      <c r="Q34" s="206">
        <f t="shared" si="6"/>
        <v>-1</v>
      </c>
      <c r="R3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15874</v>
      </c>
      <c r="T3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4" s="208">
        <f ca="1">IF(Tabla336106734811[[#This Row],[Equity]]&lt;Tabla336106734811[[#This Row],[Equity Peak]],(Tabla336106734811[[#This Row],[Equity Peak]]-Tabla336106734811[[#This Row],[Equity]])/Tabla336106734811[[#This Row],[Equity Peak]],"")</f>
        <v>1.854828737479906E-2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-1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6.0416666667151731E-2</v>
      </c>
      <c r="AE34" s="210">
        <f t="shared" si="16"/>
        <v>0</v>
      </c>
      <c r="AF34" s="210">
        <f t="shared" si="17"/>
        <v>6.0416666667151731E-2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13</v>
      </c>
      <c r="D35" s="198" t="str">
        <f t="shared" si="0"/>
        <v>C</v>
      </c>
      <c r="E35" s="199">
        <v>44847.65625</v>
      </c>
      <c r="F35" s="200" t="s">
        <v>92</v>
      </c>
      <c r="G35" s="201">
        <v>10473.549999999999</v>
      </c>
      <c r="H35" s="201">
        <v>10511.24</v>
      </c>
      <c r="I35" s="202">
        <f t="shared" si="1"/>
        <v>37.690000000000509</v>
      </c>
      <c r="J35" s="201">
        <v>9770.08</v>
      </c>
      <c r="K35" s="199">
        <v>44847.699305555558</v>
      </c>
      <c r="L35" s="201">
        <v>10511.24</v>
      </c>
      <c r="M35" s="203">
        <f t="shared" si="2"/>
        <v>-37.69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15974</v>
      </c>
      <c r="T3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5" s="208">
        <f ca="1">IF(Tabla336106734811[[#This Row],[Equity]]&lt;Tabla336106734811[[#This Row],[Equity Peak]],(Tabla336106734811[[#This Row],[Equity Peak]]-Tabla336106734811[[#This Row],[Equity]])/Tabla336106734811[[#This Row],[Equity Peak]],"")</f>
        <v>1.2365524916532707E-2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-1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4.3055555557657499E-2</v>
      </c>
      <c r="AE35" s="210">
        <f t="shared" si="16"/>
        <v>0</v>
      </c>
      <c r="AF35" s="210">
        <f t="shared" si="17"/>
        <v>4.3055555557657499E-2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13</v>
      </c>
      <c r="D36" s="198" t="str">
        <f t="shared" si="0"/>
        <v>C</v>
      </c>
      <c r="E36" s="199">
        <v>44845.708333333336</v>
      </c>
      <c r="F36" s="200" t="s">
        <v>92</v>
      </c>
      <c r="G36" s="201">
        <v>10762.04</v>
      </c>
      <c r="H36" s="201">
        <v>10805.88</v>
      </c>
      <c r="I36" s="202">
        <f t="shared" si="1"/>
        <v>43.839999999998327</v>
      </c>
      <c r="J36" s="201">
        <v>9943.74</v>
      </c>
      <c r="K36" s="199">
        <v>44845.73541666667</v>
      </c>
      <c r="L36" s="201">
        <v>10805.88</v>
      </c>
      <c r="M36" s="203">
        <f t="shared" si="2"/>
        <v>-43.84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16074</v>
      </c>
      <c r="T3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6" s="208">
        <f ca="1">IF(Tabla336106734811[[#This Row],[Equity]]&lt;Tabla336106734811[[#This Row],[Equity Peak]],(Tabla336106734811[[#This Row],[Equity Peak]]-Tabla336106734811[[#This Row],[Equity]])/Tabla336106734811[[#This Row],[Equity Peak]],"")</f>
        <v>6.1827624582663533E-3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-1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2.7083333334303461E-2</v>
      </c>
      <c r="AE36" s="210">
        <f t="shared" si="16"/>
        <v>0</v>
      </c>
      <c r="AF36" s="210">
        <f t="shared" si="17"/>
        <v>2.7083333334303461E-2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13</v>
      </c>
      <c r="D37" s="198" t="str">
        <f t="shared" si="0"/>
        <v>C</v>
      </c>
      <c r="E37" s="199">
        <v>44841.65625</v>
      </c>
      <c r="F37" s="200" t="s">
        <v>92</v>
      </c>
      <c r="G37" s="201">
        <v>11293.9</v>
      </c>
      <c r="H37" s="201">
        <v>11332.2</v>
      </c>
      <c r="I37" s="202">
        <f t="shared" si="1"/>
        <v>38.300000000001091</v>
      </c>
      <c r="J37" s="201">
        <v>10578.94</v>
      </c>
      <c r="K37" s="199">
        <v>44844.869444444441</v>
      </c>
      <c r="L37" s="201">
        <v>10988.48</v>
      </c>
      <c r="M37" s="203">
        <f t="shared" si="2"/>
        <v>305.42</v>
      </c>
      <c r="N37" s="204">
        <f t="shared" si="3"/>
        <v>7.97</v>
      </c>
      <c r="O37" s="205">
        <f t="shared" si="4"/>
        <v>0</v>
      </c>
      <c r="P37" s="206">
        <f t="shared" si="5"/>
        <v>7.97</v>
      </c>
      <c r="Q37" s="206">
        <f t="shared" si="6"/>
        <v>0</v>
      </c>
      <c r="R3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16174</v>
      </c>
      <c r="T3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16174</v>
      </c>
      <c r="U37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7.97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3.2131944444408873</v>
      </c>
      <c r="AE37" s="210">
        <f t="shared" si="16"/>
        <v>3.2131944444408873</v>
      </c>
      <c r="AF37" s="210">
        <f t="shared" si="17"/>
        <v>0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13</v>
      </c>
      <c r="D38" s="198" t="str">
        <f t="shared" si="0"/>
        <v>C</v>
      </c>
      <c r="E38" s="199">
        <v>44834.958333333336</v>
      </c>
      <c r="F38" s="200" t="s">
        <v>92</v>
      </c>
      <c r="G38" s="201">
        <v>10961.7</v>
      </c>
      <c r="H38" s="201">
        <v>11019.47</v>
      </c>
      <c r="I38" s="202">
        <f t="shared" si="1"/>
        <v>57.769999999998618</v>
      </c>
      <c r="J38" s="201">
        <v>9883.3700000000008</v>
      </c>
      <c r="K38" s="199">
        <v>44837.626388888886</v>
      </c>
      <c r="L38" s="201">
        <v>11019.47</v>
      </c>
      <c r="M38" s="203">
        <f t="shared" si="2"/>
        <v>-57.77</v>
      </c>
      <c r="N38" s="204">
        <f t="shared" si="3"/>
        <v>-1</v>
      </c>
      <c r="O38" s="205">
        <f t="shared" si="4"/>
        <v>0</v>
      </c>
      <c r="P38" s="206">
        <f t="shared" si="5"/>
        <v>0</v>
      </c>
      <c r="Q38" s="206">
        <f t="shared" si="6"/>
        <v>-1</v>
      </c>
      <c r="R3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15377</v>
      </c>
      <c r="T3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38" s="208">
        <f ca="1">IF(Tabla336106734811[[#This Row],[Equity]]&lt;Tabla336106734811[[#This Row],[Equity Peak]],(Tabla336106734811[[#This Row],[Equity Peak]]-Tabla336106734811[[#This Row],[Equity]])/Tabla336106734811[[#This Row],[Equity Peak]],"")</f>
        <v>4.1632907447803055E-2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-1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2.6680555555503815</v>
      </c>
      <c r="AE38" s="210">
        <f t="shared" si="16"/>
        <v>0</v>
      </c>
      <c r="AF38" s="210">
        <f t="shared" si="17"/>
        <v>2.6680555555503815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13</v>
      </c>
      <c r="D39" s="198" t="str">
        <f t="shared" si="0"/>
        <v>C</v>
      </c>
      <c r="E39" s="199">
        <v>44833.875</v>
      </c>
      <c r="F39" s="200" t="s">
        <v>92</v>
      </c>
      <c r="G39" s="201">
        <v>11051.25</v>
      </c>
      <c r="H39" s="201">
        <v>11099.66</v>
      </c>
      <c r="I39" s="202">
        <f t="shared" si="1"/>
        <v>48.409999999999854</v>
      </c>
      <c r="J39" s="201">
        <v>10147.57</v>
      </c>
      <c r="K39" s="199">
        <v>44833.927777777775</v>
      </c>
      <c r="L39" s="201">
        <v>11099.66</v>
      </c>
      <c r="M39" s="203">
        <f t="shared" si="2"/>
        <v>-48.41</v>
      </c>
      <c r="N39" s="204">
        <f t="shared" si="3"/>
        <v>-1</v>
      </c>
      <c r="O39" s="205">
        <f t="shared" si="4"/>
        <v>0</v>
      </c>
      <c r="P39" s="206">
        <f t="shared" si="5"/>
        <v>0</v>
      </c>
      <c r="Q39" s="206">
        <f t="shared" si="6"/>
        <v>-1</v>
      </c>
      <c r="R3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15477</v>
      </c>
      <c r="T3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39" s="208">
        <f ca="1">IF(Tabla336106734811[[#This Row],[Equity]]&lt;Tabla336106734811[[#This Row],[Equity Peak]],(Tabla336106734811[[#This Row],[Equity Peak]]-Tabla336106734811[[#This Row],[Equity]])/Tabla336106734811[[#This Row],[Equity Peak]],"")</f>
        <v>3.5400436272982234E-2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-1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5.2777777775190771E-2</v>
      </c>
      <c r="AE39" s="210">
        <f t="shared" si="16"/>
        <v>0</v>
      </c>
      <c r="AF39" s="210">
        <f t="shared" si="17"/>
        <v>5.2777777775190771E-2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13</v>
      </c>
      <c r="D40" s="198" t="str">
        <f t="shared" si="0"/>
        <v>C</v>
      </c>
      <c r="E40" s="199">
        <v>44832.520833333336</v>
      </c>
      <c r="F40" s="200" t="s">
        <v>92</v>
      </c>
      <c r="G40" s="201">
        <v>11098.19</v>
      </c>
      <c r="H40" s="201">
        <v>11155.73</v>
      </c>
      <c r="I40" s="202">
        <f t="shared" si="1"/>
        <v>57.539999999999054</v>
      </c>
      <c r="J40" s="201">
        <v>10024.1</v>
      </c>
      <c r="K40" s="199">
        <v>44832.543055555558</v>
      </c>
      <c r="L40" s="201">
        <v>11155.73</v>
      </c>
      <c r="M40" s="203">
        <f t="shared" si="2"/>
        <v>-57.54</v>
      </c>
      <c r="N40" s="204">
        <f t="shared" si="3"/>
        <v>-1</v>
      </c>
      <c r="O40" s="205">
        <f t="shared" si="4"/>
        <v>0</v>
      </c>
      <c r="P40" s="206">
        <f t="shared" si="5"/>
        <v>0</v>
      </c>
      <c r="Q40" s="206">
        <f t="shared" si="6"/>
        <v>-1</v>
      </c>
      <c r="R4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15577</v>
      </c>
      <c r="T4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0" s="208">
        <f ca="1">IF(Tabla336106734811[[#This Row],[Equity]]&lt;Tabla336106734811[[#This Row],[Equity Peak]],(Tabla336106734811[[#This Row],[Equity Peak]]-Tabla336106734811[[#This Row],[Equity]])/Tabla336106734811[[#This Row],[Equity Peak]],"")</f>
        <v>2.9167965098161421E-2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-1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2.2222222221898846E-2</v>
      </c>
      <c r="AE40" s="210">
        <f t="shared" si="16"/>
        <v>0</v>
      </c>
      <c r="AF40" s="210">
        <f t="shared" si="17"/>
        <v>2.2222222221898846E-2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13</v>
      </c>
      <c r="D41" s="198" t="str">
        <f t="shared" si="0"/>
        <v>C</v>
      </c>
      <c r="E41" s="199">
        <v>44832.427083333336</v>
      </c>
      <c r="F41" s="200" t="s">
        <v>92</v>
      </c>
      <c r="G41" s="201">
        <v>11105.07</v>
      </c>
      <c r="H41" s="201">
        <v>11160.27</v>
      </c>
      <c r="I41" s="202">
        <f t="shared" si="1"/>
        <v>55.200000000000728</v>
      </c>
      <c r="J41" s="201">
        <v>10074.61</v>
      </c>
      <c r="K41" s="199">
        <v>44832.447222222225</v>
      </c>
      <c r="L41" s="201">
        <v>11160.27</v>
      </c>
      <c r="M41" s="203">
        <f t="shared" si="2"/>
        <v>-55.2</v>
      </c>
      <c r="N41" s="204">
        <f t="shared" si="3"/>
        <v>-1</v>
      </c>
      <c r="O41" s="205">
        <f t="shared" si="4"/>
        <v>0</v>
      </c>
      <c r="P41" s="206">
        <f t="shared" si="5"/>
        <v>0</v>
      </c>
      <c r="Q41" s="206">
        <f t="shared" si="6"/>
        <v>-1</v>
      </c>
      <c r="R4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15677</v>
      </c>
      <c r="T4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1" s="208">
        <f ca="1">IF(Tabla336106734811[[#This Row],[Equity]]&lt;Tabla336106734811[[#This Row],[Equity Peak]],(Tabla336106734811[[#This Row],[Equity Peak]]-Tabla336106734811[[#This Row],[Equity]])/Tabla336106734811[[#This Row],[Equity Peak]],"")</f>
        <v>2.2935493923340603E-2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-1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2.0138888889050577E-2</v>
      </c>
      <c r="AE41" s="210">
        <f t="shared" si="16"/>
        <v>0</v>
      </c>
      <c r="AF41" s="210">
        <f t="shared" si="17"/>
        <v>2.0138888889050577E-2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13</v>
      </c>
      <c r="D42" s="198" t="str">
        <f t="shared" si="0"/>
        <v>C</v>
      </c>
      <c r="E42" s="199">
        <v>44832.21875</v>
      </c>
      <c r="F42" s="200" t="s">
        <v>92</v>
      </c>
      <c r="G42" s="201">
        <v>11135.97</v>
      </c>
      <c r="H42" s="201">
        <v>11190.54</v>
      </c>
      <c r="I42" s="202">
        <f t="shared" si="1"/>
        <v>54.570000000001528</v>
      </c>
      <c r="J42" s="201">
        <v>10117.36</v>
      </c>
      <c r="K42" s="199">
        <v>44832.313194444447</v>
      </c>
      <c r="L42" s="201">
        <v>11190.54</v>
      </c>
      <c r="M42" s="203">
        <f t="shared" si="2"/>
        <v>-54.57</v>
      </c>
      <c r="N42" s="204">
        <f t="shared" si="3"/>
        <v>-1</v>
      </c>
      <c r="O42" s="205">
        <f t="shared" si="4"/>
        <v>0</v>
      </c>
      <c r="P42" s="206">
        <f t="shared" si="5"/>
        <v>0</v>
      </c>
      <c r="Q42" s="206">
        <f t="shared" si="6"/>
        <v>-1</v>
      </c>
      <c r="R4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15777</v>
      </c>
      <c r="T4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2" s="208">
        <f ca="1">IF(Tabla336106734811[[#This Row],[Equity]]&lt;Tabla336106734811[[#This Row],[Equity Peak]],(Tabla336106734811[[#This Row],[Equity Peak]]-Tabla336106734811[[#This Row],[Equity]])/Tabla336106734811[[#This Row],[Equity Peak]],"")</f>
        <v>1.6703022748519789E-2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-1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9.4444444446708076E-2</v>
      </c>
      <c r="AE42" s="210">
        <f t="shared" si="16"/>
        <v>0</v>
      </c>
      <c r="AF42" s="210">
        <f t="shared" si="17"/>
        <v>9.4444444446708076E-2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13</v>
      </c>
      <c r="D43" s="198" t="str">
        <f t="shared" si="0"/>
        <v>C</v>
      </c>
      <c r="E43" s="199">
        <v>44827.5</v>
      </c>
      <c r="F43" s="200" t="s">
        <v>92</v>
      </c>
      <c r="G43" s="201">
        <v>11394.57</v>
      </c>
      <c r="H43" s="201">
        <v>11441.83</v>
      </c>
      <c r="I43" s="202">
        <f t="shared" si="1"/>
        <v>47.260000000000218</v>
      </c>
      <c r="J43" s="201">
        <v>10512.47</v>
      </c>
      <c r="K43" s="199">
        <v>44827.947222222225</v>
      </c>
      <c r="L43" s="201">
        <v>11300.57</v>
      </c>
      <c r="M43" s="203">
        <f t="shared" si="2"/>
        <v>94</v>
      </c>
      <c r="N43" s="204">
        <f t="shared" si="3"/>
        <v>1.99</v>
      </c>
      <c r="O43" s="205">
        <f t="shared" si="4"/>
        <v>0</v>
      </c>
      <c r="P43" s="206">
        <f t="shared" si="5"/>
        <v>1.99</v>
      </c>
      <c r="Q43" s="206">
        <f t="shared" si="6"/>
        <v>0</v>
      </c>
      <c r="R4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15877</v>
      </c>
      <c r="T4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3" s="208">
        <f ca="1">IF(Tabla336106734811[[#This Row],[Equity]]&lt;Tabla336106734811[[#This Row],[Equity Peak]],(Tabla336106734811[[#This Row],[Equity Peak]]-Tabla336106734811[[#This Row],[Equity]])/Tabla336106734811[[#This Row],[Equity Peak]],"")</f>
        <v>1.0470551573698972E-2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1.99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0.44722222222480923</v>
      </c>
      <c r="AE43" s="210">
        <f t="shared" si="16"/>
        <v>0.44722222222480923</v>
      </c>
      <c r="AF43" s="210">
        <f t="shared" si="17"/>
        <v>0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13</v>
      </c>
      <c r="D44" s="198" t="str">
        <f t="shared" si="0"/>
        <v>C</v>
      </c>
      <c r="E44" s="199">
        <v>44826.75</v>
      </c>
      <c r="F44" s="200" t="s">
        <v>92</v>
      </c>
      <c r="G44" s="201">
        <v>11464.41</v>
      </c>
      <c r="H44" s="201">
        <v>11531.81</v>
      </c>
      <c r="I44" s="202">
        <f t="shared" si="1"/>
        <v>67.399999999999636</v>
      </c>
      <c r="J44" s="201">
        <v>10206.18</v>
      </c>
      <c r="K44" s="199">
        <v>44826.918055555558</v>
      </c>
      <c r="L44" s="201">
        <v>11531.81</v>
      </c>
      <c r="M44" s="203">
        <f t="shared" si="2"/>
        <v>-67.400000000000006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15678</v>
      </c>
      <c r="T4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4" s="208">
        <f ca="1">IF(Tabla336106734811[[#This Row],[Equity]]&lt;Tabla336106734811[[#This Row],[Equity Peak]],(Tabla336106734811[[#This Row],[Equity Peak]]-Tabla336106734811[[#This Row],[Equity]])/Tabla336106734811[[#This Row],[Equity Peak]],"")</f>
        <v>2.2873169211592395E-2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-1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0.1680555555576575</v>
      </c>
      <c r="AE44" s="210">
        <f t="shared" si="16"/>
        <v>0</v>
      </c>
      <c r="AF44" s="210">
        <f t="shared" si="17"/>
        <v>0.1680555555576575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13</v>
      </c>
      <c r="D45" s="198" t="str">
        <f t="shared" si="0"/>
        <v>C</v>
      </c>
      <c r="E45" s="199">
        <v>44825.947916666664</v>
      </c>
      <c r="F45" s="200" t="s">
        <v>92</v>
      </c>
      <c r="G45" s="201">
        <v>11673.28</v>
      </c>
      <c r="H45" s="201">
        <v>11726.02</v>
      </c>
      <c r="I45" s="202">
        <f t="shared" si="1"/>
        <v>52.739999999999782</v>
      </c>
      <c r="J45" s="201">
        <v>10688.81</v>
      </c>
      <c r="K45" s="199">
        <v>44826.461805555555</v>
      </c>
      <c r="L45" s="201">
        <v>11668.38</v>
      </c>
      <c r="M45" s="203">
        <f t="shared" si="2"/>
        <v>4.9000000000000004</v>
      </c>
      <c r="N45" s="204">
        <f t="shared" si="3"/>
        <v>0.09</v>
      </c>
      <c r="O45" s="205">
        <f t="shared" si="4"/>
        <v>0</v>
      </c>
      <c r="P45" s="206">
        <f t="shared" si="5"/>
        <v>0.09</v>
      </c>
      <c r="Q45" s="206">
        <f t="shared" si="6"/>
        <v>0</v>
      </c>
      <c r="R4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15778</v>
      </c>
      <c r="T4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5" s="208">
        <f ca="1">IF(Tabla336106734811[[#This Row],[Equity]]&lt;Tabla336106734811[[#This Row],[Equity Peak]],(Tabla336106734811[[#This Row],[Equity Peak]]-Tabla336106734811[[#This Row],[Equity]])/Tabla336106734811[[#This Row],[Equity Peak]],"")</f>
        <v>1.6640698036771581E-2</v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0.09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0.51388888889050577</v>
      </c>
      <c r="AE45" s="210">
        <f t="shared" si="16"/>
        <v>0.51388888889050577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13</v>
      </c>
      <c r="D46" s="198" t="str">
        <f t="shared" si="0"/>
        <v>C</v>
      </c>
      <c r="E46" s="199">
        <v>44825.885416666664</v>
      </c>
      <c r="F46" s="200" t="s">
        <v>92</v>
      </c>
      <c r="G46" s="201">
        <v>11717.28</v>
      </c>
      <c r="H46" s="201">
        <v>11752.38</v>
      </c>
      <c r="I46" s="202">
        <f t="shared" si="1"/>
        <v>35.099999999998545</v>
      </c>
      <c r="J46" s="201">
        <v>11062.15</v>
      </c>
      <c r="K46" s="199">
        <v>44825.888888888891</v>
      </c>
      <c r="L46" s="201">
        <v>11752.38</v>
      </c>
      <c r="M46" s="203">
        <f t="shared" si="2"/>
        <v>-35.1</v>
      </c>
      <c r="N46" s="204">
        <f t="shared" si="3"/>
        <v>-1</v>
      </c>
      <c r="O46" s="205">
        <f t="shared" si="4"/>
        <v>0</v>
      </c>
      <c r="P46" s="206">
        <f t="shared" si="5"/>
        <v>0</v>
      </c>
      <c r="Q46" s="206">
        <f t="shared" si="6"/>
        <v>-1</v>
      </c>
      <c r="R4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15769</v>
      </c>
      <c r="T4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6" s="208">
        <f ca="1">IF(Tabla336106734811[[#This Row],[Equity]]&lt;Tabla336106734811[[#This Row],[Equity Peak]],(Tabla336106734811[[#This Row],[Equity Peak]]-Tabla336106734811[[#This Row],[Equity]])/Tabla336106734811[[#This Row],[Equity Peak]],"")</f>
        <v>1.7201620442505453E-2</v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-1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3.4722222262644209E-3</v>
      </c>
      <c r="AE46" s="210">
        <f t="shared" si="16"/>
        <v>0</v>
      </c>
      <c r="AF46" s="210">
        <f t="shared" si="17"/>
        <v>3.4722222262644209E-3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13</v>
      </c>
      <c r="D47" s="198" t="str">
        <f t="shared" si="0"/>
        <v>C</v>
      </c>
      <c r="E47" s="199">
        <v>44820.052083333336</v>
      </c>
      <c r="F47" s="200" t="s">
        <v>92</v>
      </c>
      <c r="G47" s="201">
        <v>11833.4</v>
      </c>
      <c r="H47" s="201">
        <v>11879.56</v>
      </c>
      <c r="I47" s="202">
        <f t="shared" si="1"/>
        <v>46.159999999999854</v>
      </c>
      <c r="J47" s="201">
        <v>10971.74</v>
      </c>
      <c r="K47" s="199">
        <v>44820.732638888891</v>
      </c>
      <c r="L47" s="201">
        <v>11822.23</v>
      </c>
      <c r="M47" s="203">
        <f t="shared" si="2"/>
        <v>11.17</v>
      </c>
      <c r="N47" s="204">
        <f t="shared" si="3"/>
        <v>0.24</v>
      </c>
      <c r="O47" s="205">
        <f t="shared" si="4"/>
        <v>0</v>
      </c>
      <c r="P47" s="206">
        <f t="shared" si="5"/>
        <v>0.24</v>
      </c>
      <c r="Q47" s="206">
        <f t="shared" si="6"/>
        <v>0</v>
      </c>
      <c r="R4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15869</v>
      </c>
      <c r="T4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7" s="208">
        <f ca="1">IF(Tabla336106734811[[#This Row],[Equity]]&lt;Tabla336106734811[[#This Row],[Equity Peak]],(Tabla336106734811[[#This Row],[Equity Peak]]-Tabla336106734811[[#This Row],[Equity]])/Tabla336106734811[[#This Row],[Equity Peak]],"")</f>
        <v>1.0969149267684638E-2</v>
      </c>
      <c r="V47" s="209">
        <f t="shared" si="7"/>
        <v>0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0.24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0.68055555555474712</v>
      </c>
      <c r="AE47" s="210">
        <f t="shared" si="16"/>
        <v>0.68055555555474712</v>
      </c>
      <c r="AF47" s="210">
        <f t="shared" si="17"/>
        <v>0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0"/>
        <v>C</v>
      </c>
      <c r="E48" s="199">
        <v>44819.927083333336</v>
      </c>
      <c r="F48" s="200" t="s">
        <v>92</v>
      </c>
      <c r="G48" s="201">
        <v>11889.52</v>
      </c>
      <c r="H48" s="201">
        <v>11931.52</v>
      </c>
      <c r="I48" s="202">
        <f t="shared" si="1"/>
        <v>42</v>
      </c>
      <c r="J48" s="201">
        <v>11105.51</v>
      </c>
      <c r="K48" s="199">
        <v>44819.951388888891</v>
      </c>
      <c r="L48" s="201">
        <v>11931.52</v>
      </c>
      <c r="M48" s="203">
        <f t="shared" si="2"/>
        <v>-42</v>
      </c>
      <c r="N48" s="204">
        <f t="shared" si="3"/>
        <v>-1</v>
      </c>
      <c r="O48" s="205">
        <f t="shared" si="4"/>
        <v>0</v>
      </c>
      <c r="P48" s="206">
        <f t="shared" si="5"/>
        <v>0</v>
      </c>
      <c r="Q48" s="206">
        <f t="shared" si="6"/>
        <v>-1</v>
      </c>
      <c r="R4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15845</v>
      </c>
      <c r="T4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8" s="208">
        <f ca="1">IF(Tabla336106734811[[#This Row],[Equity]]&lt;Tabla336106734811[[#This Row],[Equity Peak]],(Tabla336106734811[[#This Row],[Equity Peak]]-Tabla336106734811[[#This Row],[Equity]])/Tabla336106734811[[#This Row],[Equity Peak]],"")</f>
        <v>1.2464942349641633E-2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-1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2.4305555554747116E-2</v>
      </c>
      <c r="AE48" s="210">
        <f t="shared" si="16"/>
        <v>0</v>
      </c>
      <c r="AF48" s="210">
        <f t="shared" si="17"/>
        <v>2.4305555554747116E-2</v>
      </c>
      <c r="AG48" s="210">
        <f t="shared" si="18"/>
        <v>0</v>
      </c>
    </row>
    <row r="49" spans="2:33" ht="15" customHeight="1" x14ac:dyDescent="0.3">
      <c r="B49" s="196" t="s">
        <v>5</v>
      </c>
      <c r="C49" s="197" t="s">
        <v>13</v>
      </c>
      <c r="D49" s="198" t="str">
        <f t="shared" si="0"/>
        <v>C</v>
      </c>
      <c r="E49" s="199">
        <v>44819.75</v>
      </c>
      <c r="F49" s="200" t="s">
        <v>92</v>
      </c>
      <c r="G49" s="201">
        <v>11927.02</v>
      </c>
      <c r="H49" s="201">
        <v>11964.61</v>
      </c>
      <c r="I49" s="202">
        <f t="shared" si="1"/>
        <v>37.590000000000146</v>
      </c>
      <c r="J49" s="201">
        <v>11225.38</v>
      </c>
      <c r="K49" s="199">
        <v>44819.76666666667</v>
      </c>
      <c r="L49" s="201">
        <v>11964.61</v>
      </c>
      <c r="M49" s="203">
        <f t="shared" si="2"/>
        <v>-37.590000000000003</v>
      </c>
      <c r="N49" s="204">
        <f t="shared" si="3"/>
        <v>-1</v>
      </c>
      <c r="O49" s="205">
        <f t="shared" si="4"/>
        <v>0</v>
      </c>
      <c r="P49" s="206">
        <f t="shared" si="5"/>
        <v>0</v>
      </c>
      <c r="Q49" s="206">
        <f t="shared" si="6"/>
        <v>-1</v>
      </c>
      <c r="R4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15945</v>
      </c>
      <c r="T4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49" s="208">
        <f ca="1">IF(Tabla336106734811[[#This Row],[Equity]]&lt;Tabla336106734811[[#This Row],[Equity Peak]],(Tabla336106734811[[#This Row],[Equity Peak]]-Tabla336106734811[[#This Row],[Equity]])/Tabla336106734811[[#This Row],[Equity Peak]],"")</f>
        <v>6.2324711748208165E-3</v>
      </c>
      <c r="V49" s="209">
        <f t="shared" si="7"/>
        <v>0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-1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1.6666666670062114E-2</v>
      </c>
      <c r="AE49" s="210">
        <f t="shared" si="16"/>
        <v>0</v>
      </c>
      <c r="AF49" s="210">
        <f t="shared" si="17"/>
        <v>1.6666666670062114E-2</v>
      </c>
      <c r="AG49" s="210">
        <f t="shared" si="18"/>
        <v>0</v>
      </c>
    </row>
    <row r="50" spans="2:33" ht="15" customHeight="1" x14ac:dyDescent="0.3">
      <c r="B50" s="196" t="s">
        <v>5</v>
      </c>
      <c r="C50" s="197" t="s">
        <v>13</v>
      </c>
      <c r="D50" s="198" t="str">
        <f t="shared" si="0"/>
        <v>C</v>
      </c>
      <c r="E50" s="199">
        <v>44817.697916666664</v>
      </c>
      <c r="F50" s="200" t="s">
        <v>92</v>
      </c>
      <c r="G50" s="201">
        <v>12336.97</v>
      </c>
      <c r="H50" s="201">
        <v>12373.07</v>
      </c>
      <c r="I50" s="202">
        <f t="shared" si="1"/>
        <v>36.100000000000364</v>
      </c>
      <c r="J50" s="201">
        <v>11663.05</v>
      </c>
      <c r="K50" s="199">
        <v>44818.698611111111</v>
      </c>
      <c r="L50" s="201">
        <v>12131.06</v>
      </c>
      <c r="M50" s="203">
        <f t="shared" si="2"/>
        <v>205.91</v>
      </c>
      <c r="N50" s="204">
        <f t="shared" si="3"/>
        <v>5.7</v>
      </c>
      <c r="O50" s="205">
        <f t="shared" si="4"/>
        <v>0</v>
      </c>
      <c r="P50" s="206">
        <f t="shared" si="5"/>
        <v>5.7</v>
      </c>
      <c r="Q50" s="206">
        <f t="shared" si="6"/>
        <v>0</v>
      </c>
      <c r="R5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16045</v>
      </c>
      <c r="T5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16045</v>
      </c>
      <c r="U50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50" s="209">
        <f t="shared" si="7"/>
        <v>0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5.7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1.0006944444467081</v>
      </c>
      <c r="AE50" s="210">
        <f t="shared" si="16"/>
        <v>1.0006944444467081</v>
      </c>
      <c r="AF50" s="210">
        <f t="shared" si="17"/>
        <v>0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13</v>
      </c>
      <c r="D51" s="198" t="str">
        <f t="shared" si="0"/>
        <v>C</v>
      </c>
      <c r="E51" s="199">
        <v>44817.666666666664</v>
      </c>
      <c r="F51" s="200" t="s">
        <v>92</v>
      </c>
      <c r="G51" s="201">
        <v>12373.62</v>
      </c>
      <c r="H51" s="201">
        <v>12408.17</v>
      </c>
      <c r="I51" s="202">
        <f t="shared" si="1"/>
        <v>34.549999999999272</v>
      </c>
      <c r="J51" s="201">
        <v>11728.76</v>
      </c>
      <c r="K51" s="199">
        <v>44817.688194444447</v>
      </c>
      <c r="L51" s="201">
        <v>12408.17</v>
      </c>
      <c r="M51" s="203">
        <f t="shared" si="2"/>
        <v>-34.549999999999997</v>
      </c>
      <c r="N51" s="204">
        <f t="shared" si="3"/>
        <v>-1</v>
      </c>
      <c r="O51" s="205">
        <f t="shared" si="4"/>
        <v>0</v>
      </c>
      <c r="P51" s="206">
        <f t="shared" si="5"/>
        <v>0</v>
      </c>
      <c r="Q51" s="206">
        <f t="shared" si="6"/>
        <v>-1</v>
      </c>
      <c r="R5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15475</v>
      </c>
      <c r="T5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1" s="208">
        <f ca="1">IF(Tabla336106734811[[#This Row],[Equity]]&lt;Tabla336106734811[[#This Row],[Equity Peak]],(Tabla336106734811[[#This Row],[Equity Peak]]-Tabla336106734811[[#This Row],[Equity]])/Tabla336106734811[[#This Row],[Equity Peak]],"")</f>
        <v>1.2948080112259217E-2</v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-1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2.1527777782466728E-2</v>
      </c>
      <c r="AE51" s="210">
        <f t="shared" si="16"/>
        <v>0</v>
      </c>
      <c r="AF51" s="210">
        <f t="shared" si="17"/>
        <v>2.1527777782466728E-2</v>
      </c>
      <c r="AG51" s="210">
        <f t="shared" si="18"/>
        <v>0</v>
      </c>
    </row>
    <row r="52" spans="2:33" ht="15" customHeight="1" x14ac:dyDescent="0.3">
      <c r="B52" s="196" t="s">
        <v>5</v>
      </c>
      <c r="C52" s="197" t="s">
        <v>15</v>
      </c>
      <c r="D52" s="198" t="str">
        <f t="shared" si="0"/>
        <v>C</v>
      </c>
      <c r="E52" s="199">
        <v>44813.84375</v>
      </c>
      <c r="F52" s="200" t="s">
        <v>92</v>
      </c>
      <c r="G52" s="201">
        <v>12580.6</v>
      </c>
      <c r="H52" s="201">
        <v>12549.78</v>
      </c>
      <c r="I52" s="202">
        <f t="shared" si="1"/>
        <v>30.819999999999709</v>
      </c>
      <c r="J52" s="201">
        <v>13155.87</v>
      </c>
      <c r="K52" s="199">
        <v>44816.788888888892</v>
      </c>
      <c r="L52" s="201">
        <v>12643.39</v>
      </c>
      <c r="M52" s="203">
        <f t="shared" si="2"/>
        <v>62.79</v>
      </c>
      <c r="N52" s="204">
        <f t="shared" si="3"/>
        <v>2.04</v>
      </c>
      <c r="O52" s="205">
        <f t="shared" si="4"/>
        <v>0</v>
      </c>
      <c r="P52" s="206">
        <f t="shared" si="5"/>
        <v>2.04</v>
      </c>
      <c r="Q52" s="206">
        <f t="shared" si="6"/>
        <v>0</v>
      </c>
      <c r="R5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15575</v>
      </c>
      <c r="T5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2" s="208">
        <f ca="1">IF(Tabla336106734811[[#This Row],[Equity]]&lt;Tabla336106734811[[#This Row],[Equity Peak]],(Tabla336106734811[[#This Row],[Equity Peak]]-Tabla336106734811[[#This Row],[Equity]])/Tabla336106734811[[#This Row],[Equity Peak]],"")</f>
        <v>6.5697155249394056E-3</v>
      </c>
      <c r="V52" s="209">
        <f t="shared" si="7"/>
        <v>0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2.04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2.945138888891961</v>
      </c>
      <c r="AE52" s="210">
        <f t="shared" si="16"/>
        <v>2.945138888891961</v>
      </c>
      <c r="AF52" s="210">
        <f t="shared" si="17"/>
        <v>0</v>
      </c>
      <c r="AG52" s="210">
        <f t="shared" si="18"/>
        <v>0</v>
      </c>
    </row>
    <row r="53" spans="2:33" ht="15" customHeight="1" x14ac:dyDescent="0.3">
      <c r="B53" s="196" t="s">
        <v>5</v>
      </c>
      <c r="C53" s="197" t="s">
        <v>15</v>
      </c>
      <c r="D53" s="198" t="str">
        <f t="shared" ref="D53:D84" si="19">IF(E53&lt;&gt;"",IF(K53&lt;&gt;"","C","O"),"")</f>
        <v>C</v>
      </c>
      <c r="E53" s="199">
        <v>44813.739583333336</v>
      </c>
      <c r="F53" s="200" t="s">
        <v>92</v>
      </c>
      <c r="G53" s="201">
        <v>12555.48</v>
      </c>
      <c r="H53" s="201">
        <v>12523.19</v>
      </c>
      <c r="I53" s="202">
        <f t="shared" ref="I53:I84" si="20">ABS(G53-H53)</f>
        <v>32.289999999999054</v>
      </c>
      <c r="J53" s="201">
        <v>13158.16</v>
      </c>
      <c r="K53" s="199">
        <v>44813.757638888892</v>
      </c>
      <c r="L53" s="201">
        <v>12523.19</v>
      </c>
      <c r="M53" s="203">
        <f t="shared" ref="M53:M84" si="21">ROUND(IF(C53="L",(L53-G53),(G53-L53)),4)</f>
        <v>-32.29</v>
      </c>
      <c r="N53" s="204">
        <f t="shared" ref="N53:N84" si="22">IFERROR(ROUND((M53/I53),2),"")</f>
        <v>-1</v>
      </c>
      <c r="O53" s="205">
        <f t="shared" ref="O53:O84" si="23">IF(D53="O",IF(N53&lt;0,N53,0),0)</f>
        <v>0</v>
      </c>
      <c r="P53" s="206">
        <f t="shared" ref="P53:P84" si="24">IF(N53&gt;= 0,N53,0)</f>
        <v>0</v>
      </c>
      <c r="Q53" s="206">
        <f t="shared" ref="Q53:Q84" si="25">IF(N53&lt;0,N53,0)</f>
        <v>-1</v>
      </c>
      <c r="R5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15371</v>
      </c>
      <c r="T5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3" s="208">
        <f ca="1">IF(Tabla336106734811[[#This Row],[Equity]]&lt;Tabla336106734811[[#This Row],[Equity Peak]],(Tabla336106734811[[#This Row],[Equity Peak]]-Tabla336106734811[[#This Row],[Equity]])/Tabla336106734811[[#This Row],[Equity Peak]],"")</f>
        <v>1.9581579283071821E-2</v>
      </c>
      <c r="V53" s="209">
        <f t="shared" ref="V53:V84" si="26">IF(B53="FX",N53,0)</f>
        <v>0</v>
      </c>
      <c r="W53" s="209">
        <f t="shared" ref="W53:W84" si="27">IF(D53="O",IF(V53&lt;0,V53,0),0)</f>
        <v>0</v>
      </c>
      <c r="X53" s="209">
        <f t="shared" ref="X53:X84" si="28">IF(B53="COM",N53,0)</f>
        <v>0</v>
      </c>
      <c r="Y53" s="209">
        <f t="shared" ref="Y53:Y84" si="29">IF(D53="O",IF(X53&lt;0,X53,0),0)</f>
        <v>0</v>
      </c>
      <c r="Z53" s="209">
        <f t="shared" ref="Z53:Z84" si="30">IF(B53="IND",N53,0)</f>
        <v>-1</v>
      </c>
      <c r="AA53" s="205">
        <f t="shared" ref="AA53:AA84" si="31">IF(D53="O",IF(Z53&lt;0,Z53,0),0)</f>
        <v>0</v>
      </c>
      <c r="AB53" s="209">
        <f t="shared" ref="AB53:AB84" si="32">IF(B53="CRYPTO",N53,0)</f>
        <v>0</v>
      </c>
      <c r="AC53" s="205">
        <f t="shared" ref="AC53:AC84" si="33">IF(D53="O",IF(AB53&lt;0,AB53,0),0)</f>
        <v>0</v>
      </c>
      <c r="AD53" s="210">
        <f t="shared" ref="AD53:AD84" si="34">IF(K53&lt;&gt;"",K53-E53,0)</f>
        <v>1.8055555556202307E-2</v>
      </c>
      <c r="AE53" s="210">
        <f t="shared" ref="AE53:AE84" si="35">IF(N53&gt;0,AD53,0)</f>
        <v>0</v>
      </c>
      <c r="AF53" s="210">
        <f t="shared" ref="AF53:AF84" si="36">IF(N53&lt;0,AD53,0)</f>
        <v>1.8055555556202307E-2</v>
      </c>
      <c r="AG53" s="210">
        <f t="shared" ref="AG53:AG84" si="37">IF(N53=0,AD53,0)</f>
        <v>0</v>
      </c>
    </row>
    <row r="54" spans="2:33" ht="15" customHeight="1" x14ac:dyDescent="0.3">
      <c r="B54" s="196" t="s">
        <v>5</v>
      </c>
      <c r="C54" s="197" t="s">
        <v>13</v>
      </c>
      <c r="D54" s="198" t="str">
        <f t="shared" si="19"/>
        <v>C</v>
      </c>
      <c r="E54" s="199">
        <v>44810.71875</v>
      </c>
      <c r="F54" s="200" t="s">
        <v>92</v>
      </c>
      <c r="G54" s="201">
        <v>11957.41</v>
      </c>
      <c r="H54" s="201">
        <v>11993.55</v>
      </c>
      <c r="I54" s="202">
        <f t="shared" si="20"/>
        <v>36.139999999999418</v>
      </c>
      <c r="J54" s="201">
        <v>11282.88</v>
      </c>
      <c r="K54" s="199">
        <v>44810.728472222225</v>
      </c>
      <c r="L54" s="201">
        <v>11993.55</v>
      </c>
      <c r="M54" s="203">
        <f t="shared" si="21"/>
        <v>-36.14</v>
      </c>
      <c r="N54" s="204">
        <f t="shared" si="22"/>
        <v>-1</v>
      </c>
      <c r="O54" s="205">
        <f t="shared" si="23"/>
        <v>0</v>
      </c>
      <c r="P54" s="206">
        <f t="shared" si="24"/>
        <v>0</v>
      </c>
      <c r="Q54" s="206">
        <f t="shared" si="25"/>
        <v>-1</v>
      </c>
      <c r="R5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15471</v>
      </c>
      <c r="T5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4" s="208">
        <f ca="1">IF(Tabla336106734811[[#This Row],[Equity]]&lt;Tabla336106734811[[#This Row],[Equity Peak]],(Tabla336106734811[[#This Row],[Equity Peak]]-Tabla336106734811[[#This Row],[Equity]])/Tabla336106734811[[#This Row],[Equity Peak]],"")</f>
        <v>1.3203214695752009E-2</v>
      </c>
      <c r="V54" s="209">
        <f t="shared" si="26"/>
        <v>0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-1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9.7222222248092294E-3</v>
      </c>
      <c r="AE54" s="210">
        <f t="shared" si="35"/>
        <v>0</v>
      </c>
      <c r="AF54" s="210">
        <f t="shared" si="36"/>
        <v>9.7222222248092294E-3</v>
      </c>
      <c r="AG54" s="210">
        <f t="shared" si="37"/>
        <v>0</v>
      </c>
    </row>
    <row r="55" spans="2:33" ht="15" customHeight="1" x14ac:dyDescent="0.3">
      <c r="B55" s="196" t="s">
        <v>5</v>
      </c>
      <c r="C55" s="197" t="s">
        <v>13</v>
      </c>
      <c r="D55" s="198" t="str">
        <f t="shared" si="19"/>
        <v>C</v>
      </c>
      <c r="E55" s="199">
        <v>44805.0625</v>
      </c>
      <c r="F55" s="200" t="s">
        <v>92</v>
      </c>
      <c r="G55" s="201">
        <v>12210.98</v>
      </c>
      <c r="H55" s="201">
        <v>12260.15</v>
      </c>
      <c r="I55" s="202">
        <f t="shared" si="20"/>
        <v>49.170000000000073</v>
      </c>
      <c r="J55" s="201">
        <v>11293.19</v>
      </c>
      <c r="K55" s="199">
        <v>44805.893750000003</v>
      </c>
      <c r="L55" s="201">
        <v>12165.12</v>
      </c>
      <c r="M55" s="203">
        <f t="shared" si="21"/>
        <v>45.86</v>
      </c>
      <c r="N55" s="204">
        <f t="shared" si="22"/>
        <v>0.93</v>
      </c>
      <c r="O55" s="205">
        <f t="shared" si="23"/>
        <v>0</v>
      </c>
      <c r="P55" s="206">
        <f t="shared" si="24"/>
        <v>0.93</v>
      </c>
      <c r="Q55" s="206">
        <f t="shared" si="25"/>
        <v>0</v>
      </c>
      <c r="R5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15571</v>
      </c>
      <c r="T5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5" s="208">
        <f ca="1">IF(Tabla336106734811[[#This Row],[Equity]]&lt;Tabla336106734811[[#This Row],[Equity Peak]],(Tabla336106734811[[#This Row],[Equity Peak]]-Tabla336106734811[[#This Row],[Equity]])/Tabla336106734811[[#This Row],[Equity Peak]],"")</f>
        <v>6.8248501084321976E-3</v>
      </c>
      <c r="V55" s="209">
        <f t="shared" si="26"/>
        <v>0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0.93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0.83125000000291038</v>
      </c>
      <c r="AE55" s="210">
        <f t="shared" si="35"/>
        <v>0.83125000000291038</v>
      </c>
      <c r="AF55" s="210">
        <f t="shared" si="36"/>
        <v>0</v>
      </c>
      <c r="AG55" s="210">
        <f t="shared" si="37"/>
        <v>0</v>
      </c>
    </row>
    <row r="56" spans="2:33" ht="15" customHeight="1" x14ac:dyDescent="0.3">
      <c r="B56" s="196" t="s">
        <v>5</v>
      </c>
      <c r="C56" s="197" t="s">
        <v>13</v>
      </c>
      <c r="D56" s="198" t="str">
        <f t="shared" si="19"/>
        <v>C</v>
      </c>
      <c r="E56" s="199">
        <v>44803.864583333336</v>
      </c>
      <c r="F56" s="200" t="s">
        <v>92</v>
      </c>
      <c r="G56" s="201">
        <v>12238.27</v>
      </c>
      <c r="H56" s="201">
        <v>12281.9</v>
      </c>
      <c r="I56" s="202">
        <f t="shared" si="20"/>
        <v>43.6299999999992</v>
      </c>
      <c r="J56" s="201">
        <v>11423.85</v>
      </c>
      <c r="K56" s="199">
        <v>44803.868750000001</v>
      </c>
      <c r="L56" s="201">
        <v>12281.9</v>
      </c>
      <c r="M56" s="203">
        <f t="shared" si="21"/>
        <v>-43.63</v>
      </c>
      <c r="N56" s="204">
        <f t="shared" si="22"/>
        <v>-1</v>
      </c>
      <c r="O56" s="205">
        <f t="shared" si="23"/>
        <v>0</v>
      </c>
      <c r="P56" s="206">
        <f t="shared" si="24"/>
        <v>0</v>
      </c>
      <c r="Q56" s="206">
        <f t="shared" si="25"/>
        <v>-1</v>
      </c>
      <c r="R5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15478</v>
      </c>
      <c r="T5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6" s="208">
        <f ca="1">IF(Tabla336106734811[[#This Row],[Equity]]&lt;Tabla336106734811[[#This Row],[Equity Peak]],(Tabla336106734811[[#This Row],[Equity Peak]]-Tabla336106734811[[#This Row],[Equity]])/Tabla336106734811[[#This Row],[Equity Peak]],"")</f>
        <v>1.2756729174639622E-2</v>
      </c>
      <c r="V56" s="209">
        <f t="shared" si="26"/>
        <v>0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-1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4.166666665696539E-3</v>
      </c>
      <c r="AE56" s="210">
        <f t="shared" si="35"/>
        <v>0</v>
      </c>
      <c r="AF56" s="210">
        <f t="shared" si="36"/>
        <v>4.166666665696539E-3</v>
      </c>
      <c r="AG56" s="210">
        <f t="shared" si="37"/>
        <v>0</v>
      </c>
    </row>
    <row r="57" spans="2:33" ht="15" customHeight="1" x14ac:dyDescent="0.3">
      <c r="B57" s="196" t="s">
        <v>5</v>
      </c>
      <c r="C57" s="197" t="s">
        <v>13</v>
      </c>
      <c r="D57" s="198" t="str">
        <f t="shared" si="19"/>
        <v>C</v>
      </c>
      <c r="E57" s="199">
        <v>44803.739583333336</v>
      </c>
      <c r="F57" s="200" t="s">
        <v>92</v>
      </c>
      <c r="G57" s="201">
        <v>12290.15</v>
      </c>
      <c r="H57" s="201">
        <v>12332.19</v>
      </c>
      <c r="I57" s="202">
        <f t="shared" si="20"/>
        <v>42.040000000000873</v>
      </c>
      <c r="J57" s="201">
        <v>11505.48</v>
      </c>
      <c r="K57" s="199">
        <v>44803.749305555553</v>
      </c>
      <c r="L57" s="201">
        <v>12332.19</v>
      </c>
      <c r="M57" s="203">
        <f t="shared" si="21"/>
        <v>-42.04</v>
      </c>
      <c r="N57" s="204">
        <f t="shared" si="22"/>
        <v>-1</v>
      </c>
      <c r="O57" s="205">
        <f t="shared" si="23"/>
        <v>0</v>
      </c>
      <c r="P57" s="206">
        <f t="shared" si="24"/>
        <v>0</v>
      </c>
      <c r="Q57" s="206">
        <f t="shared" si="25"/>
        <v>-1</v>
      </c>
      <c r="R5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15578</v>
      </c>
      <c r="T5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7" s="208">
        <f ca="1">IF(Tabla336106734811[[#This Row],[Equity]]&lt;Tabla336106734811[[#This Row],[Equity Peak]],(Tabla336106734811[[#This Row],[Equity Peak]]-Tabla336106734811[[#This Row],[Equity]])/Tabla336106734811[[#This Row],[Equity Peak]],"")</f>
        <v>6.3783645873198109E-3</v>
      </c>
      <c r="V57" s="209">
        <f t="shared" si="26"/>
        <v>0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-1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9.7222222175332718E-3</v>
      </c>
      <c r="AE57" s="210">
        <f t="shared" si="35"/>
        <v>0</v>
      </c>
      <c r="AF57" s="210">
        <f t="shared" si="36"/>
        <v>9.7222222175332718E-3</v>
      </c>
      <c r="AG57" s="210">
        <f t="shared" si="37"/>
        <v>0</v>
      </c>
    </row>
    <row r="58" spans="2:33" ht="15" customHeight="1" x14ac:dyDescent="0.3">
      <c r="B58" s="196" t="s">
        <v>5</v>
      </c>
      <c r="C58" s="197" t="s">
        <v>13</v>
      </c>
      <c r="D58" s="198" t="str">
        <f t="shared" si="19"/>
        <v>C</v>
      </c>
      <c r="E58" s="199">
        <v>44799.760416666664</v>
      </c>
      <c r="F58" s="200" t="s">
        <v>92</v>
      </c>
      <c r="G58" s="201">
        <v>12813.56</v>
      </c>
      <c r="H58" s="201">
        <v>12850.07</v>
      </c>
      <c r="I58" s="202">
        <f t="shared" si="20"/>
        <v>36.510000000000218</v>
      </c>
      <c r="J58" s="201">
        <v>12132.08</v>
      </c>
      <c r="K58" s="199">
        <v>44802.691666666666</v>
      </c>
      <c r="L58" s="201">
        <v>12558.54</v>
      </c>
      <c r="M58" s="203">
        <f t="shared" si="21"/>
        <v>255.02</v>
      </c>
      <c r="N58" s="204">
        <f t="shared" si="22"/>
        <v>6.98</v>
      </c>
      <c r="O58" s="205">
        <f t="shared" si="23"/>
        <v>0</v>
      </c>
      <c r="P58" s="206">
        <f t="shared" si="24"/>
        <v>6.98</v>
      </c>
      <c r="Q58" s="206">
        <f t="shared" si="25"/>
        <v>0</v>
      </c>
      <c r="R5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15678</v>
      </c>
      <c r="T5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15678</v>
      </c>
      <c r="U58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58" s="209">
        <f t="shared" si="26"/>
        <v>0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6.98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2.9312500000014552</v>
      </c>
      <c r="AE58" s="210">
        <f t="shared" si="35"/>
        <v>2.9312500000014552</v>
      </c>
      <c r="AF58" s="210">
        <f t="shared" si="36"/>
        <v>0</v>
      </c>
      <c r="AG58" s="210">
        <f t="shared" si="37"/>
        <v>0</v>
      </c>
    </row>
    <row r="59" spans="2:33" ht="15" customHeight="1" x14ac:dyDescent="0.3">
      <c r="B59" s="196" t="s">
        <v>5</v>
      </c>
      <c r="C59" s="197" t="s">
        <v>15</v>
      </c>
      <c r="D59" s="198" t="str">
        <f t="shared" si="19"/>
        <v>C</v>
      </c>
      <c r="E59" s="199">
        <v>44799.677083333336</v>
      </c>
      <c r="F59" s="200" t="s">
        <v>92</v>
      </c>
      <c r="G59" s="201">
        <v>13180.35</v>
      </c>
      <c r="H59" s="201">
        <v>13155.13</v>
      </c>
      <c r="I59" s="202">
        <f t="shared" si="20"/>
        <v>25.220000000001164</v>
      </c>
      <c r="J59" s="201">
        <v>13651.08</v>
      </c>
      <c r="K59" s="199">
        <v>44799.681250000001</v>
      </c>
      <c r="L59" s="201">
        <v>13155.13</v>
      </c>
      <c r="M59" s="203">
        <f t="shared" si="21"/>
        <v>-25.22</v>
      </c>
      <c r="N59" s="204">
        <f t="shared" si="22"/>
        <v>-1</v>
      </c>
      <c r="O59" s="205">
        <f t="shared" si="23"/>
        <v>0</v>
      </c>
      <c r="P59" s="206">
        <f t="shared" si="24"/>
        <v>0</v>
      </c>
      <c r="Q59" s="206">
        <f t="shared" si="25"/>
        <v>-1</v>
      </c>
      <c r="R5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14980</v>
      </c>
      <c r="T5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59" s="208">
        <f ca="1">IF(Tabla336106734811[[#This Row],[Equity]]&lt;Tabla336106734811[[#This Row],[Equity Peak]],(Tabla336106734811[[#This Row],[Equity Peak]]-Tabla336106734811[[#This Row],[Equity]])/Tabla336106734811[[#This Row],[Equity Peak]],"")</f>
        <v>3.4482758620689655E-2</v>
      </c>
      <c r="V59" s="209">
        <f t="shared" si="26"/>
        <v>0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-1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4.166666665696539E-3</v>
      </c>
      <c r="AE59" s="210">
        <f t="shared" si="35"/>
        <v>0</v>
      </c>
      <c r="AF59" s="210">
        <f t="shared" si="36"/>
        <v>4.166666665696539E-3</v>
      </c>
      <c r="AG59" s="210">
        <f t="shared" si="37"/>
        <v>0</v>
      </c>
    </row>
    <row r="60" spans="2:33" ht="15" customHeight="1" x14ac:dyDescent="0.3">
      <c r="B60" s="196" t="s">
        <v>5</v>
      </c>
      <c r="C60" s="197" t="s">
        <v>15</v>
      </c>
      <c r="D60" s="198" t="str">
        <f t="shared" si="19"/>
        <v>C</v>
      </c>
      <c r="E60" s="199">
        <v>44798.947916666664</v>
      </c>
      <c r="F60" s="200" t="s">
        <v>92</v>
      </c>
      <c r="G60" s="201">
        <v>13102.26</v>
      </c>
      <c r="H60" s="201">
        <v>13069.99</v>
      </c>
      <c r="I60" s="202">
        <f t="shared" si="20"/>
        <v>32.270000000000437</v>
      </c>
      <c r="J60" s="201">
        <v>13704.65</v>
      </c>
      <c r="K60" s="199">
        <v>44799.479861111111</v>
      </c>
      <c r="L60" s="201">
        <v>13069.99</v>
      </c>
      <c r="M60" s="203">
        <f t="shared" si="21"/>
        <v>-32.270000000000003</v>
      </c>
      <c r="N60" s="204">
        <f t="shared" si="22"/>
        <v>-1</v>
      </c>
      <c r="O60" s="205">
        <f t="shared" si="23"/>
        <v>0</v>
      </c>
      <c r="P60" s="206">
        <f t="shared" si="24"/>
        <v>0</v>
      </c>
      <c r="Q60" s="206">
        <f t="shared" si="25"/>
        <v>-1</v>
      </c>
      <c r="R6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15080</v>
      </c>
      <c r="T6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0" s="208">
        <f ca="1">IF(Tabla336106734811[[#This Row],[Equity]]&lt;Tabla336106734811[[#This Row],[Equity Peak]],(Tabla336106734811[[#This Row],[Equity Peak]]-Tabla336106734811[[#This Row],[Equity]])/Tabla336106734811[[#This Row],[Equity Peak]],"")</f>
        <v>2.8037383177570093E-2</v>
      </c>
      <c r="V60" s="209">
        <f t="shared" si="26"/>
        <v>0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-1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0.53194444444670808</v>
      </c>
      <c r="AE60" s="210">
        <f t="shared" si="35"/>
        <v>0</v>
      </c>
      <c r="AF60" s="210">
        <f t="shared" si="36"/>
        <v>0.53194444444670808</v>
      </c>
      <c r="AG60" s="210">
        <f t="shared" si="37"/>
        <v>0</v>
      </c>
    </row>
    <row r="61" spans="2:33" ht="15" customHeight="1" x14ac:dyDescent="0.3">
      <c r="B61" s="196" t="s">
        <v>5</v>
      </c>
      <c r="C61" s="197" t="s">
        <v>15</v>
      </c>
      <c r="D61" s="198" t="str">
        <f t="shared" si="19"/>
        <v>C</v>
      </c>
      <c r="E61" s="199">
        <v>44798.729166666664</v>
      </c>
      <c r="F61" s="200" t="s">
        <v>92</v>
      </c>
      <c r="G61" s="201">
        <v>13075.76</v>
      </c>
      <c r="H61" s="201">
        <v>13047.99</v>
      </c>
      <c r="I61" s="202">
        <f t="shared" si="20"/>
        <v>27.770000000000437</v>
      </c>
      <c r="J61" s="201">
        <v>13594.21</v>
      </c>
      <c r="K61" s="199">
        <v>44798.750694444447</v>
      </c>
      <c r="L61" s="201">
        <v>13047.99</v>
      </c>
      <c r="M61" s="203">
        <f t="shared" si="21"/>
        <v>-27.77</v>
      </c>
      <c r="N61" s="204">
        <f t="shared" si="22"/>
        <v>-1</v>
      </c>
      <c r="O61" s="205">
        <f t="shared" si="23"/>
        <v>0</v>
      </c>
      <c r="P61" s="206">
        <f t="shared" si="24"/>
        <v>0</v>
      </c>
      <c r="Q61" s="206">
        <f t="shared" si="25"/>
        <v>-1</v>
      </c>
      <c r="R6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15180</v>
      </c>
      <c r="T6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1" s="208">
        <f ca="1">IF(Tabla336106734811[[#This Row],[Equity]]&lt;Tabla336106734811[[#This Row],[Equity Peak]],(Tabla336106734811[[#This Row],[Equity Peak]]-Tabla336106734811[[#This Row],[Equity]])/Tabla336106734811[[#This Row],[Equity Peak]],"")</f>
        <v>2.1592007734450532E-2</v>
      </c>
      <c r="V61" s="209">
        <f t="shared" si="26"/>
        <v>0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-1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2.1527777782466728E-2</v>
      </c>
      <c r="AE61" s="210">
        <f t="shared" si="35"/>
        <v>0</v>
      </c>
      <c r="AF61" s="210">
        <f t="shared" si="36"/>
        <v>2.1527777782466728E-2</v>
      </c>
      <c r="AG61" s="210">
        <f t="shared" si="37"/>
        <v>0</v>
      </c>
    </row>
    <row r="62" spans="2:33" ht="15" customHeight="1" x14ac:dyDescent="0.3">
      <c r="B62" s="196" t="s">
        <v>5</v>
      </c>
      <c r="C62" s="197" t="s">
        <v>13</v>
      </c>
      <c r="D62" s="198" t="str">
        <f t="shared" si="19"/>
        <v>C</v>
      </c>
      <c r="E62" s="199">
        <v>44795.447916666664</v>
      </c>
      <c r="F62" s="200" t="s">
        <v>92</v>
      </c>
      <c r="G62" s="201">
        <v>13095.14</v>
      </c>
      <c r="H62" s="201">
        <v>13126.38</v>
      </c>
      <c r="I62" s="202">
        <f t="shared" si="20"/>
        <v>31.239999999999782</v>
      </c>
      <c r="J62" s="201">
        <v>12511.93</v>
      </c>
      <c r="K62" s="199">
        <v>44796.459027777775</v>
      </c>
      <c r="L62" s="201">
        <v>12925.48</v>
      </c>
      <c r="M62" s="203">
        <f t="shared" si="21"/>
        <v>169.66</v>
      </c>
      <c r="N62" s="204">
        <f t="shared" si="22"/>
        <v>5.43</v>
      </c>
      <c r="O62" s="205">
        <f t="shared" si="23"/>
        <v>0</v>
      </c>
      <c r="P62" s="206">
        <f t="shared" si="24"/>
        <v>5.43</v>
      </c>
      <c r="Q62" s="206">
        <f t="shared" si="25"/>
        <v>0</v>
      </c>
      <c r="R6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15280</v>
      </c>
      <c r="T6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2" s="208">
        <f ca="1">IF(Tabla336106734811[[#This Row],[Equity]]&lt;Tabla336106734811[[#This Row],[Equity Peak]],(Tabla336106734811[[#This Row],[Equity Peak]]-Tabla336106734811[[#This Row],[Equity]])/Tabla336106734811[[#This Row],[Equity Peak]],"")</f>
        <v>1.514663229133097E-2</v>
      </c>
      <c r="V62" s="209">
        <f t="shared" si="26"/>
        <v>0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5.43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1.0111111111109494</v>
      </c>
      <c r="AE62" s="210">
        <f t="shared" si="35"/>
        <v>1.0111111111109494</v>
      </c>
      <c r="AF62" s="210">
        <f t="shared" si="36"/>
        <v>0</v>
      </c>
      <c r="AG62" s="210">
        <f t="shared" si="37"/>
        <v>0</v>
      </c>
    </row>
    <row r="63" spans="2:33" ht="15" customHeight="1" x14ac:dyDescent="0.3">
      <c r="B63" s="196" t="s">
        <v>5</v>
      </c>
      <c r="C63" s="197" t="s">
        <v>15</v>
      </c>
      <c r="D63" s="198" t="str">
        <f t="shared" si="19"/>
        <v>C</v>
      </c>
      <c r="E63" s="199">
        <v>44789.885416666664</v>
      </c>
      <c r="F63" s="200" t="s">
        <v>92</v>
      </c>
      <c r="G63" s="201">
        <v>13708.62</v>
      </c>
      <c r="H63" s="201">
        <v>13683.15</v>
      </c>
      <c r="I63" s="202">
        <f t="shared" si="20"/>
        <v>25.470000000001164</v>
      </c>
      <c r="J63" s="201">
        <v>14183.99</v>
      </c>
      <c r="K63" s="199">
        <v>44789.895138888889</v>
      </c>
      <c r="L63" s="201">
        <v>13683.15</v>
      </c>
      <c r="M63" s="203">
        <f t="shared" si="21"/>
        <v>-25.47</v>
      </c>
      <c r="N63" s="204">
        <f t="shared" si="22"/>
        <v>-1</v>
      </c>
      <c r="O63" s="205">
        <f t="shared" si="23"/>
        <v>0</v>
      </c>
      <c r="P63" s="206">
        <f t="shared" si="24"/>
        <v>0</v>
      </c>
      <c r="Q63" s="206">
        <f t="shared" si="25"/>
        <v>-1</v>
      </c>
      <c r="R6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14737</v>
      </c>
      <c r="T6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3" s="208">
        <f ca="1">IF(Tabla336106734811[[#This Row],[Equity]]&lt;Tabla336106734811[[#This Row],[Equity Peak]],(Tabla336106734811[[#This Row],[Equity Peak]]-Tabla336106734811[[#This Row],[Equity]])/Tabla336106734811[[#This Row],[Equity Peak]],"")</f>
        <v>5.0145020947470191E-2</v>
      </c>
      <c r="V63" s="209">
        <f t="shared" si="26"/>
        <v>0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-1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9.7222222248092294E-3</v>
      </c>
      <c r="AE63" s="210">
        <f t="shared" si="35"/>
        <v>0</v>
      </c>
      <c r="AF63" s="210">
        <f t="shared" si="36"/>
        <v>9.7222222248092294E-3</v>
      </c>
      <c r="AG63" s="210">
        <f t="shared" si="37"/>
        <v>0</v>
      </c>
    </row>
    <row r="64" spans="2:33" ht="15" customHeight="1" x14ac:dyDescent="0.3">
      <c r="B64" s="196" t="s">
        <v>5</v>
      </c>
      <c r="C64" s="197" t="s">
        <v>15</v>
      </c>
      <c r="D64" s="198" t="str">
        <f t="shared" si="19"/>
        <v>C</v>
      </c>
      <c r="E64" s="199">
        <v>44788.78125</v>
      </c>
      <c r="F64" s="200" t="s">
        <v>92</v>
      </c>
      <c r="G64" s="201">
        <v>13611.85</v>
      </c>
      <c r="H64" s="201">
        <v>13586.51</v>
      </c>
      <c r="I64" s="202">
        <f t="shared" si="20"/>
        <v>25.340000000000146</v>
      </c>
      <c r="J64" s="201">
        <v>14084.77</v>
      </c>
      <c r="K64" s="199">
        <v>44789.692361111112</v>
      </c>
      <c r="L64" s="201">
        <v>13594.69</v>
      </c>
      <c r="M64" s="203">
        <f t="shared" si="21"/>
        <v>-17.16</v>
      </c>
      <c r="N64" s="204">
        <f t="shared" si="22"/>
        <v>-0.68</v>
      </c>
      <c r="O64" s="205">
        <f t="shared" si="23"/>
        <v>0</v>
      </c>
      <c r="P64" s="206">
        <f t="shared" si="24"/>
        <v>0</v>
      </c>
      <c r="Q64" s="206">
        <f t="shared" si="25"/>
        <v>-0.68</v>
      </c>
      <c r="R6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14837</v>
      </c>
      <c r="T6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4" s="208">
        <f ca="1">IF(Tabla336106734811[[#This Row],[Equity]]&lt;Tabla336106734811[[#This Row],[Equity Peak]],(Tabla336106734811[[#This Row],[Equity Peak]]-Tabla336106734811[[#This Row],[Equity]])/Tabla336106734811[[#This Row],[Equity Peak]],"")</f>
        <v>4.3699645504350626E-2</v>
      </c>
      <c r="V64" s="209">
        <f t="shared" si="26"/>
        <v>0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-0.68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0.91111111111240461</v>
      </c>
      <c r="AE64" s="210">
        <f t="shared" si="35"/>
        <v>0</v>
      </c>
      <c r="AF64" s="210">
        <f t="shared" si="36"/>
        <v>0.91111111111240461</v>
      </c>
      <c r="AG64" s="210">
        <f t="shared" si="37"/>
        <v>0</v>
      </c>
    </row>
    <row r="65" spans="2:33" ht="15" customHeight="1" x14ac:dyDescent="0.3">
      <c r="B65" s="196" t="s">
        <v>5</v>
      </c>
      <c r="C65" s="197" t="s">
        <v>15</v>
      </c>
      <c r="D65" s="198" t="str">
        <f t="shared" si="19"/>
        <v>C</v>
      </c>
      <c r="E65" s="199">
        <v>44788.708333333336</v>
      </c>
      <c r="F65" s="200" t="s">
        <v>92</v>
      </c>
      <c r="G65" s="201">
        <v>13593.35</v>
      </c>
      <c r="H65" s="201">
        <v>13571.45</v>
      </c>
      <c r="I65" s="202">
        <f t="shared" si="20"/>
        <v>21.899999999999636</v>
      </c>
      <c r="J65" s="201">
        <v>14002.22</v>
      </c>
      <c r="K65" s="199">
        <v>44788.709722222222</v>
      </c>
      <c r="L65" s="201">
        <v>13571.45</v>
      </c>
      <c r="M65" s="203">
        <f t="shared" si="21"/>
        <v>-21.9</v>
      </c>
      <c r="N65" s="204">
        <f t="shared" si="22"/>
        <v>-1</v>
      </c>
      <c r="O65" s="205">
        <f t="shared" si="23"/>
        <v>0</v>
      </c>
      <c r="P65" s="206">
        <f t="shared" si="24"/>
        <v>0</v>
      </c>
      <c r="Q65" s="206">
        <f t="shared" si="25"/>
        <v>-1</v>
      </c>
      <c r="R6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14905</v>
      </c>
      <c r="T6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5" s="208">
        <f ca="1">IF(Tabla336106734811[[#This Row],[Equity]]&lt;Tabla336106734811[[#This Row],[Equity Peak]],(Tabla336106734811[[#This Row],[Equity Peak]]-Tabla336106734811[[#This Row],[Equity]])/Tabla336106734811[[#This Row],[Equity Peak]],"")</f>
        <v>3.9316790203029327E-2</v>
      </c>
      <c r="V65" s="209">
        <f t="shared" si="26"/>
        <v>0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-1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1.3888888861401938E-3</v>
      </c>
      <c r="AE65" s="210">
        <f t="shared" si="35"/>
        <v>0</v>
      </c>
      <c r="AF65" s="210">
        <f t="shared" si="36"/>
        <v>1.3888888861401938E-3</v>
      </c>
      <c r="AG65" s="210">
        <f t="shared" si="37"/>
        <v>0</v>
      </c>
    </row>
    <row r="66" spans="2:33" ht="15" customHeight="1" x14ac:dyDescent="0.3">
      <c r="B66" s="196" t="s">
        <v>5</v>
      </c>
      <c r="C66" s="197" t="s">
        <v>15</v>
      </c>
      <c r="D66" s="198" t="str">
        <f t="shared" si="19"/>
        <v>C</v>
      </c>
      <c r="E66" s="199">
        <v>44785.958333333336</v>
      </c>
      <c r="F66" s="200" t="s">
        <v>92</v>
      </c>
      <c r="G66" s="201">
        <v>13552.12</v>
      </c>
      <c r="H66" s="201">
        <v>13522.88</v>
      </c>
      <c r="I66" s="202">
        <f t="shared" si="20"/>
        <v>29.240000000001601</v>
      </c>
      <c r="J66" s="201">
        <v>14097.91</v>
      </c>
      <c r="K66" s="199">
        <v>44788.04583333333</v>
      </c>
      <c r="L66" s="201">
        <v>13522.88</v>
      </c>
      <c r="M66" s="203">
        <f t="shared" si="21"/>
        <v>-29.24</v>
      </c>
      <c r="N66" s="204">
        <f t="shared" si="22"/>
        <v>-1</v>
      </c>
      <c r="O66" s="205">
        <f t="shared" si="23"/>
        <v>0</v>
      </c>
      <c r="P66" s="206">
        <f t="shared" si="24"/>
        <v>0</v>
      </c>
      <c r="Q66" s="206">
        <f t="shared" si="25"/>
        <v>-1</v>
      </c>
      <c r="R6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15005</v>
      </c>
      <c r="T6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6" s="208">
        <f ca="1">IF(Tabla336106734811[[#This Row],[Equity]]&lt;Tabla336106734811[[#This Row],[Equity Peak]],(Tabla336106734811[[#This Row],[Equity Peak]]-Tabla336106734811[[#This Row],[Equity]])/Tabla336106734811[[#This Row],[Equity Peak]],"")</f>
        <v>3.2871414759909762E-2</v>
      </c>
      <c r="V66" s="209">
        <f t="shared" si="26"/>
        <v>0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-1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2.0874999999941792</v>
      </c>
      <c r="AE66" s="210">
        <f t="shared" si="35"/>
        <v>0</v>
      </c>
      <c r="AF66" s="210">
        <f t="shared" si="36"/>
        <v>2.0874999999941792</v>
      </c>
      <c r="AG66" s="210">
        <f t="shared" si="37"/>
        <v>0</v>
      </c>
    </row>
    <row r="67" spans="2:33" ht="15" customHeight="1" x14ac:dyDescent="0.3">
      <c r="B67" s="196" t="s">
        <v>5</v>
      </c>
      <c r="C67" s="197" t="s">
        <v>15</v>
      </c>
      <c r="D67" s="198" t="str">
        <f t="shared" si="19"/>
        <v>C</v>
      </c>
      <c r="E67" s="199">
        <v>44783.947916666664</v>
      </c>
      <c r="F67" s="200" t="s">
        <v>92</v>
      </c>
      <c r="G67" s="201">
        <v>13371.43</v>
      </c>
      <c r="H67" s="201">
        <v>13333.8</v>
      </c>
      <c r="I67" s="202">
        <f t="shared" si="20"/>
        <v>37.630000000001019</v>
      </c>
      <c r="J67" s="201">
        <v>14073.93</v>
      </c>
      <c r="K67" s="199">
        <v>44784.752083333333</v>
      </c>
      <c r="L67" s="201">
        <v>13433.53</v>
      </c>
      <c r="M67" s="203">
        <f t="shared" si="21"/>
        <v>62.1</v>
      </c>
      <c r="N67" s="204">
        <f t="shared" si="22"/>
        <v>1.65</v>
      </c>
      <c r="O67" s="205">
        <f t="shared" si="23"/>
        <v>0</v>
      </c>
      <c r="P67" s="206">
        <f t="shared" si="24"/>
        <v>1.65</v>
      </c>
      <c r="Q67" s="206">
        <f t="shared" si="25"/>
        <v>0</v>
      </c>
      <c r="R6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15105</v>
      </c>
      <c r="T6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7" s="208">
        <f ca="1">IF(Tabla336106734811[[#This Row],[Equity]]&lt;Tabla336106734811[[#This Row],[Equity Peak]],(Tabla336106734811[[#This Row],[Equity Peak]]-Tabla336106734811[[#This Row],[Equity]])/Tabla336106734811[[#This Row],[Equity Peak]],"")</f>
        <v>2.6426039316790204E-2</v>
      </c>
      <c r="V67" s="209">
        <f t="shared" si="26"/>
        <v>0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1.65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0.80416666666860692</v>
      </c>
      <c r="AE67" s="210">
        <f t="shared" si="35"/>
        <v>0.80416666666860692</v>
      </c>
      <c r="AF67" s="210">
        <f t="shared" si="36"/>
        <v>0</v>
      </c>
      <c r="AG67" s="210">
        <f t="shared" si="37"/>
        <v>0</v>
      </c>
    </row>
    <row r="68" spans="2:33" ht="15" customHeight="1" x14ac:dyDescent="0.3">
      <c r="B68" s="196" t="s">
        <v>5</v>
      </c>
      <c r="C68" s="197" t="s">
        <v>15</v>
      </c>
      <c r="D68" s="198" t="str">
        <f t="shared" si="19"/>
        <v>C</v>
      </c>
      <c r="E68" s="199">
        <v>44781.708333333336</v>
      </c>
      <c r="F68" s="200" t="s">
        <v>92</v>
      </c>
      <c r="G68" s="201">
        <v>13364.25</v>
      </c>
      <c r="H68" s="201">
        <v>13331.72</v>
      </c>
      <c r="I68" s="202">
        <f t="shared" si="20"/>
        <v>32.530000000000655</v>
      </c>
      <c r="J68" s="201">
        <v>13971.39</v>
      </c>
      <c r="K68" s="199">
        <v>44781.727083333331</v>
      </c>
      <c r="L68" s="201">
        <v>13331.72</v>
      </c>
      <c r="M68" s="203">
        <f t="shared" si="21"/>
        <v>-32.53</v>
      </c>
      <c r="N68" s="204">
        <f t="shared" si="22"/>
        <v>-1</v>
      </c>
      <c r="O68" s="205">
        <f t="shared" si="23"/>
        <v>0</v>
      </c>
      <c r="P68" s="206">
        <f t="shared" si="24"/>
        <v>0</v>
      </c>
      <c r="Q68" s="206">
        <f t="shared" si="25"/>
        <v>-1</v>
      </c>
      <c r="R6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14940</v>
      </c>
      <c r="T6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8" s="208">
        <f ca="1">IF(Tabla336106734811[[#This Row],[Equity]]&lt;Tabla336106734811[[#This Row],[Equity Peak]],(Tabla336106734811[[#This Row],[Equity Peak]]-Tabla336106734811[[#This Row],[Equity]])/Tabla336106734811[[#This Row],[Equity Peak]],"")</f>
        <v>3.7060908797937477E-2</v>
      </c>
      <c r="V68" s="209">
        <f t="shared" si="26"/>
        <v>0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-1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1.8749999995634425E-2</v>
      </c>
      <c r="AE68" s="210">
        <f t="shared" si="35"/>
        <v>0</v>
      </c>
      <c r="AF68" s="210">
        <f t="shared" si="36"/>
        <v>1.8749999995634425E-2</v>
      </c>
      <c r="AG68" s="210">
        <f t="shared" si="37"/>
        <v>0</v>
      </c>
    </row>
    <row r="69" spans="2:33" ht="15" customHeight="1" x14ac:dyDescent="0.3">
      <c r="B69" s="196" t="s">
        <v>5</v>
      </c>
      <c r="C69" s="197" t="s">
        <v>15</v>
      </c>
      <c r="D69" s="198" t="str">
        <f t="shared" si="19"/>
        <v>C</v>
      </c>
      <c r="E69" s="199">
        <v>44778.177083333336</v>
      </c>
      <c r="F69" s="200" t="s">
        <v>92</v>
      </c>
      <c r="G69" s="201">
        <v>13330.05</v>
      </c>
      <c r="H69" s="201">
        <v>13292.09</v>
      </c>
      <c r="I69" s="202">
        <f t="shared" si="20"/>
        <v>37.959999999999127</v>
      </c>
      <c r="J69" s="201">
        <v>14038.63</v>
      </c>
      <c r="K69" s="199">
        <v>44778.488194444442</v>
      </c>
      <c r="L69" s="201">
        <v>13292.09</v>
      </c>
      <c r="M69" s="203">
        <f t="shared" si="21"/>
        <v>-37.96</v>
      </c>
      <c r="N69" s="204">
        <f t="shared" si="22"/>
        <v>-1</v>
      </c>
      <c r="O69" s="205">
        <f t="shared" si="23"/>
        <v>0</v>
      </c>
      <c r="P69" s="206">
        <f t="shared" si="24"/>
        <v>0</v>
      </c>
      <c r="Q69" s="206">
        <f t="shared" si="25"/>
        <v>-1</v>
      </c>
      <c r="R6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15040</v>
      </c>
      <c r="T6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69" s="208">
        <f ca="1">IF(Tabla336106734811[[#This Row],[Equity]]&lt;Tabla336106734811[[#This Row],[Equity Peak]],(Tabla336106734811[[#This Row],[Equity Peak]]-Tabla336106734811[[#This Row],[Equity]])/Tabla336106734811[[#This Row],[Equity Peak]],"")</f>
        <v>3.0615533354817918E-2</v>
      </c>
      <c r="V69" s="209">
        <f t="shared" si="26"/>
        <v>0</v>
      </c>
      <c r="W69" s="209">
        <f t="shared" si="27"/>
        <v>0</v>
      </c>
      <c r="X69" s="209">
        <f t="shared" si="28"/>
        <v>0</v>
      </c>
      <c r="Y69" s="209">
        <f t="shared" si="29"/>
        <v>0</v>
      </c>
      <c r="Z69" s="209">
        <f t="shared" si="30"/>
        <v>-1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0.31111111110658385</v>
      </c>
      <c r="AE69" s="210">
        <f t="shared" si="35"/>
        <v>0</v>
      </c>
      <c r="AF69" s="210">
        <f t="shared" si="36"/>
        <v>0.31111111110658385</v>
      </c>
      <c r="AG69" s="210">
        <f t="shared" si="37"/>
        <v>0</v>
      </c>
    </row>
    <row r="70" spans="2:33" ht="15" customHeight="1" x14ac:dyDescent="0.3">
      <c r="B70" s="196" t="s">
        <v>5</v>
      </c>
      <c r="C70" s="197" t="s">
        <v>15</v>
      </c>
      <c r="D70" s="198" t="str">
        <f t="shared" si="19"/>
        <v>C</v>
      </c>
      <c r="E70" s="199">
        <v>44776.760416666664</v>
      </c>
      <c r="F70" s="200" t="s">
        <v>92</v>
      </c>
      <c r="G70" s="201">
        <v>13149.04</v>
      </c>
      <c r="H70" s="201">
        <v>13112.72</v>
      </c>
      <c r="I70" s="202">
        <f t="shared" si="20"/>
        <v>36.320000000001528</v>
      </c>
      <c r="J70" s="201">
        <v>13827.08</v>
      </c>
      <c r="K70" s="199">
        <v>44777.720138888886</v>
      </c>
      <c r="L70" s="201">
        <v>13206.75</v>
      </c>
      <c r="M70" s="203">
        <f t="shared" si="21"/>
        <v>57.71</v>
      </c>
      <c r="N70" s="204">
        <f t="shared" si="22"/>
        <v>1.59</v>
      </c>
      <c r="O70" s="205">
        <f t="shared" si="23"/>
        <v>0</v>
      </c>
      <c r="P70" s="206">
        <f t="shared" si="24"/>
        <v>1.59</v>
      </c>
      <c r="Q70" s="206">
        <f t="shared" si="25"/>
        <v>0</v>
      </c>
      <c r="R7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15140</v>
      </c>
      <c r="T7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0" s="208">
        <f ca="1">IF(Tabla336106734811[[#This Row],[Equity]]&lt;Tabla336106734811[[#This Row],[Equity Peak]],(Tabla336106734811[[#This Row],[Equity Peak]]-Tabla336106734811[[#This Row],[Equity]])/Tabla336106734811[[#This Row],[Equity Peak]],"")</f>
        <v>2.4170157911698357E-2</v>
      </c>
      <c r="V70" s="209">
        <f t="shared" si="26"/>
        <v>0</v>
      </c>
      <c r="W70" s="209">
        <f t="shared" si="27"/>
        <v>0</v>
      </c>
      <c r="X70" s="209">
        <f t="shared" si="28"/>
        <v>0</v>
      </c>
      <c r="Y70" s="209">
        <f t="shared" si="29"/>
        <v>0</v>
      </c>
      <c r="Z70" s="209">
        <f t="shared" si="30"/>
        <v>1.59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0.95972222222189885</v>
      </c>
      <c r="AE70" s="210">
        <f t="shared" si="35"/>
        <v>0.95972222222189885</v>
      </c>
      <c r="AF70" s="210">
        <f t="shared" si="36"/>
        <v>0</v>
      </c>
      <c r="AG70" s="210">
        <f t="shared" si="37"/>
        <v>0</v>
      </c>
    </row>
    <row r="71" spans="2:33" ht="15" customHeight="1" x14ac:dyDescent="0.3">
      <c r="B71" s="196" t="s">
        <v>5</v>
      </c>
      <c r="C71" s="197" t="s">
        <v>15</v>
      </c>
      <c r="D71" s="198" t="str">
        <f t="shared" si="19"/>
        <v>C</v>
      </c>
      <c r="E71" s="199">
        <v>44776.708333333336</v>
      </c>
      <c r="F71" s="200" t="s">
        <v>92</v>
      </c>
      <c r="G71" s="201">
        <v>13090.17</v>
      </c>
      <c r="H71" s="201">
        <v>13054.37</v>
      </c>
      <c r="I71" s="202">
        <f t="shared" si="20"/>
        <v>35.799999999999272</v>
      </c>
      <c r="J71" s="201">
        <v>13758.5</v>
      </c>
      <c r="K71" s="199">
        <v>44776.732638888891</v>
      </c>
      <c r="L71" s="201">
        <v>13054.37</v>
      </c>
      <c r="M71" s="203">
        <f t="shared" si="21"/>
        <v>-35.799999999999997</v>
      </c>
      <c r="N71" s="204">
        <f t="shared" si="22"/>
        <v>-1</v>
      </c>
      <c r="O71" s="205">
        <f t="shared" si="23"/>
        <v>0</v>
      </c>
      <c r="P71" s="206">
        <f t="shared" si="24"/>
        <v>0</v>
      </c>
      <c r="Q71" s="206">
        <f t="shared" si="25"/>
        <v>-1</v>
      </c>
      <c r="R7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14981</v>
      </c>
      <c r="T7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1" s="208">
        <f ca="1">IF(Tabla336106734811[[#This Row],[Equity]]&lt;Tabla336106734811[[#This Row],[Equity Peak]],(Tabla336106734811[[#This Row],[Equity Peak]]-Tabla336106734811[[#This Row],[Equity]])/Tabla336106734811[[#This Row],[Equity Peak]],"")</f>
        <v>3.4418304866258458E-2</v>
      </c>
      <c r="V71" s="209">
        <f t="shared" si="26"/>
        <v>0</v>
      </c>
      <c r="W71" s="209">
        <f t="shared" si="27"/>
        <v>0</v>
      </c>
      <c r="X71" s="209">
        <f t="shared" si="28"/>
        <v>0</v>
      </c>
      <c r="Y71" s="209">
        <f t="shared" si="29"/>
        <v>0</v>
      </c>
      <c r="Z71" s="209">
        <f t="shared" si="30"/>
        <v>-1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2.4305555554747116E-2</v>
      </c>
      <c r="AE71" s="210">
        <f t="shared" si="35"/>
        <v>0</v>
      </c>
      <c r="AF71" s="210">
        <f t="shared" si="36"/>
        <v>2.4305555554747116E-2</v>
      </c>
      <c r="AG71" s="210">
        <f t="shared" si="37"/>
        <v>0</v>
      </c>
    </row>
    <row r="72" spans="2:33" ht="15" customHeight="1" x14ac:dyDescent="0.3">
      <c r="B72" s="196" t="s">
        <v>5</v>
      </c>
      <c r="C72" s="197" t="s">
        <v>15</v>
      </c>
      <c r="D72" s="198" t="str">
        <f t="shared" si="19"/>
        <v>C</v>
      </c>
      <c r="E72" s="199">
        <v>44774.75</v>
      </c>
      <c r="F72" s="200" t="s">
        <v>92</v>
      </c>
      <c r="G72" s="201">
        <v>13060.15</v>
      </c>
      <c r="H72" s="201">
        <v>13028.04</v>
      </c>
      <c r="I72" s="202">
        <f t="shared" si="20"/>
        <v>32.109999999998763</v>
      </c>
      <c r="J72" s="201">
        <v>13659.55</v>
      </c>
      <c r="K72" s="199">
        <v>44774.754166666666</v>
      </c>
      <c r="L72" s="201">
        <v>13028.04</v>
      </c>
      <c r="M72" s="203">
        <f t="shared" si="21"/>
        <v>-32.11</v>
      </c>
      <c r="N72" s="204">
        <f t="shared" si="22"/>
        <v>-1</v>
      </c>
      <c r="O72" s="205">
        <f t="shared" si="23"/>
        <v>0</v>
      </c>
      <c r="P72" s="206">
        <f t="shared" si="24"/>
        <v>0</v>
      </c>
      <c r="Q72" s="206">
        <f t="shared" si="25"/>
        <v>-1</v>
      </c>
      <c r="R7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15081</v>
      </c>
      <c r="T7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2" s="208">
        <f ca="1">IF(Tabla336106734811[[#This Row],[Equity]]&lt;Tabla336106734811[[#This Row],[Equity Peak]],(Tabla336106734811[[#This Row],[Equity Peak]]-Tabla336106734811[[#This Row],[Equity]])/Tabla336106734811[[#This Row],[Equity Peak]],"")</f>
        <v>2.7972929423138899E-2</v>
      </c>
      <c r="V72" s="209">
        <f t="shared" si="26"/>
        <v>0</v>
      </c>
      <c r="W72" s="209">
        <f t="shared" si="27"/>
        <v>0</v>
      </c>
      <c r="X72" s="209">
        <f t="shared" si="28"/>
        <v>0</v>
      </c>
      <c r="Y72" s="209">
        <f t="shared" si="29"/>
        <v>0</v>
      </c>
      <c r="Z72" s="209">
        <f t="shared" si="30"/>
        <v>-1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4.166666665696539E-3</v>
      </c>
      <c r="AE72" s="210">
        <f t="shared" si="35"/>
        <v>0</v>
      </c>
      <c r="AF72" s="210">
        <f t="shared" si="36"/>
        <v>4.166666665696539E-3</v>
      </c>
      <c r="AG72" s="210">
        <f t="shared" si="37"/>
        <v>0</v>
      </c>
    </row>
    <row r="73" spans="2:33" ht="15" customHeight="1" x14ac:dyDescent="0.3">
      <c r="B73" s="196" t="s">
        <v>5</v>
      </c>
      <c r="C73" s="197" t="s">
        <v>15</v>
      </c>
      <c r="D73" s="198" t="str">
        <f t="shared" si="19"/>
        <v>C</v>
      </c>
      <c r="E73" s="199">
        <v>44774.71875</v>
      </c>
      <c r="F73" s="200" t="s">
        <v>92</v>
      </c>
      <c r="G73" s="201">
        <v>13029.15</v>
      </c>
      <c r="H73" s="201">
        <v>12999.93</v>
      </c>
      <c r="I73" s="202">
        <f t="shared" si="20"/>
        <v>29.219999999999345</v>
      </c>
      <c r="J73" s="201">
        <v>13574.57</v>
      </c>
      <c r="K73" s="199">
        <v>44774.720138888886</v>
      </c>
      <c r="L73" s="201">
        <v>12999.93</v>
      </c>
      <c r="M73" s="203">
        <f t="shared" si="21"/>
        <v>-29.22</v>
      </c>
      <c r="N73" s="204">
        <f t="shared" si="22"/>
        <v>-1</v>
      </c>
      <c r="O73" s="205">
        <f t="shared" si="23"/>
        <v>0</v>
      </c>
      <c r="P73" s="206">
        <f t="shared" si="24"/>
        <v>0</v>
      </c>
      <c r="Q73" s="206">
        <f t="shared" si="25"/>
        <v>-1</v>
      </c>
      <c r="R7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15181</v>
      </c>
      <c r="T7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3" s="208">
        <f ca="1">IF(Tabla336106734811[[#This Row],[Equity]]&lt;Tabla336106734811[[#This Row],[Equity Peak]],(Tabla336106734811[[#This Row],[Equity Peak]]-Tabla336106734811[[#This Row],[Equity]])/Tabla336106734811[[#This Row],[Equity Peak]],"")</f>
        <v>2.1527553980019334E-2</v>
      </c>
      <c r="V73" s="209">
        <f t="shared" si="26"/>
        <v>0</v>
      </c>
      <c r="W73" s="209">
        <f t="shared" si="27"/>
        <v>0</v>
      </c>
      <c r="X73" s="209">
        <f t="shared" si="28"/>
        <v>0</v>
      </c>
      <c r="Y73" s="209">
        <f t="shared" si="29"/>
        <v>0</v>
      </c>
      <c r="Z73" s="209">
        <f t="shared" si="30"/>
        <v>-1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1.3888888861401938E-3</v>
      </c>
      <c r="AE73" s="210">
        <f t="shared" si="35"/>
        <v>0</v>
      </c>
      <c r="AF73" s="210">
        <f t="shared" si="36"/>
        <v>1.3888888861401938E-3</v>
      </c>
      <c r="AG73" s="210">
        <f t="shared" si="37"/>
        <v>0</v>
      </c>
    </row>
    <row r="74" spans="2:33" ht="15" customHeight="1" x14ac:dyDescent="0.3">
      <c r="B74" s="196" t="s">
        <v>5</v>
      </c>
      <c r="C74" s="197" t="s">
        <v>15</v>
      </c>
      <c r="D74" s="198" t="str">
        <f t="shared" si="19"/>
        <v>C</v>
      </c>
      <c r="E74" s="199">
        <v>44771.895833333336</v>
      </c>
      <c r="F74" s="200" t="s">
        <v>92</v>
      </c>
      <c r="G74" s="201">
        <v>12920.28</v>
      </c>
      <c r="H74" s="201">
        <v>12885.73</v>
      </c>
      <c r="I74" s="202">
        <f t="shared" si="20"/>
        <v>34.550000000001091</v>
      </c>
      <c r="J74" s="201">
        <v>13565.23</v>
      </c>
      <c r="K74" s="199">
        <v>44774.115277777775</v>
      </c>
      <c r="L74" s="201">
        <v>12885.73</v>
      </c>
      <c r="M74" s="203">
        <f t="shared" si="21"/>
        <v>-34.549999999999997</v>
      </c>
      <c r="N74" s="204">
        <f t="shared" si="22"/>
        <v>-1</v>
      </c>
      <c r="O74" s="205">
        <f t="shared" si="23"/>
        <v>0</v>
      </c>
      <c r="P74" s="206">
        <f t="shared" si="24"/>
        <v>0</v>
      </c>
      <c r="Q74" s="206">
        <f t="shared" si="25"/>
        <v>-1</v>
      </c>
      <c r="R7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15281</v>
      </c>
      <c r="T7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4" s="208">
        <f ca="1">IF(Tabla336106734811[[#This Row],[Equity]]&lt;Tabla336106734811[[#This Row],[Equity Peak]],(Tabla336106734811[[#This Row],[Equity Peak]]-Tabla336106734811[[#This Row],[Equity]])/Tabla336106734811[[#This Row],[Equity Peak]],"")</f>
        <v>1.5082178536899775E-2</v>
      </c>
      <c r="V74" s="209">
        <f t="shared" si="26"/>
        <v>0</v>
      </c>
      <c r="W74" s="209">
        <f t="shared" si="27"/>
        <v>0</v>
      </c>
      <c r="X74" s="209">
        <f t="shared" si="28"/>
        <v>0</v>
      </c>
      <c r="Y74" s="209">
        <f t="shared" si="29"/>
        <v>0</v>
      </c>
      <c r="Z74" s="209">
        <f t="shared" si="30"/>
        <v>-1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2.2194444444394321</v>
      </c>
      <c r="AE74" s="210">
        <f t="shared" si="35"/>
        <v>0</v>
      </c>
      <c r="AF74" s="210">
        <f t="shared" si="36"/>
        <v>2.2194444444394321</v>
      </c>
      <c r="AG74" s="210">
        <f t="shared" si="37"/>
        <v>0</v>
      </c>
    </row>
    <row r="75" spans="2:33" ht="15" customHeight="1" x14ac:dyDescent="0.3">
      <c r="B75" s="196" t="s">
        <v>5</v>
      </c>
      <c r="C75" s="197" t="s">
        <v>15</v>
      </c>
      <c r="D75" s="198" t="str">
        <f t="shared" si="19"/>
        <v>C</v>
      </c>
      <c r="E75" s="199">
        <v>44770.864583333336</v>
      </c>
      <c r="F75" s="200" t="s">
        <v>92</v>
      </c>
      <c r="G75" s="201">
        <v>12694.58</v>
      </c>
      <c r="H75" s="201">
        <v>12659.44</v>
      </c>
      <c r="I75" s="202">
        <f t="shared" si="20"/>
        <v>35.139999999999418</v>
      </c>
      <c r="J75" s="201">
        <v>13350.47</v>
      </c>
      <c r="K75" s="199">
        <v>44771.688888888886</v>
      </c>
      <c r="L75" s="201">
        <v>12752.78</v>
      </c>
      <c r="M75" s="203">
        <f t="shared" si="21"/>
        <v>58.2</v>
      </c>
      <c r="N75" s="204">
        <f t="shared" si="22"/>
        <v>1.66</v>
      </c>
      <c r="O75" s="205">
        <f t="shared" si="23"/>
        <v>0</v>
      </c>
      <c r="P75" s="206">
        <f t="shared" si="24"/>
        <v>1.66</v>
      </c>
      <c r="Q75" s="206">
        <f t="shared" si="25"/>
        <v>0</v>
      </c>
      <c r="R7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15381</v>
      </c>
      <c r="T7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5" s="208">
        <f ca="1">IF(Tabla336106734811[[#This Row],[Equity]]&lt;Tabla336106734811[[#This Row],[Equity Peak]],(Tabla336106734811[[#This Row],[Equity Peak]]-Tabla336106734811[[#This Row],[Equity]])/Tabla336106734811[[#This Row],[Equity Peak]],"")</f>
        <v>8.636803093780213E-3</v>
      </c>
      <c r="V75" s="209">
        <f t="shared" si="26"/>
        <v>0</v>
      </c>
      <c r="W75" s="209">
        <f t="shared" si="27"/>
        <v>0</v>
      </c>
      <c r="X75" s="209">
        <f t="shared" si="28"/>
        <v>0</v>
      </c>
      <c r="Y75" s="209">
        <f t="shared" si="29"/>
        <v>0</v>
      </c>
      <c r="Z75" s="209">
        <f t="shared" si="30"/>
        <v>1.66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0.82430555555038154</v>
      </c>
      <c r="AE75" s="210">
        <f t="shared" si="35"/>
        <v>0.82430555555038154</v>
      </c>
      <c r="AF75" s="210">
        <f t="shared" si="36"/>
        <v>0</v>
      </c>
      <c r="AG75" s="210">
        <f t="shared" si="37"/>
        <v>0</v>
      </c>
    </row>
    <row r="76" spans="2:33" ht="15" customHeight="1" x14ac:dyDescent="0.3">
      <c r="B76" s="196" t="s">
        <v>5</v>
      </c>
      <c r="C76" s="197" t="s">
        <v>15</v>
      </c>
      <c r="D76" s="198" t="str">
        <f t="shared" si="19"/>
        <v>C</v>
      </c>
      <c r="E76" s="199">
        <v>44769.9375</v>
      </c>
      <c r="F76" s="200" t="s">
        <v>92</v>
      </c>
      <c r="G76" s="201">
        <v>12656.09</v>
      </c>
      <c r="H76" s="201">
        <v>12622.16</v>
      </c>
      <c r="I76" s="202">
        <f t="shared" si="20"/>
        <v>33.930000000000291</v>
      </c>
      <c r="J76" s="201">
        <v>13289.54</v>
      </c>
      <c r="K76" s="199">
        <v>44769.944444444445</v>
      </c>
      <c r="L76" s="201">
        <v>12622.16</v>
      </c>
      <c r="M76" s="203">
        <f t="shared" si="21"/>
        <v>-33.93</v>
      </c>
      <c r="N76" s="204">
        <f t="shared" si="22"/>
        <v>-1</v>
      </c>
      <c r="O76" s="205">
        <f t="shared" si="23"/>
        <v>0</v>
      </c>
      <c r="P76" s="206">
        <f t="shared" si="24"/>
        <v>0</v>
      </c>
      <c r="Q76" s="206">
        <f t="shared" si="25"/>
        <v>-1</v>
      </c>
      <c r="R7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15215</v>
      </c>
      <c r="T7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6" s="208">
        <f ca="1">IF(Tabla336106734811[[#This Row],[Equity]]&lt;Tabla336106734811[[#This Row],[Equity Peak]],(Tabla336106734811[[#This Row],[Equity Peak]]-Tabla336106734811[[#This Row],[Equity]])/Tabla336106734811[[#This Row],[Equity Peak]],"")</f>
        <v>1.9336126329358685E-2</v>
      </c>
      <c r="V76" s="209">
        <f t="shared" si="26"/>
        <v>0</v>
      </c>
      <c r="W76" s="209">
        <f t="shared" si="27"/>
        <v>0</v>
      </c>
      <c r="X76" s="209">
        <f t="shared" si="28"/>
        <v>0</v>
      </c>
      <c r="Y76" s="209">
        <f t="shared" si="29"/>
        <v>0</v>
      </c>
      <c r="Z76" s="209">
        <f t="shared" si="30"/>
        <v>-1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6.9444444452528842E-3</v>
      </c>
      <c r="AE76" s="210">
        <f t="shared" si="35"/>
        <v>0</v>
      </c>
      <c r="AF76" s="210">
        <f t="shared" si="36"/>
        <v>6.9444444452528842E-3</v>
      </c>
      <c r="AG76" s="210">
        <f t="shared" si="37"/>
        <v>0</v>
      </c>
    </row>
    <row r="77" spans="2:33" ht="15" customHeight="1" x14ac:dyDescent="0.3">
      <c r="B77" s="196" t="s">
        <v>5</v>
      </c>
      <c r="C77" s="197" t="s">
        <v>15</v>
      </c>
      <c r="D77" s="198" t="str">
        <f t="shared" si="19"/>
        <v>C</v>
      </c>
      <c r="E77" s="199">
        <v>44769.90625</v>
      </c>
      <c r="F77" s="200" t="s">
        <v>92</v>
      </c>
      <c r="G77" s="201">
        <v>12563.34</v>
      </c>
      <c r="H77" s="201">
        <v>12532.36</v>
      </c>
      <c r="I77" s="202">
        <f t="shared" si="20"/>
        <v>30.979999999999563</v>
      </c>
      <c r="J77" s="201">
        <v>13141.57</v>
      </c>
      <c r="K77" s="199">
        <v>44769.909722222219</v>
      </c>
      <c r="L77" s="201">
        <v>12532.36</v>
      </c>
      <c r="M77" s="203">
        <f t="shared" si="21"/>
        <v>-30.98</v>
      </c>
      <c r="N77" s="204">
        <f t="shared" si="22"/>
        <v>-1</v>
      </c>
      <c r="O77" s="205">
        <f t="shared" si="23"/>
        <v>0</v>
      </c>
      <c r="P77" s="206">
        <f t="shared" si="24"/>
        <v>0</v>
      </c>
      <c r="Q77" s="206">
        <f t="shared" si="25"/>
        <v>-1</v>
      </c>
      <c r="R7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15315</v>
      </c>
      <c r="T7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7" s="208">
        <f ca="1">IF(Tabla336106734811[[#This Row],[Equity]]&lt;Tabla336106734811[[#This Row],[Equity Peak]],(Tabla336106734811[[#This Row],[Equity Peak]]-Tabla336106734811[[#This Row],[Equity]])/Tabla336106734811[[#This Row],[Equity Peak]],"")</f>
        <v>1.2890750886239123E-2</v>
      </c>
      <c r="V77" s="209">
        <f t="shared" si="26"/>
        <v>0</v>
      </c>
      <c r="W77" s="209">
        <f t="shared" si="27"/>
        <v>0</v>
      </c>
      <c r="X77" s="209">
        <f t="shared" si="28"/>
        <v>0</v>
      </c>
      <c r="Y77" s="209">
        <f t="shared" si="29"/>
        <v>0</v>
      </c>
      <c r="Z77" s="209">
        <f t="shared" si="30"/>
        <v>-1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3.4722222189884633E-3</v>
      </c>
      <c r="AE77" s="210">
        <f t="shared" si="35"/>
        <v>0</v>
      </c>
      <c r="AF77" s="210">
        <f t="shared" si="36"/>
        <v>3.4722222189884633E-3</v>
      </c>
      <c r="AG77" s="210">
        <f t="shared" si="37"/>
        <v>0</v>
      </c>
    </row>
    <row r="78" spans="2:33" ht="15" customHeight="1" x14ac:dyDescent="0.3">
      <c r="B78" s="196" t="s">
        <v>5</v>
      </c>
      <c r="C78" s="197" t="s">
        <v>15</v>
      </c>
      <c r="D78" s="198" t="str">
        <f t="shared" si="19"/>
        <v>C</v>
      </c>
      <c r="E78" s="199">
        <v>44763.802083333336</v>
      </c>
      <c r="F78" s="200" t="s">
        <v>92</v>
      </c>
      <c r="G78" s="201">
        <v>12542.06</v>
      </c>
      <c r="H78" s="201">
        <v>12498.89</v>
      </c>
      <c r="I78" s="202">
        <f t="shared" si="20"/>
        <v>43.170000000000073</v>
      </c>
      <c r="J78" s="201">
        <v>13347.96</v>
      </c>
      <c r="K78" s="199">
        <v>44764.126388888886</v>
      </c>
      <c r="L78" s="201">
        <v>12498.89</v>
      </c>
      <c r="M78" s="203">
        <f t="shared" si="21"/>
        <v>-43.17</v>
      </c>
      <c r="N78" s="204">
        <f t="shared" si="22"/>
        <v>-1</v>
      </c>
      <c r="O78" s="205">
        <f t="shared" si="23"/>
        <v>0</v>
      </c>
      <c r="P78" s="206">
        <f t="shared" si="24"/>
        <v>0</v>
      </c>
      <c r="Q78" s="206">
        <f t="shared" si="25"/>
        <v>-1</v>
      </c>
      <c r="R7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15415</v>
      </c>
      <c r="T7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8" s="208">
        <f ca="1">IF(Tabla336106734811[[#This Row],[Equity]]&lt;Tabla336106734811[[#This Row],[Equity Peak]],(Tabla336106734811[[#This Row],[Equity Peak]]-Tabla336106734811[[#This Row],[Equity]])/Tabla336106734811[[#This Row],[Equity Peak]],"")</f>
        <v>6.4453754431195616E-3</v>
      </c>
      <c r="V78" s="209">
        <f t="shared" si="26"/>
        <v>0</v>
      </c>
      <c r="W78" s="209">
        <f t="shared" si="27"/>
        <v>0</v>
      </c>
      <c r="X78" s="209">
        <f t="shared" si="28"/>
        <v>0</v>
      </c>
      <c r="Y78" s="209">
        <f t="shared" si="29"/>
        <v>0</v>
      </c>
      <c r="Z78" s="209">
        <f t="shared" si="30"/>
        <v>-1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0.32430555555038154</v>
      </c>
      <c r="AE78" s="210">
        <f t="shared" si="35"/>
        <v>0</v>
      </c>
      <c r="AF78" s="210">
        <f t="shared" si="36"/>
        <v>0.32430555555038154</v>
      </c>
      <c r="AG78" s="210">
        <f t="shared" si="37"/>
        <v>0</v>
      </c>
    </row>
    <row r="79" spans="2:33" ht="15" customHeight="1" x14ac:dyDescent="0.3">
      <c r="B79" s="196" t="s">
        <v>5</v>
      </c>
      <c r="C79" s="197" t="s">
        <v>15</v>
      </c>
      <c r="D79" s="198" t="str">
        <f t="shared" si="19"/>
        <v>C</v>
      </c>
      <c r="E79" s="199">
        <v>44761.822916666664</v>
      </c>
      <c r="F79" s="200" t="s">
        <v>92</v>
      </c>
      <c r="G79" s="201">
        <v>12160.33</v>
      </c>
      <c r="H79" s="201">
        <v>12126.63</v>
      </c>
      <c r="I79" s="202">
        <f t="shared" si="20"/>
        <v>33.700000000000728</v>
      </c>
      <c r="J79" s="201">
        <v>12789.38</v>
      </c>
      <c r="K79" s="199">
        <v>44762.839583333334</v>
      </c>
      <c r="L79" s="201">
        <v>12362.04</v>
      </c>
      <c r="M79" s="203">
        <f t="shared" si="21"/>
        <v>201.71</v>
      </c>
      <c r="N79" s="204">
        <f t="shared" si="22"/>
        <v>5.99</v>
      </c>
      <c r="O79" s="205">
        <f t="shared" si="23"/>
        <v>0</v>
      </c>
      <c r="P79" s="206">
        <f t="shared" si="24"/>
        <v>5.99</v>
      </c>
      <c r="Q79" s="206">
        <f t="shared" si="25"/>
        <v>0</v>
      </c>
      <c r="R7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15515</v>
      </c>
      <c r="T7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15515</v>
      </c>
      <c r="U7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9" s="209">
        <f t="shared" si="26"/>
        <v>0</v>
      </c>
      <c r="W79" s="209">
        <f t="shared" si="27"/>
        <v>0</v>
      </c>
      <c r="X79" s="209">
        <f t="shared" si="28"/>
        <v>0</v>
      </c>
      <c r="Y79" s="209">
        <f t="shared" si="29"/>
        <v>0</v>
      </c>
      <c r="Z79" s="209">
        <f t="shared" si="30"/>
        <v>5.99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1.0166666666700621</v>
      </c>
      <c r="AE79" s="210">
        <f t="shared" si="35"/>
        <v>1.0166666666700621</v>
      </c>
      <c r="AF79" s="210">
        <f t="shared" si="36"/>
        <v>0</v>
      </c>
      <c r="AG79" s="210">
        <f t="shared" si="37"/>
        <v>0</v>
      </c>
    </row>
    <row r="80" spans="2:33" ht="15" customHeight="1" x14ac:dyDescent="0.3">
      <c r="B80" s="196" t="s">
        <v>5</v>
      </c>
      <c r="C80" s="197" t="s">
        <v>15</v>
      </c>
      <c r="D80" s="198" t="str">
        <f t="shared" si="19"/>
        <v>C</v>
      </c>
      <c r="E80" s="199">
        <v>44757.958333333336</v>
      </c>
      <c r="F80" s="200" t="s">
        <v>92</v>
      </c>
      <c r="G80" s="201">
        <v>11970.87</v>
      </c>
      <c r="H80" s="201">
        <v>11931.06</v>
      </c>
      <c r="I80" s="202">
        <f t="shared" si="20"/>
        <v>39.81000000000131</v>
      </c>
      <c r="J80" s="201">
        <v>12713.99</v>
      </c>
      <c r="K80" s="199">
        <v>44760.856944444444</v>
      </c>
      <c r="L80" s="201">
        <v>12045.38</v>
      </c>
      <c r="M80" s="203">
        <f t="shared" si="21"/>
        <v>74.510000000000005</v>
      </c>
      <c r="N80" s="204">
        <f t="shared" si="22"/>
        <v>1.87</v>
      </c>
      <c r="O80" s="205">
        <f t="shared" si="23"/>
        <v>0</v>
      </c>
      <c r="P80" s="206">
        <f t="shared" si="24"/>
        <v>1.87</v>
      </c>
      <c r="Q80" s="206">
        <f t="shared" si="25"/>
        <v>0</v>
      </c>
      <c r="R8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14916</v>
      </c>
      <c r="T8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0" s="208">
        <f ca="1">IF(Tabla336106734811[[#This Row],[Equity]]&lt;Tabla336106734811[[#This Row],[Equity Peak]],(Tabla336106734811[[#This Row],[Equity Peak]]-Tabla336106734811[[#This Row],[Equity]])/Tabla336106734811[[#This Row],[Equity Peak]],"")</f>
        <v>2.9601197059397566E-2</v>
      </c>
      <c r="V80" s="209">
        <f t="shared" si="26"/>
        <v>0</v>
      </c>
      <c r="W80" s="209">
        <f t="shared" si="27"/>
        <v>0</v>
      </c>
      <c r="X80" s="209">
        <f t="shared" si="28"/>
        <v>0</v>
      </c>
      <c r="Y80" s="209">
        <f t="shared" si="29"/>
        <v>0</v>
      </c>
      <c r="Z80" s="209">
        <f t="shared" si="30"/>
        <v>1.87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2.898611111108039</v>
      </c>
      <c r="AE80" s="210">
        <f t="shared" si="35"/>
        <v>2.898611111108039</v>
      </c>
      <c r="AF80" s="210">
        <f t="shared" si="36"/>
        <v>0</v>
      </c>
      <c r="AG80" s="210">
        <f t="shared" si="37"/>
        <v>0</v>
      </c>
    </row>
    <row r="81" spans="2:33" ht="15" customHeight="1" x14ac:dyDescent="0.3">
      <c r="B81" s="196" t="s">
        <v>5</v>
      </c>
      <c r="C81" s="197" t="s">
        <v>15</v>
      </c>
      <c r="D81" s="198" t="str">
        <f t="shared" si="19"/>
        <v>C</v>
      </c>
      <c r="E81" s="199">
        <v>44757.760416666664</v>
      </c>
      <c r="F81" s="200" t="s">
        <v>92</v>
      </c>
      <c r="G81" s="201">
        <v>11949.07</v>
      </c>
      <c r="H81" s="201">
        <v>11908.81</v>
      </c>
      <c r="I81" s="202">
        <f t="shared" si="20"/>
        <v>40.260000000000218</v>
      </c>
      <c r="J81" s="201">
        <v>12700.63</v>
      </c>
      <c r="K81" s="199">
        <v>44757.792361111111</v>
      </c>
      <c r="L81" s="201">
        <v>11908.81</v>
      </c>
      <c r="M81" s="203">
        <f t="shared" si="21"/>
        <v>-40.26</v>
      </c>
      <c r="N81" s="204">
        <f t="shared" si="22"/>
        <v>-1</v>
      </c>
      <c r="O81" s="205">
        <f t="shared" si="23"/>
        <v>0</v>
      </c>
      <c r="P81" s="206">
        <f t="shared" si="24"/>
        <v>0</v>
      </c>
      <c r="Q81" s="206">
        <f t="shared" si="25"/>
        <v>-1</v>
      </c>
      <c r="R8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14729</v>
      </c>
      <c r="T8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1" s="208">
        <f ca="1">IF(Tabla336106734811[[#This Row],[Equity]]&lt;Tabla336106734811[[#This Row],[Equity Peak]],(Tabla336106734811[[#This Row],[Equity Peak]]-Tabla336106734811[[#This Row],[Equity]])/Tabla336106734811[[#This Row],[Equity Peak]],"")</f>
        <v>4.1766963762930195E-2</v>
      </c>
      <c r="V81" s="209">
        <f t="shared" si="26"/>
        <v>0</v>
      </c>
      <c r="W81" s="209">
        <f t="shared" si="27"/>
        <v>0</v>
      </c>
      <c r="X81" s="209">
        <f t="shared" si="28"/>
        <v>0</v>
      </c>
      <c r="Y81" s="209">
        <f t="shared" si="29"/>
        <v>0</v>
      </c>
      <c r="Z81" s="209">
        <f t="shared" si="30"/>
        <v>-1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3.1944444446708076E-2</v>
      </c>
      <c r="AE81" s="210">
        <f t="shared" si="35"/>
        <v>0</v>
      </c>
      <c r="AF81" s="210">
        <f t="shared" si="36"/>
        <v>3.1944444446708076E-2</v>
      </c>
      <c r="AG81" s="210">
        <f t="shared" si="37"/>
        <v>0</v>
      </c>
    </row>
    <row r="82" spans="2:33" ht="15" customHeight="1" x14ac:dyDescent="0.3">
      <c r="B82" s="196" t="s">
        <v>5</v>
      </c>
      <c r="C82" s="197" t="s">
        <v>13</v>
      </c>
      <c r="D82" s="198" t="str">
        <f t="shared" si="19"/>
        <v>C</v>
      </c>
      <c r="E82" s="199">
        <v>44755.65625</v>
      </c>
      <c r="F82" s="200" t="s">
        <v>92</v>
      </c>
      <c r="G82" s="201">
        <v>11480.06</v>
      </c>
      <c r="H82" s="201">
        <v>11522.06</v>
      </c>
      <c r="I82" s="202">
        <f t="shared" si="20"/>
        <v>42</v>
      </c>
      <c r="J82" s="201">
        <v>10696.07</v>
      </c>
      <c r="K82" s="199">
        <v>44755.665972222225</v>
      </c>
      <c r="L82" s="201">
        <v>11522.06</v>
      </c>
      <c r="M82" s="203">
        <f t="shared" si="21"/>
        <v>-42</v>
      </c>
      <c r="N82" s="204">
        <f t="shared" si="22"/>
        <v>-1</v>
      </c>
      <c r="O82" s="205">
        <f t="shared" si="23"/>
        <v>0</v>
      </c>
      <c r="P82" s="206">
        <f t="shared" si="24"/>
        <v>0</v>
      </c>
      <c r="Q82" s="206">
        <f t="shared" si="25"/>
        <v>-1</v>
      </c>
      <c r="R8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14829</v>
      </c>
      <c r="T8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2" s="208">
        <f ca="1">IF(Tabla336106734811[[#This Row],[Equity]]&lt;Tabla336106734811[[#This Row],[Equity Peak]],(Tabla336106734811[[#This Row],[Equity Peak]]-Tabla336106734811[[#This Row],[Equity]])/Tabla336106734811[[#This Row],[Equity Peak]],"")</f>
        <v>3.5261206167458203E-2</v>
      </c>
      <c r="V82" s="209">
        <f t="shared" si="26"/>
        <v>0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-1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9.7222222248092294E-3</v>
      </c>
      <c r="AE82" s="210">
        <f t="shared" si="35"/>
        <v>0</v>
      </c>
      <c r="AF82" s="210">
        <f t="shared" si="36"/>
        <v>9.7222222248092294E-3</v>
      </c>
      <c r="AG82" s="210">
        <f t="shared" si="37"/>
        <v>0</v>
      </c>
    </row>
    <row r="83" spans="2:33" ht="15" customHeight="1" x14ac:dyDescent="0.3">
      <c r="B83" s="196" t="s">
        <v>5</v>
      </c>
      <c r="C83" s="197" t="s">
        <v>13</v>
      </c>
      <c r="D83" s="198" t="str">
        <f t="shared" si="19"/>
        <v>C</v>
      </c>
      <c r="E83" s="199">
        <v>44754.9375</v>
      </c>
      <c r="F83" s="200" t="s">
        <v>92</v>
      </c>
      <c r="G83" s="201">
        <v>11713.78</v>
      </c>
      <c r="H83" s="201">
        <v>11757.52</v>
      </c>
      <c r="I83" s="202">
        <f t="shared" si="20"/>
        <v>43.739999999999782</v>
      </c>
      <c r="J83" s="201">
        <v>10897.38</v>
      </c>
      <c r="K83" s="199">
        <v>44755.127083333333</v>
      </c>
      <c r="L83" s="201">
        <v>11757.52</v>
      </c>
      <c r="M83" s="203">
        <f t="shared" si="21"/>
        <v>-43.74</v>
      </c>
      <c r="N83" s="204">
        <f t="shared" si="22"/>
        <v>-1</v>
      </c>
      <c r="O83" s="205">
        <f t="shared" si="23"/>
        <v>0</v>
      </c>
      <c r="P83" s="206">
        <f t="shared" si="24"/>
        <v>0</v>
      </c>
      <c r="Q83" s="206">
        <f t="shared" si="25"/>
        <v>-1</v>
      </c>
      <c r="R8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14929</v>
      </c>
      <c r="T8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3" s="208">
        <f ca="1">IF(Tabla336106734811[[#This Row],[Equity]]&lt;Tabla336106734811[[#This Row],[Equity Peak]],(Tabla336106734811[[#This Row],[Equity Peak]]-Tabla336106734811[[#This Row],[Equity]])/Tabla336106734811[[#This Row],[Equity Peak]],"")</f>
        <v>2.8755448571986208E-2</v>
      </c>
      <c r="V83" s="209">
        <f t="shared" si="26"/>
        <v>0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-1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0.18958333333284827</v>
      </c>
      <c r="AE83" s="210">
        <f t="shared" si="35"/>
        <v>0</v>
      </c>
      <c r="AF83" s="210">
        <f t="shared" si="36"/>
        <v>0.18958333333284827</v>
      </c>
      <c r="AG83" s="210">
        <f t="shared" si="37"/>
        <v>0</v>
      </c>
    </row>
    <row r="84" spans="2:33" ht="15" customHeight="1" x14ac:dyDescent="0.3">
      <c r="B84" s="196" t="s">
        <v>5</v>
      </c>
      <c r="C84" s="197" t="s">
        <v>13</v>
      </c>
      <c r="D84" s="198" t="str">
        <f t="shared" si="19"/>
        <v>C</v>
      </c>
      <c r="E84" s="199">
        <v>44754.166666666664</v>
      </c>
      <c r="F84" s="200" t="s">
        <v>92</v>
      </c>
      <c r="G84" s="201">
        <v>11777.71</v>
      </c>
      <c r="H84" s="201">
        <v>11817.15</v>
      </c>
      <c r="I84" s="202">
        <f t="shared" si="20"/>
        <v>39.440000000000509</v>
      </c>
      <c r="J84" s="201">
        <v>11041.49</v>
      </c>
      <c r="K84" s="199">
        <v>44754.597222222219</v>
      </c>
      <c r="L84" s="201">
        <v>11817.15</v>
      </c>
      <c r="M84" s="203">
        <f t="shared" si="21"/>
        <v>-39.44</v>
      </c>
      <c r="N84" s="204">
        <f t="shared" si="22"/>
        <v>-1</v>
      </c>
      <c r="O84" s="205">
        <f t="shared" si="23"/>
        <v>0</v>
      </c>
      <c r="P84" s="206">
        <f t="shared" si="24"/>
        <v>0</v>
      </c>
      <c r="Q84" s="206">
        <f t="shared" si="25"/>
        <v>-1</v>
      </c>
      <c r="R8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15029</v>
      </c>
      <c r="T8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4" s="208">
        <f ca="1">IF(Tabla336106734811[[#This Row],[Equity]]&lt;Tabla336106734811[[#This Row],[Equity Peak]],(Tabla336106734811[[#This Row],[Equity Peak]]-Tabla336106734811[[#This Row],[Equity]])/Tabla336106734811[[#This Row],[Equity Peak]],"")</f>
        <v>2.2249690976514216E-2</v>
      </c>
      <c r="V84" s="209">
        <f t="shared" si="26"/>
        <v>0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-1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0.43055555555474712</v>
      </c>
      <c r="AE84" s="210">
        <f t="shared" si="35"/>
        <v>0</v>
      </c>
      <c r="AF84" s="210">
        <f t="shared" si="36"/>
        <v>0.43055555555474712</v>
      </c>
      <c r="AG84" s="210">
        <f t="shared" si="37"/>
        <v>0</v>
      </c>
    </row>
    <row r="85" spans="2:33" ht="15" customHeight="1" x14ac:dyDescent="0.3">
      <c r="B85" s="196" t="s">
        <v>5</v>
      </c>
      <c r="C85" s="197" t="s">
        <v>15</v>
      </c>
      <c r="D85" s="198" t="str">
        <f t="shared" ref="D85:D116" si="38">IF(E85&lt;&gt;"",IF(K85&lt;&gt;"","C","O"),"")</f>
        <v>C</v>
      </c>
      <c r="E85" s="199">
        <v>44750.760416666664</v>
      </c>
      <c r="F85" s="200" t="s">
        <v>92</v>
      </c>
      <c r="G85" s="201">
        <v>12130.03</v>
      </c>
      <c r="H85" s="201">
        <v>12094.67</v>
      </c>
      <c r="I85" s="202">
        <f t="shared" ref="I85:I116" si="39">ABS(G85-H85)</f>
        <v>35.360000000000582</v>
      </c>
      <c r="J85" s="201">
        <v>12790.1</v>
      </c>
      <c r="K85" s="199">
        <v>44750.802083333336</v>
      </c>
      <c r="L85" s="201">
        <v>12094.67</v>
      </c>
      <c r="M85" s="203">
        <f t="shared" ref="M85:M116" si="40">ROUND(IF(C85="L",(L85-G85),(G85-L85)),4)</f>
        <v>-35.36</v>
      </c>
      <c r="N85" s="204">
        <f t="shared" ref="N85:N116" si="41">IFERROR(ROUND((M85/I85),2),"")</f>
        <v>-1</v>
      </c>
      <c r="O85" s="205">
        <f t="shared" ref="O85:O116" si="42">IF(D85="O",IF(N85&lt;0,N85,0),0)</f>
        <v>0</v>
      </c>
      <c r="P85" s="206">
        <f t="shared" ref="P85:P116" si="43">IF(N85&gt;= 0,N85,0)</f>
        <v>0</v>
      </c>
      <c r="Q85" s="206">
        <f t="shared" ref="Q85:Q116" si="44">IF(N85&lt;0,N85,0)</f>
        <v>-1</v>
      </c>
      <c r="R8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15129</v>
      </c>
      <c r="T8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5" s="208">
        <f ca="1">IF(Tabla336106734811[[#This Row],[Equity]]&lt;Tabla336106734811[[#This Row],[Equity Peak]],(Tabla336106734811[[#This Row],[Equity Peak]]-Tabla336106734811[[#This Row],[Equity]])/Tabla336106734811[[#This Row],[Equity Peak]],"")</f>
        <v>1.5743933381042224E-2</v>
      </c>
      <c r="V85" s="209">
        <f t="shared" ref="V85:V116" si="45">IF(B85="FX",N85,0)</f>
        <v>0</v>
      </c>
      <c r="W85" s="209">
        <f t="shared" ref="W85:W116" si="46">IF(D85="O",IF(V85&lt;0,V85,0),0)</f>
        <v>0</v>
      </c>
      <c r="X85" s="209">
        <f t="shared" ref="X85:X116" si="47">IF(B85="COM",N85,0)</f>
        <v>0</v>
      </c>
      <c r="Y85" s="209">
        <f t="shared" ref="Y85:Y116" si="48">IF(D85="O",IF(X85&lt;0,X85,0),0)</f>
        <v>0</v>
      </c>
      <c r="Z85" s="209">
        <f t="shared" ref="Z85:Z116" si="49">IF(B85="IND",N85,0)</f>
        <v>-1</v>
      </c>
      <c r="AA85" s="205">
        <f t="shared" ref="AA85:AA116" si="50">IF(D85="O",IF(Z85&lt;0,Z85,0),0)</f>
        <v>0</v>
      </c>
      <c r="AB85" s="209">
        <f t="shared" ref="AB85:AB116" si="51">IF(B85="CRYPTO",N85,0)</f>
        <v>0</v>
      </c>
      <c r="AC85" s="205">
        <f t="shared" ref="AC85:AC116" si="52">IF(D85="O",IF(AB85&lt;0,AB85,0),0)</f>
        <v>0</v>
      </c>
      <c r="AD85" s="210">
        <f t="shared" ref="AD85:AD116" si="53">IF(K85&lt;&gt;"",K85-E85,0)</f>
        <v>4.1666666671517305E-2</v>
      </c>
      <c r="AE85" s="210">
        <f t="shared" ref="AE85:AE116" si="54">IF(N85&gt;0,AD85,0)</f>
        <v>0</v>
      </c>
      <c r="AF85" s="210">
        <f t="shared" ref="AF85:AF116" si="55">IF(N85&lt;0,AD85,0)</f>
        <v>4.1666666671517305E-2</v>
      </c>
      <c r="AG85" s="210">
        <f t="shared" ref="AG85:AG116" si="56">IF(N85=0,AD85,0)</f>
        <v>0</v>
      </c>
    </row>
    <row r="86" spans="2:33" ht="15" customHeight="1" x14ac:dyDescent="0.3">
      <c r="B86" s="196" t="s">
        <v>5</v>
      </c>
      <c r="C86" s="197" t="s">
        <v>15</v>
      </c>
      <c r="D86" s="198" t="str">
        <f t="shared" si="38"/>
        <v>C</v>
      </c>
      <c r="E86" s="199">
        <v>44749.697916666664</v>
      </c>
      <c r="F86" s="200" t="s">
        <v>92</v>
      </c>
      <c r="G86" s="201">
        <v>11983.23</v>
      </c>
      <c r="H86" s="201">
        <v>11946.35</v>
      </c>
      <c r="I86" s="202">
        <f t="shared" si="39"/>
        <v>36.8799999999992</v>
      </c>
      <c r="J86" s="201">
        <v>12671.58</v>
      </c>
      <c r="K86" s="199">
        <v>44750.645833333336</v>
      </c>
      <c r="L86" s="201">
        <v>12004.56</v>
      </c>
      <c r="M86" s="203">
        <f t="shared" si="40"/>
        <v>21.33</v>
      </c>
      <c r="N86" s="204">
        <f t="shared" si="41"/>
        <v>0.57999999999999996</v>
      </c>
      <c r="O86" s="205">
        <f t="shared" si="42"/>
        <v>0</v>
      </c>
      <c r="P86" s="206">
        <f t="shared" si="43"/>
        <v>0.57999999999999996</v>
      </c>
      <c r="Q86" s="206">
        <f t="shared" si="44"/>
        <v>0</v>
      </c>
      <c r="R8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15229</v>
      </c>
      <c r="T8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6" s="208">
        <f ca="1">IF(Tabla336106734811[[#This Row],[Equity]]&lt;Tabla336106734811[[#This Row],[Equity Peak]],(Tabla336106734811[[#This Row],[Equity Peak]]-Tabla336106734811[[#This Row],[Equity]])/Tabla336106734811[[#This Row],[Equity Peak]],"")</f>
        <v>9.2381757855702299E-3</v>
      </c>
      <c r="V86" s="209">
        <f t="shared" si="45"/>
        <v>0</v>
      </c>
      <c r="W86" s="209">
        <f t="shared" si="46"/>
        <v>0</v>
      </c>
      <c r="X86" s="209">
        <f t="shared" si="47"/>
        <v>0</v>
      </c>
      <c r="Y86" s="209">
        <f t="shared" si="48"/>
        <v>0</v>
      </c>
      <c r="Z86" s="209">
        <f t="shared" si="49"/>
        <v>0.57999999999999996</v>
      </c>
      <c r="AA86" s="205">
        <f t="shared" si="50"/>
        <v>0</v>
      </c>
      <c r="AB86" s="209">
        <f t="shared" si="51"/>
        <v>0</v>
      </c>
      <c r="AC86" s="205">
        <f t="shared" si="52"/>
        <v>0</v>
      </c>
      <c r="AD86" s="210">
        <f t="shared" si="53"/>
        <v>0.94791666667151731</v>
      </c>
      <c r="AE86" s="210">
        <f t="shared" si="54"/>
        <v>0.94791666667151731</v>
      </c>
      <c r="AF86" s="210">
        <f t="shared" si="55"/>
        <v>0</v>
      </c>
      <c r="AG86" s="210">
        <f t="shared" si="56"/>
        <v>0</v>
      </c>
    </row>
    <row r="87" spans="2:33" ht="15" customHeight="1" x14ac:dyDescent="0.3">
      <c r="B87" s="196" t="s">
        <v>5</v>
      </c>
      <c r="C87" s="197" t="s">
        <v>15</v>
      </c>
      <c r="D87" s="198" t="str">
        <f t="shared" si="38"/>
        <v>C</v>
      </c>
      <c r="E87" s="199">
        <v>44748.90625</v>
      </c>
      <c r="F87" s="200" t="s">
        <v>92</v>
      </c>
      <c r="G87" s="201">
        <v>11887.91</v>
      </c>
      <c r="H87" s="201">
        <v>11838.89</v>
      </c>
      <c r="I87" s="202">
        <f t="shared" si="39"/>
        <v>49.020000000000437</v>
      </c>
      <c r="J87" s="201">
        <v>12802.94</v>
      </c>
      <c r="K87" s="199">
        <v>44748.95208333333</v>
      </c>
      <c r="L87" s="201">
        <v>11838.89</v>
      </c>
      <c r="M87" s="203">
        <f t="shared" si="40"/>
        <v>-49.02</v>
      </c>
      <c r="N87" s="204">
        <f t="shared" si="41"/>
        <v>-1</v>
      </c>
      <c r="O87" s="205">
        <f t="shared" si="42"/>
        <v>0</v>
      </c>
      <c r="P87" s="206">
        <f t="shared" si="43"/>
        <v>0</v>
      </c>
      <c r="Q87" s="206">
        <f t="shared" si="44"/>
        <v>-1</v>
      </c>
      <c r="R8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15171</v>
      </c>
      <c r="T8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7" s="208">
        <f ca="1">IF(Tabla336106734811[[#This Row],[Equity]]&lt;Tabla336106734811[[#This Row],[Equity Peak]],(Tabla336106734811[[#This Row],[Equity Peak]]-Tabla336106734811[[#This Row],[Equity]])/Tabla336106734811[[#This Row],[Equity Peak]],"")</f>
        <v>1.3011515190943986E-2</v>
      </c>
      <c r="V87" s="209">
        <f t="shared" si="45"/>
        <v>0</v>
      </c>
      <c r="W87" s="209">
        <f t="shared" si="46"/>
        <v>0</v>
      </c>
      <c r="X87" s="209">
        <f t="shared" si="47"/>
        <v>0</v>
      </c>
      <c r="Y87" s="209">
        <f t="shared" si="48"/>
        <v>0</v>
      </c>
      <c r="Z87" s="209">
        <f t="shared" si="49"/>
        <v>-1</v>
      </c>
      <c r="AA87" s="205">
        <f t="shared" si="50"/>
        <v>0</v>
      </c>
      <c r="AB87" s="209">
        <f t="shared" si="51"/>
        <v>0</v>
      </c>
      <c r="AC87" s="205">
        <f t="shared" si="52"/>
        <v>0</v>
      </c>
      <c r="AD87" s="210">
        <f t="shared" si="53"/>
        <v>4.5833333329937886E-2</v>
      </c>
      <c r="AE87" s="210">
        <f t="shared" si="54"/>
        <v>0</v>
      </c>
      <c r="AF87" s="210">
        <f t="shared" si="55"/>
        <v>4.5833333329937886E-2</v>
      </c>
      <c r="AG87" s="210">
        <f t="shared" si="56"/>
        <v>0</v>
      </c>
    </row>
    <row r="88" spans="2:33" ht="15" customHeight="1" x14ac:dyDescent="0.3">
      <c r="B88" s="196" t="s">
        <v>5</v>
      </c>
      <c r="C88" s="197" t="s">
        <v>15</v>
      </c>
      <c r="D88" s="198" t="str">
        <f t="shared" si="38"/>
        <v>C</v>
      </c>
      <c r="E88" s="199">
        <v>44747.958333333336</v>
      </c>
      <c r="F88" s="200" t="s">
        <v>92</v>
      </c>
      <c r="G88" s="201">
        <v>11776.74</v>
      </c>
      <c r="H88" s="201">
        <v>11726.9</v>
      </c>
      <c r="I88" s="202">
        <f t="shared" si="39"/>
        <v>49.840000000000146</v>
      </c>
      <c r="J88" s="201">
        <v>12707.08</v>
      </c>
      <c r="K88" s="199">
        <v>44748.374305555553</v>
      </c>
      <c r="L88" s="201">
        <v>11726.9</v>
      </c>
      <c r="M88" s="203">
        <f t="shared" si="40"/>
        <v>-49.84</v>
      </c>
      <c r="N88" s="204">
        <f t="shared" si="41"/>
        <v>-1</v>
      </c>
      <c r="O88" s="205">
        <f t="shared" si="42"/>
        <v>0</v>
      </c>
      <c r="P88" s="206">
        <f t="shared" si="43"/>
        <v>0</v>
      </c>
      <c r="Q88" s="206">
        <f t="shared" si="44"/>
        <v>-1</v>
      </c>
      <c r="R8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15271</v>
      </c>
      <c r="T8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8" s="208">
        <f ca="1">IF(Tabla336106734811[[#This Row],[Equity]]&lt;Tabla336106734811[[#This Row],[Equity Peak]],(Tabla336106734811[[#This Row],[Equity Peak]]-Tabla336106734811[[#This Row],[Equity]])/Tabla336106734811[[#This Row],[Equity Peak]],"")</f>
        <v>6.5057575954719929E-3</v>
      </c>
      <c r="V88" s="209">
        <f t="shared" si="45"/>
        <v>0</v>
      </c>
      <c r="W88" s="209">
        <f t="shared" si="46"/>
        <v>0</v>
      </c>
      <c r="X88" s="209">
        <f t="shared" si="47"/>
        <v>0</v>
      </c>
      <c r="Y88" s="209">
        <f t="shared" si="48"/>
        <v>0</v>
      </c>
      <c r="Z88" s="209">
        <f t="shared" si="49"/>
        <v>-1</v>
      </c>
      <c r="AA88" s="205">
        <f t="shared" si="50"/>
        <v>0</v>
      </c>
      <c r="AB88" s="209">
        <f t="shared" si="51"/>
        <v>0</v>
      </c>
      <c r="AC88" s="205">
        <f t="shared" si="52"/>
        <v>0</v>
      </c>
      <c r="AD88" s="210">
        <f t="shared" si="53"/>
        <v>0.41597222221753327</v>
      </c>
      <c r="AE88" s="210">
        <f t="shared" si="54"/>
        <v>0</v>
      </c>
      <c r="AF88" s="210">
        <f t="shared" si="55"/>
        <v>0.41597222221753327</v>
      </c>
      <c r="AG88" s="210">
        <f t="shared" si="56"/>
        <v>0</v>
      </c>
    </row>
    <row r="89" spans="2:33" ht="15" customHeight="1" x14ac:dyDescent="0.3">
      <c r="B89" s="196" t="s">
        <v>5</v>
      </c>
      <c r="C89" s="197" t="s">
        <v>13</v>
      </c>
      <c r="D89" s="198" t="str">
        <f t="shared" si="38"/>
        <v>C</v>
      </c>
      <c r="E89" s="199">
        <v>44742.395833333336</v>
      </c>
      <c r="F89" s="200" t="s">
        <v>92</v>
      </c>
      <c r="G89" s="201">
        <v>11512.6</v>
      </c>
      <c r="H89" s="201">
        <v>11562.14</v>
      </c>
      <c r="I89" s="202">
        <f t="shared" si="39"/>
        <v>49.539999999999054</v>
      </c>
      <c r="J89" s="201">
        <v>10587.82</v>
      </c>
      <c r="K89" s="199">
        <v>44742.76458333333</v>
      </c>
      <c r="L89" s="201">
        <v>11497.29</v>
      </c>
      <c r="M89" s="203">
        <f t="shared" si="40"/>
        <v>15.31</v>
      </c>
      <c r="N89" s="204">
        <f t="shared" si="41"/>
        <v>0.31</v>
      </c>
      <c r="O89" s="205">
        <f t="shared" si="42"/>
        <v>0</v>
      </c>
      <c r="P89" s="206">
        <f t="shared" si="43"/>
        <v>0.31</v>
      </c>
      <c r="Q89" s="206">
        <f t="shared" si="44"/>
        <v>0</v>
      </c>
      <c r="R8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15371</v>
      </c>
      <c r="T8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15371</v>
      </c>
      <c r="U8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89" s="209">
        <f t="shared" si="45"/>
        <v>0</v>
      </c>
      <c r="W89" s="209">
        <f t="shared" si="46"/>
        <v>0</v>
      </c>
      <c r="X89" s="209">
        <f t="shared" si="47"/>
        <v>0</v>
      </c>
      <c r="Y89" s="209">
        <f t="shared" si="48"/>
        <v>0</v>
      </c>
      <c r="Z89" s="209">
        <f t="shared" si="49"/>
        <v>0.31</v>
      </c>
      <c r="AA89" s="205">
        <f t="shared" si="50"/>
        <v>0</v>
      </c>
      <c r="AB89" s="209">
        <f t="shared" si="51"/>
        <v>0</v>
      </c>
      <c r="AC89" s="205">
        <f t="shared" si="52"/>
        <v>0</v>
      </c>
      <c r="AD89" s="210">
        <f t="shared" si="53"/>
        <v>0.36874999999417923</v>
      </c>
      <c r="AE89" s="210">
        <f t="shared" si="54"/>
        <v>0.36874999999417923</v>
      </c>
      <c r="AF89" s="210">
        <f t="shared" si="55"/>
        <v>0</v>
      </c>
      <c r="AG89" s="210">
        <f t="shared" si="56"/>
        <v>0</v>
      </c>
    </row>
    <row r="90" spans="2:33" ht="15" customHeight="1" x14ac:dyDescent="0.3">
      <c r="B90" s="196" t="s">
        <v>5</v>
      </c>
      <c r="C90" s="197" t="s">
        <v>13</v>
      </c>
      <c r="D90" s="198" t="str">
        <f t="shared" si="38"/>
        <v>C</v>
      </c>
      <c r="E90" s="199">
        <v>44740.84375</v>
      </c>
      <c r="F90" s="200" t="s">
        <v>92</v>
      </c>
      <c r="G90" s="201">
        <v>11715.94</v>
      </c>
      <c r="H90" s="201">
        <v>11758.75</v>
      </c>
      <c r="I90" s="202">
        <f t="shared" si="39"/>
        <v>42.809999999999491</v>
      </c>
      <c r="J90" s="201">
        <v>10916.82</v>
      </c>
      <c r="K90" s="199">
        <v>44741.702777777777</v>
      </c>
      <c r="L90" s="201">
        <v>11674.71</v>
      </c>
      <c r="M90" s="203">
        <f t="shared" si="40"/>
        <v>41.23</v>
      </c>
      <c r="N90" s="204">
        <f t="shared" si="41"/>
        <v>0.96</v>
      </c>
      <c r="O90" s="205">
        <f t="shared" si="42"/>
        <v>0</v>
      </c>
      <c r="P90" s="206">
        <f t="shared" si="43"/>
        <v>0.96</v>
      </c>
      <c r="Q90" s="206">
        <f t="shared" si="44"/>
        <v>0</v>
      </c>
      <c r="R9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15340</v>
      </c>
      <c r="T9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15344</v>
      </c>
      <c r="U90" s="208">
        <f ca="1">IF(Tabla336106734811[[#This Row],[Equity]]&lt;Tabla336106734811[[#This Row],[Equity Peak]],(Tabla336106734811[[#This Row],[Equity Peak]]-Tabla336106734811[[#This Row],[Equity]])/Tabla336106734811[[#This Row],[Equity Peak]],"")</f>
        <v>2.6068821689259646E-4</v>
      </c>
      <c r="V90" s="209">
        <f t="shared" si="45"/>
        <v>0</v>
      </c>
      <c r="W90" s="209">
        <f t="shared" si="46"/>
        <v>0</v>
      </c>
      <c r="X90" s="209">
        <f t="shared" si="47"/>
        <v>0</v>
      </c>
      <c r="Y90" s="209">
        <f t="shared" si="48"/>
        <v>0</v>
      </c>
      <c r="Z90" s="209">
        <f t="shared" si="49"/>
        <v>0.96</v>
      </c>
      <c r="AA90" s="205">
        <f t="shared" si="50"/>
        <v>0</v>
      </c>
      <c r="AB90" s="209">
        <f t="shared" si="51"/>
        <v>0</v>
      </c>
      <c r="AC90" s="205">
        <f t="shared" si="52"/>
        <v>0</v>
      </c>
      <c r="AD90" s="210">
        <f t="shared" si="53"/>
        <v>0.85902777777664596</v>
      </c>
      <c r="AE90" s="210">
        <f t="shared" si="54"/>
        <v>0.85902777777664596</v>
      </c>
      <c r="AF90" s="210">
        <f t="shared" si="55"/>
        <v>0</v>
      </c>
      <c r="AG90" s="210">
        <f t="shared" si="56"/>
        <v>0</v>
      </c>
    </row>
    <row r="91" spans="2:33" ht="15" customHeight="1" x14ac:dyDescent="0.3">
      <c r="B91" s="196" t="s">
        <v>5</v>
      </c>
      <c r="C91" s="197" t="s">
        <v>13</v>
      </c>
      <c r="D91" s="198" t="str">
        <f t="shared" si="38"/>
        <v>C</v>
      </c>
      <c r="E91" s="199">
        <v>44740.791666666664</v>
      </c>
      <c r="F91" s="200" t="s">
        <v>92</v>
      </c>
      <c r="G91" s="201">
        <v>11752.56</v>
      </c>
      <c r="H91" s="201">
        <v>11794.66</v>
      </c>
      <c r="I91" s="202">
        <f t="shared" si="39"/>
        <v>42.100000000000364</v>
      </c>
      <c r="J91" s="201">
        <v>10966.65</v>
      </c>
      <c r="K91" s="199">
        <v>44740.822916666664</v>
      </c>
      <c r="L91" s="201">
        <v>11794.66</v>
      </c>
      <c r="M91" s="203">
        <f t="shared" si="40"/>
        <v>-42.1</v>
      </c>
      <c r="N91" s="204">
        <f t="shared" si="41"/>
        <v>-1</v>
      </c>
      <c r="O91" s="205">
        <f t="shared" si="42"/>
        <v>0</v>
      </c>
      <c r="P91" s="206">
        <f t="shared" si="43"/>
        <v>0</v>
      </c>
      <c r="Q91" s="206">
        <f t="shared" si="44"/>
        <v>-1</v>
      </c>
      <c r="R9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15244</v>
      </c>
      <c r="T9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15344</v>
      </c>
      <c r="U91" s="208">
        <f ca="1">IF(Tabla336106734811[[#This Row],[Equity]]&lt;Tabla336106734811[[#This Row],[Equity Peak]],(Tabla336106734811[[#This Row],[Equity Peak]]-Tabla336106734811[[#This Row],[Equity]])/Tabla336106734811[[#This Row],[Equity Peak]],"")</f>
        <v>6.5172054223149112E-3</v>
      </c>
      <c r="V91" s="209">
        <f t="shared" si="45"/>
        <v>0</v>
      </c>
      <c r="W91" s="209">
        <f t="shared" si="46"/>
        <v>0</v>
      </c>
      <c r="X91" s="209">
        <f t="shared" si="47"/>
        <v>0</v>
      </c>
      <c r="Y91" s="209">
        <f t="shared" si="48"/>
        <v>0</v>
      </c>
      <c r="Z91" s="209">
        <f t="shared" si="49"/>
        <v>-1</v>
      </c>
      <c r="AA91" s="205">
        <f t="shared" si="50"/>
        <v>0</v>
      </c>
      <c r="AB91" s="209">
        <f t="shared" si="51"/>
        <v>0</v>
      </c>
      <c r="AC91" s="205">
        <f t="shared" si="52"/>
        <v>0</v>
      </c>
      <c r="AD91" s="210">
        <f t="shared" si="53"/>
        <v>3.125E-2</v>
      </c>
      <c r="AE91" s="210">
        <f t="shared" si="54"/>
        <v>0</v>
      </c>
      <c r="AF91" s="210">
        <f t="shared" si="55"/>
        <v>3.125E-2</v>
      </c>
      <c r="AG91" s="210">
        <f t="shared" si="56"/>
        <v>0</v>
      </c>
    </row>
    <row r="92" spans="2:33" ht="15" customHeight="1" x14ac:dyDescent="0.3">
      <c r="B92" s="196" t="s">
        <v>5</v>
      </c>
      <c r="C92" s="197" t="s">
        <v>15</v>
      </c>
      <c r="D92" s="198" t="str">
        <f t="shared" si="38"/>
        <v>C</v>
      </c>
      <c r="E92" s="199">
        <v>44736.697916666664</v>
      </c>
      <c r="F92" s="200" t="s">
        <v>92</v>
      </c>
      <c r="G92" s="201">
        <v>11918.79</v>
      </c>
      <c r="H92" s="201">
        <v>11882.63</v>
      </c>
      <c r="I92" s="202">
        <f t="shared" si="39"/>
        <v>36.160000000001673</v>
      </c>
      <c r="J92" s="201">
        <v>12593.76</v>
      </c>
      <c r="K92" s="199">
        <v>44739.689583333333</v>
      </c>
      <c r="L92" s="201">
        <v>12081.54</v>
      </c>
      <c r="M92" s="203">
        <f t="shared" si="40"/>
        <v>162.75</v>
      </c>
      <c r="N92" s="204">
        <f t="shared" si="41"/>
        <v>4.5</v>
      </c>
      <c r="O92" s="205">
        <f t="shared" si="42"/>
        <v>0</v>
      </c>
      <c r="P92" s="206">
        <f t="shared" si="43"/>
        <v>4.5</v>
      </c>
      <c r="Q92" s="206">
        <f t="shared" si="44"/>
        <v>0</v>
      </c>
      <c r="R9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15344</v>
      </c>
      <c r="T9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15344</v>
      </c>
      <c r="U92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2" s="209">
        <f t="shared" si="45"/>
        <v>0</v>
      </c>
      <c r="W92" s="209">
        <f t="shared" si="46"/>
        <v>0</v>
      </c>
      <c r="X92" s="209">
        <f t="shared" si="47"/>
        <v>0</v>
      </c>
      <c r="Y92" s="209">
        <f t="shared" si="48"/>
        <v>0</v>
      </c>
      <c r="Z92" s="209">
        <f t="shared" si="49"/>
        <v>4.5</v>
      </c>
      <c r="AA92" s="205">
        <f t="shared" si="50"/>
        <v>0</v>
      </c>
      <c r="AB92" s="209">
        <f t="shared" si="51"/>
        <v>0</v>
      </c>
      <c r="AC92" s="205">
        <f t="shared" si="52"/>
        <v>0</v>
      </c>
      <c r="AD92" s="210">
        <f t="shared" si="53"/>
        <v>2.9916666666686069</v>
      </c>
      <c r="AE92" s="210">
        <f t="shared" si="54"/>
        <v>2.9916666666686069</v>
      </c>
      <c r="AF92" s="210">
        <f t="shared" si="55"/>
        <v>0</v>
      </c>
      <c r="AG92" s="210">
        <f t="shared" si="56"/>
        <v>0</v>
      </c>
    </row>
    <row r="93" spans="2:33" ht="15" customHeight="1" x14ac:dyDescent="0.3">
      <c r="B93" s="196" t="s">
        <v>5</v>
      </c>
      <c r="C93" s="197" t="s">
        <v>13</v>
      </c>
      <c r="D93" s="198" t="str">
        <f t="shared" si="38"/>
        <v>C</v>
      </c>
      <c r="E93" s="199">
        <v>44728.71875</v>
      </c>
      <c r="F93" s="200" t="s">
        <v>92</v>
      </c>
      <c r="G93" s="201">
        <v>11167.28</v>
      </c>
      <c r="H93" s="201">
        <v>11241.23</v>
      </c>
      <c r="I93" s="202">
        <f t="shared" si="39"/>
        <v>73.949999999998909</v>
      </c>
      <c r="J93" s="201">
        <v>9786.86</v>
      </c>
      <c r="K93" s="199">
        <v>44729.304166666669</v>
      </c>
      <c r="L93" s="201">
        <v>11234.03</v>
      </c>
      <c r="M93" s="203">
        <f t="shared" si="40"/>
        <v>-66.75</v>
      </c>
      <c r="N93" s="204">
        <f t="shared" si="41"/>
        <v>-0.9</v>
      </c>
      <c r="O93" s="205">
        <f t="shared" si="42"/>
        <v>0</v>
      </c>
      <c r="P93" s="206">
        <f t="shared" si="43"/>
        <v>0</v>
      </c>
      <c r="Q93" s="206">
        <f t="shared" si="44"/>
        <v>-0.9</v>
      </c>
      <c r="R9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14894</v>
      </c>
      <c r="T9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15084</v>
      </c>
      <c r="U93" s="208">
        <f ca="1">IF(Tabla336106734811[[#This Row],[Equity]]&lt;Tabla336106734811[[#This Row],[Equity Peak]],(Tabla336106734811[[#This Row],[Equity Peak]]-Tabla336106734811[[#This Row],[Equity]])/Tabla336106734811[[#This Row],[Equity Peak]],"")</f>
        <v>1.2596128347918324E-2</v>
      </c>
      <c r="V93" s="209">
        <f t="shared" si="45"/>
        <v>0</v>
      </c>
      <c r="W93" s="209">
        <f t="shared" si="46"/>
        <v>0</v>
      </c>
      <c r="X93" s="209">
        <f t="shared" si="47"/>
        <v>0</v>
      </c>
      <c r="Y93" s="209">
        <f t="shared" si="48"/>
        <v>0</v>
      </c>
      <c r="Z93" s="209">
        <f t="shared" si="49"/>
        <v>-0.9</v>
      </c>
      <c r="AA93" s="205">
        <f t="shared" si="50"/>
        <v>0</v>
      </c>
      <c r="AB93" s="209">
        <f t="shared" si="51"/>
        <v>0</v>
      </c>
      <c r="AC93" s="205">
        <f t="shared" si="52"/>
        <v>0</v>
      </c>
      <c r="AD93" s="210">
        <f t="shared" si="53"/>
        <v>0.58541666666860692</v>
      </c>
      <c r="AE93" s="210">
        <f t="shared" si="54"/>
        <v>0</v>
      </c>
      <c r="AF93" s="210">
        <f t="shared" si="55"/>
        <v>0.58541666666860692</v>
      </c>
      <c r="AG93" s="210">
        <f t="shared" si="56"/>
        <v>0</v>
      </c>
    </row>
    <row r="94" spans="2:33" ht="15" customHeight="1" x14ac:dyDescent="0.3">
      <c r="B94" s="196" t="s">
        <v>5</v>
      </c>
      <c r="C94" s="197" t="s">
        <v>13</v>
      </c>
      <c r="D94" s="198" t="str">
        <f t="shared" si="38"/>
        <v>C</v>
      </c>
      <c r="E94" s="199">
        <v>44726.927083333336</v>
      </c>
      <c r="F94" s="200" t="s">
        <v>92</v>
      </c>
      <c r="G94" s="201">
        <v>11219.1</v>
      </c>
      <c r="H94" s="201">
        <v>11278.22</v>
      </c>
      <c r="I94" s="202">
        <f t="shared" si="39"/>
        <v>59.119999999998981</v>
      </c>
      <c r="J94" s="201">
        <v>10115.5</v>
      </c>
      <c r="K94" s="199">
        <v>44726.938194444447</v>
      </c>
      <c r="L94" s="201">
        <v>11278.22</v>
      </c>
      <c r="M94" s="203">
        <f t="shared" si="40"/>
        <v>-59.12</v>
      </c>
      <c r="N94" s="204">
        <f t="shared" si="41"/>
        <v>-1</v>
      </c>
      <c r="O94" s="205">
        <f t="shared" si="42"/>
        <v>0</v>
      </c>
      <c r="P94" s="206">
        <f t="shared" si="43"/>
        <v>0</v>
      </c>
      <c r="Q94" s="206">
        <f t="shared" si="44"/>
        <v>-1</v>
      </c>
      <c r="R9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14984</v>
      </c>
      <c r="T9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15084</v>
      </c>
      <c r="U94" s="208">
        <f ca="1">IF(Tabla336106734811[[#This Row],[Equity]]&lt;Tabla336106734811[[#This Row],[Equity Peak]],(Tabla336106734811[[#This Row],[Equity Peak]]-Tabla336106734811[[#This Row],[Equity]])/Tabla336106734811[[#This Row],[Equity Peak]],"")</f>
        <v>6.6295412357464866E-3</v>
      </c>
      <c r="V94" s="209">
        <f t="shared" si="45"/>
        <v>0</v>
      </c>
      <c r="W94" s="209">
        <f t="shared" si="46"/>
        <v>0</v>
      </c>
      <c r="X94" s="209">
        <f t="shared" si="47"/>
        <v>0</v>
      </c>
      <c r="Y94" s="209">
        <f t="shared" si="48"/>
        <v>0</v>
      </c>
      <c r="Z94" s="209">
        <f t="shared" si="49"/>
        <v>-1</v>
      </c>
      <c r="AA94" s="205">
        <f t="shared" si="50"/>
        <v>0</v>
      </c>
      <c r="AB94" s="209">
        <f t="shared" si="51"/>
        <v>0</v>
      </c>
      <c r="AC94" s="205">
        <f t="shared" si="52"/>
        <v>0</v>
      </c>
      <c r="AD94" s="210">
        <f t="shared" si="53"/>
        <v>1.1111111110949423E-2</v>
      </c>
      <c r="AE94" s="210">
        <f t="shared" si="54"/>
        <v>0</v>
      </c>
      <c r="AF94" s="210">
        <f t="shared" si="55"/>
        <v>1.1111111110949423E-2</v>
      </c>
      <c r="AG94" s="210">
        <f t="shared" si="56"/>
        <v>0</v>
      </c>
    </row>
    <row r="95" spans="2:33" ht="15" customHeight="1" x14ac:dyDescent="0.3">
      <c r="B95" s="196" t="s">
        <v>5</v>
      </c>
      <c r="C95" s="197" t="s">
        <v>13</v>
      </c>
      <c r="D95" s="198" t="str">
        <f t="shared" si="38"/>
        <v>C</v>
      </c>
      <c r="E95" s="199">
        <v>44721.90625</v>
      </c>
      <c r="F95" s="200" t="s">
        <v>92</v>
      </c>
      <c r="G95" s="201">
        <v>12469.3</v>
      </c>
      <c r="H95" s="201">
        <v>12516.05</v>
      </c>
      <c r="I95" s="202">
        <f t="shared" si="39"/>
        <v>46.75</v>
      </c>
      <c r="J95" s="201">
        <v>11596.7</v>
      </c>
      <c r="K95" s="199">
        <v>44725.181944444441</v>
      </c>
      <c r="L95" s="201">
        <v>11596.7</v>
      </c>
      <c r="M95" s="203">
        <f t="shared" si="40"/>
        <v>872.6</v>
      </c>
      <c r="N95" s="204">
        <f t="shared" si="41"/>
        <v>18.670000000000002</v>
      </c>
      <c r="O95" s="205">
        <f t="shared" si="42"/>
        <v>0</v>
      </c>
      <c r="P95" s="206">
        <f t="shared" si="43"/>
        <v>18.670000000000002</v>
      </c>
      <c r="Q95" s="206">
        <f t="shared" si="44"/>
        <v>0</v>
      </c>
      <c r="R9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15084</v>
      </c>
      <c r="T9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15084</v>
      </c>
      <c r="U95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5" s="209">
        <f t="shared" si="45"/>
        <v>0</v>
      </c>
      <c r="W95" s="209">
        <f t="shared" si="46"/>
        <v>0</v>
      </c>
      <c r="X95" s="209">
        <f t="shared" si="47"/>
        <v>0</v>
      </c>
      <c r="Y95" s="209">
        <f t="shared" si="48"/>
        <v>0</v>
      </c>
      <c r="Z95" s="209">
        <f t="shared" si="49"/>
        <v>18.670000000000002</v>
      </c>
      <c r="AA95" s="205">
        <f t="shared" si="50"/>
        <v>0</v>
      </c>
      <c r="AB95" s="209">
        <f t="shared" si="51"/>
        <v>0</v>
      </c>
      <c r="AC95" s="205">
        <f t="shared" si="52"/>
        <v>0</v>
      </c>
      <c r="AD95" s="210">
        <f t="shared" si="53"/>
        <v>3.2756944444408873</v>
      </c>
      <c r="AE95" s="210">
        <f t="shared" si="54"/>
        <v>3.2756944444408873</v>
      </c>
      <c r="AF95" s="210">
        <f t="shared" si="55"/>
        <v>0</v>
      </c>
      <c r="AG95" s="210">
        <f t="shared" si="56"/>
        <v>0</v>
      </c>
    </row>
    <row r="96" spans="2:33" ht="15" customHeight="1" x14ac:dyDescent="0.3">
      <c r="B96" s="196" t="s">
        <v>5</v>
      </c>
      <c r="C96" s="197" t="s">
        <v>13</v>
      </c>
      <c r="D96" s="198" t="str">
        <f t="shared" si="38"/>
        <v>C</v>
      </c>
      <c r="E96" s="199">
        <v>44719.59375</v>
      </c>
      <c r="F96" s="200" t="s">
        <v>92</v>
      </c>
      <c r="G96" s="201">
        <v>12443.76</v>
      </c>
      <c r="H96" s="201">
        <v>12489.32</v>
      </c>
      <c r="I96" s="202">
        <f t="shared" si="39"/>
        <v>45.559999999999491</v>
      </c>
      <c r="J96" s="201">
        <v>11593.31</v>
      </c>
      <c r="K96" s="199">
        <v>44719.692361111112</v>
      </c>
      <c r="L96" s="201">
        <v>12489.32</v>
      </c>
      <c r="M96" s="203">
        <f t="shared" si="40"/>
        <v>-45.56</v>
      </c>
      <c r="N96" s="204">
        <f t="shared" si="41"/>
        <v>-1</v>
      </c>
      <c r="O96" s="205">
        <f t="shared" si="42"/>
        <v>0</v>
      </c>
      <c r="P96" s="206">
        <f t="shared" si="43"/>
        <v>0</v>
      </c>
      <c r="Q96" s="206">
        <f t="shared" si="44"/>
        <v>-1</v>
      </c>
      <c r="R9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13217</v>
      </c>
      <c r="T9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13517</v>
      </c>
      <c r="U96" s="208">
        <f ca="1">IF(Tabla336106734811[[#This Row],[Equity]]&lt;Tabla336106734811[[#This Row],[Equity Peak]],(Tabla336106734811[[#This Row],[Equity Peak]]-Tabla336106734811[[#This Row],[Equity]])/Tabla336106734811[[#This Row],[Equity Peak]],"")</f>
        <v>2.2194273877339646E-2</v>
      </c>
      <c r="V96" s="209">
        <f t="shared" si="45"/>
        <v>0</v>
      </c>
      <c r="W96" s="209">
        <f t="shared" si="46"/>
        <v>0</v>
      </c>
      <c r="X96" s="209">
        <f t="shared" si="47"/>
        <v>0</v>
      </c>
      <c r="Y96" s="209">
        <f t="shared" si="48"/>
        <v>0</v>
      </c>
      <c r="Z96" s="209">
        <f t="shared" si="49"/>
        <v>-1</v>
      </c>
      <c r="AA96" s="205">
        <f t="shared" si="50"/>
        <v>0</v>
      </c>
      <c r="AB96" s="209">
        <f t="shared" si="51"/>
        <v>0</v>
      </c>
      <c r="AC96" s="205">
        <f t="shared" si="52"/>
        <v>0</v>
      </c>
      <c r="AD96" s="210">
        <f t="shared" si="53"/>
        <v>9.8611111112404615E-2</v>
      </c>
      <c r="AE96" s="210">
        <f t="shared" si="54"/>
        <v>0</v>
      </c>
      <c r="AF96" s="210">
        <f t="shared" si="55"/>
        <v>9.8611111112404615E-2</v>
      </c>
      <c r="AG96" s="210">
        <f t="shared" si="56"/>
        <v>0</v>
      </c>
    </row>
    <row r="97" spans="2:33" ht="15" customHeight="1" x14ac:dyDescent="0.3">
      <c r="B97" s="196" t="s">
        <v>5</v>
      </c>
      <c r="C97" s="197" t="s">
        <v>13</v>
      </c>
      <c r="D97" s="198" t="str">
        <f t="shared" si="38"/>
        <v>C</v>
      </c>
      <c r="E97" s="199">
        <v>44719.354166666664</v>
      </c>
      <c r="F97" s="200" t="s">
        <v>92</v>
      </c>
      <c r="G97" s="201">
        <v>12469.04</v>
      </c>
      <c r="H97" s="201">
        <v>12514.89</v>
      </c>
      <c r="I97" s="202">
        <f t="shared" si="39"/>
        <v>45.849999999998545</v>
      </c>
      <c r="J97" s="201">
        <v>11613.23</v>
      </c>
      <c r="K97" s="199">
        <v>44719.396527777775</v>
      </c>
      <c r="L97" s="201">
        <v>12514.89</v>
      </c>
      <c r="M97" s="203">
        <f t="shared" si="40"/>
        <v>-45.85</v>
      </c>
      <c r="N97" s="204">
        <f t="shared" si="41"/>
        <v>-1</v>
      </c>
      <c r="O97" s="205">
        <f t="shared" si="42"/>
        <v>0</v>
      </c>
      <c r="P97" s="206">
        <f t="shared" si="43"/>
        <v>0</v>
      </c>
      <c r="Q97" s="206">
        <f t="shared" si="44"/>
        <v>-1</v>
      </c>
      <c r="R9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13317</v>
      </c>
      <c r="T9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13517</v>
      </c>
      <c r="U97" s="208">
        <f ca="1">IF(Tabla336106734811[[#This Row],[Equity]]&lt;Tabla336106734811[[#This Row],[Equity Peak]],(Tabla336106734811[[#This Row],[Equity Peak]]-Tabla336106734811[[#This Row],[Equity]])/Tabla336106734811[[#This Row],[Equity Peak]],"")</f>
        <v>1.4796182584893097E-2</v>
      </c>
      <c r="V97" s="209">
        <f t="shared" si="45"/>
        <v>0</v>
      </c>
      <c r="W97" s="209">
        <f t="shared" si="46"/>
        <v>0</v>
      </c>
      <c r="X97" s="209">
        <f t="shared" si="47"/>
        <v>0</v>
      </c>
      <c r="Y97" s="209">
        <f t="shared" si="48"/>
        <v>0</v>
      </c>
      <c r="Z97" s="209">
        <f t="shared" si="49"/>
        <v>-1</v>
      </c>
      <c r="AA97" s="205">
        <f t="shared" si="50"/>
        <v>0</v>
      </c>
      <c r="AB97" s="209">
        <f t="shared" si="51"/>
        <v>0</v>
      </c>
      <c r="AC97" s="205">
        <f t="shared" si="52"/>
        <v>0</v>
      </c>
      <c r="AD97" s="210">
        <f t="shared" si="53"/>
        <v>4.2361111110949423E-2</v>
      </c>
      <c r="AE97" s="210">
        <f t="shared" si="54"/>
        <v>0</v>
      </c>
      <c r="AF97" s="210">
        <f t="shared" si="55"/>
        <v>4.2361111110949423E-2</v>
      </c>
      <c r="AG97" s="210">
        <f t="shared" si="56"/>
        <v>0</v>
      </c>
    </row>
    <row r="98" spans="2:33" ht="15" customHeight="1" x14ac:dyDescent="0.3">
      <c r="B98" s="196" t="s">
        <v>5</v>
      </c>
      <c r="C98" s="197" t="s">
        <v>15</v>
      </c>
      <c r="D98" s="198" t="str">
        <f t="shared" si="38"/>
        <v>C</v>
      </c>
      <c r="E98" s="199">
        <v>44714.864583333336</v>
      </c>
      <c r="F98" s="200" t="s">
        <v>92</v>
      </c>
      <c r="G98" s="201">
        <v>12820</v>
      </c>
      <c r="H98" s="201">
        <v>12772.68</v>
      </c>
      <c r="I98" s="202">
        <f t="shared" si="39"/>
        <v>47.319999999999709</v>
      </c>
      <c r="J98" s="201">
        <v>13703.31</v>
      </c>
      <c r="K98" s="199">
        <v>44715.571527777778</v>
      </c>
      <c r="L98" s="201">
        <v>12772.68</v>
      </c>
      <c r="M98" s="203">
        <f t="shared" si="40"/>
        <v>-47.32</v>
      </c>
      <c r="N98" s="204">
        <f t="shared" si="41"/>
        <v>-1</v>
      </c>
      <c r="O98" s="205">
        <f t="shared" si="42"/>
        <v>0</v>
      </c>
      <c r="P98" s="206">
        <f t="shared" si="43"/>
        <v>0</v>
      </c>
      <c r="Q98" s="206">
        <f t="shared" si="44"/>
        <v>-1</v>
      </c>
      <c r="R9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13417</v>
      </c>
      <c r="T9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13517</v>
      </c>
      <c r="U98" s="208">
        <f ca="1">IF(Tabla336106734811[[#This Row],[Equity]]&lt;Tabla336106734811[[#This Row],[Equity Peak]],(Tabla336106734811[[#This Row],[Equity Peak]]-Tabla336106734811[[#This Row],[Equity]])/Tabla336106734811[[#This Row],[Equity Peak]],"")</f>
        <v>7.3980912924465486E-3</v>
      </c>
      <c r="V98" s="209">
        <f t="shared" si="45"/>
        <v>0</v>
      </c>
      <c r="W98" s="209">
        <f t="shared" si="46"/>
        <v>0</v>
      </c>
      <c r="X98" s="209">
        <f t="shared" si="47"/>
        <v>0</v>
      </c>
      <c r="Y98" s="209">
        <f t="shared" si="48"/>
        <v>0</v>
      </c>
      <c r="Z98" s="209">
        <f t="shared" si="49"/>
        <v>-1</v>
      </c>
      <c r="AA98" s="205">
        <f t="shared" si="50"/>
        <v>0</v>
      </c>
      <c r="AB98" s="209">
        <f t="shared" si="51"/>
        <v>0</v>
      </c>
      <c r="AC98" s="205">
        <f t="shared" si="52"/>
        <v>0</v>
      </c>
      <c r="AD98" s="210">
        <f t="shared" si="53"/>
        <v>0.7069444444423425</v>
      </c>
      <c r="AE98" s="210">
        <f t="shared" si="54"/>
        <v>0</v>
      </c>
      <c r="AF98" s="210">
        <f t="shared" si="55"/>
        <v>0.7069444444423425</v>
      </c>
      <c r="AG98" s="210">
        <f t="shared" si="56"/>
        <v>0</v>
      </c>
    </row>
    <row r="99" spans="2:33" ht="15" customHeight="1" x14ac:dyDescent="0.3">
      <c r="B99" s="196" t="s">
        <v>5</v>
      </c>
      <c r="C99" s="197" t="s">
        <v>15</v>
      </c>
      <c r="D99" s="198" t="str">
        <f t="shared" si="38"/>
        <v>C</v>
      </c>
      <c r="E99" s="199">
        <v>44708.666666666664</v>
      </c>
      <c r="F99" s="200" t="s">
        <v>92</v>
      </c>
      <c r="G99" s="201">
        <v>12410.07</v>
      </c>
      <c r="H99" s="201">
        <v>12371.44</v>
      </c>
      <c r="I99" s="202">
        <f t="shared" si="39"/>
        <v>38.6299999999992</v>
      </c>
      <c r="J99" s="201">
        <v>13131.07</v>
      </c>
      <c r="K99" s="199">
        <v>44711.693055555559</v>
      </c>
      <c r="L99" s="201">
        <v>12742.29</v>
      </c>
      <c r="M99" s="203">
        <f t="shared" si="40"/>
        <v>332.22</v>
      </c>
      <c r="N99" s="204">
        <f t="shared" si="41"/>
        <v>8.6</v>
      </c>
      <c r="O99" s="205">
        <f t="shared" si="42"/>
        <v>0</v>
      </c>
      <c r="P99" s="206">
        <f t="shared" si="43"/>
        <v>8.6</v>
      </c>
      <c r="Q99" s="206">
        <f t="shared" si="44"/>
        <v>0</v>
      </c>
      <c r="R9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13517</v>
      </c>
      <c r="T9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13517</v>
      </c>
      <c r="U9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9" s="209">
        <f t="shared" si="45"/>
        <v>0</v>
      </c>
      <c r="W99" s="209">
        <f t="shared" si="46"/>
        <v>0</v>
      </c>
      <c r="X99" s="209">
        <f t="shared" si="47"/>
        <v>0</v>
      </c>
      <c r="Y99" s="209">
        <f t="shared" si="48"/>
        <v>0</v>
      </c>
      <c r="Z99" s="209">
        <f t="shared" si="49"/>
        <v>8.6</v>
      </c>
      <c r="AA99" s="205">
        <f t="shared" si="50"/>
        <v>0</v>
      </c>
      <c r="AB99" s="209">
        <f t="shared" si="51"/>
        <v>0</v>
      </c>
      <c r="AC99" s="205">
        <f t="shared" si="52"/>
        <v>0</v>
      </c>
      <c r="AD99" s="210">
        <f t="shared" si="53"/>
        <v>3.0263888888948713</v>
      </c>
      <c r="AE99" s="210">
        <f t="shared" si="54"/>
        <v>3.0263888888948713</v>
      </c>
      <c r="AF99" s="210">
        <f t="shared" si="55"/>
        <v>0</v>
      </c>
      <c r="AG99" s="210">
        <f t="shared" si="56"/>
        <v>0</v>
      </c>
    </row>
    <row r="100" spans="2:33" ht="15" customHeight="1" x14ac:dyDescent="0.3">
      <c r="B100" s="196" t="s">
        <v>5</v>
      </c>
      <c r="C100" s="197" t="s">
        <v>13</v>
      </c>
      <c r="D100" s="198" t="str">
        <f t="shared" si="38"/>
        <v>C</v>
      </c>
      <c r="E100" s="199">
        <v>44701.802083333336</v>
      </c>
      <c r="F100" s="200" t="s">
        <v>92</v>
      </c>
      <c r="G100" s="201">
        <v>11661.7</v>
      </c>
      <c r="H100" s="201">
        <v>11711.79</v>
      </c>
      <c r="I100" s="202">
        <f t="shared" si="39"/>
        <v>50.090000000000146</v>
      </c>
      <c r="J100" s="201">
        <v>10726.68</v>
      </c>
      <c r="K100" s="199">
        <v>44701.936111111114</v>
      </c>
      <c r="L100" s="201">
        <v>11659.12</v>
      </c>
      <c r="M100" s="203">
        <f t="shared" si="40"/>
        <v>2.58</v>
      </c>
      <c r="N100" s="204">
        <f t="shared" si="41"/>
        <v>0.05</v>
      </c>
      <c r="O100" s="205">
        <f t="shared" si="42"/>
        <v>0</v>
      </c>
      <c r="P100" s="206">
        <f t="shared" si="43"/>
        <v>0.05</v>
      </c>
      <c r="Q100" s="206">
        <f t="shared" si="44"/>
        <v>0</v>
      </c>
      <c r="R10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12657</v>
      </c>
      <c r="T10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12657</v>
      </c>
      <c r="U100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00" s="209">
        <f t="shared" si="45"/>
        <v>0</v>
      </c>
      <c r="W100" s="209">
        <f t="shared" si="46"/>
        <v>0</v>
      </c>
      <c r="X100" s="209">
        <f t="shared" si="47"/>
        <v>0</v>
      </c>
      <c r="Y100" s="209">
        <f t="shared" si="48"/>
        <v>0</v>
      </c>
      <c r="Z100" s="209">
        <f t="shared" si="49"/>
        <v>0.05</v>
      </c>
      <c r="AA100" s="205">
        <f t="shared" si="50"/>
        <v>0</v>
      </c>
      <c r="AB100" s="209">
        <f t="shared" si="51"/>
        <v>0</v>
      </c>
      <c r="AC100" s="205">
        <f t="shared" si="52"/>
        <v>0</v>
      </c>
      <c r="AD100" s="210">
        <f t="shared" si="53"/>
        <v>0.13402777777810115</v>
      </c>
      <c r="AE100" s="210">
        <f t="shared" si="54"/>
        <v>0.13402777777810115</v>
      </c>
      <c r="AF100" s="210">
        <f t="shared" si="55"/>
        <v>0</v>
      </c>
      <c r="AG100" s="210">
        <f t="shared" si="56"/>
        <v>0</v>
      </c>
    </row>
    <row r="101" spans="2:33" ht="15" customHeight="1" x14ac:dyDescent="0.3">
      <c r="B101" s="196" t="s">
        <v>5</v>
      </c>
      <c r="C101" s="197" t="s">
        <v>13</v>
      </c>
      <c r="D101" s="198" t="str">
        <f t="shared" si="38"/>
        <v>C</v>
      </c>
      <c r="E101" s="199">
        <v>44699.770833333336</v>
      </c>
      <c r="F101" s="200" t="s">
        <v>92</v>
      </c>
      <c r="G101" s="201">
        <v>12139.4</v>
      </c>
      <c r="H101" s="201">
        <v>12180.8</v>
      </c>
      <c r="I101" s="202">
        <f t="shared" si="39"/>
        <v>41.399999999999636</v>
      </c>
      <c r="J101" s="201">
        <v>11366.66</v>
      </c>
      <c r="K101" s="199">
        <v>44700.688194444447</v>
      </c>
      <c r="L101" s="201">
        <v>11905.33</v>
      </c>
      <c r="M101" s="203">
        <f t="shared" si="40"/>
        <v>234.07</v>
      </c>
      <c r="N101" s="204">
        <f t="shared" si="41"/>
        <v>5.65</v>
      </c>
      <c r="O101" s="205">
        <f t="shared" si="42"/>
        <v>0</v>
      </c>
      <c r="P101" s="206">
        <f t="shared" si="43"/>
        <v>5.65</v>
      </c>
      <c r="Q101" s="206">
        <f t="shared" si="44"/>
        <v>0</v>
      </c>
      <c r="R10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12652</v>
      </c>
      <c r="T10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12652</v>
      </c>
      <c r="U101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01" s="209">
        <f t="shared" si="45"/>
        <v>0</v>
      </c>
      <c r="W101" s="209">
        <f t="shared" si="46"/>
        <v>0</v>
      </c>
      <c r="X101" s="209">
        <f t="shared" si="47"/>
        <v>0</v>
      </c>
      <c r="Y101" s="209">
        <f t="shared" si="48"/>
        <v>0</v>
      </c>
      <c r="Z101" s="209">
        <f t="shared" si="49"/>
        <v>5.65</v>
      </c>
      <c r="AA101" s="205">
        <f t="shared" si="50"/>
        <v>0</v>
      </c>
      <c r="AB101" s="209">
        <f t="shared" si="51"/>
        <v>0</v>
      </c>
      <c r="AC101" s="205">
        <f t="shared" si="52"/>
        <v>0</v>
      </c>
      <c r="AD101" s="210">
        <f t="shared" si="53"/>
        <v>0.91736111111094942</v>
      </c>
      <c r="AE101" s="210">
        <f t="shared" si="54"/>
        <v>0.91736111111094942</v>
      </c>
      <c r="AF101" s="210">
        <f t="shared" si="55"/>
        <v>0</v>
      </c>
      <c r="AG101" s="210">
        <f t="shared" si="56"/>
        <v>0</v>
      </c>
    </row>
    <row r="102" spans="2:33" ht="15" customHeight="1" x14ac:dyDescent="0.3">
      <c r="B102" s="196" t="s">
        <v>5</v>
      </c>
      <c r="C102" s="197" t="s">
        <v>13</v>
      </c>
      <c r="D102" s="198" t="str">
        <f t="shared" si="38"/>
        <v>C</v>
      </c>
      <c r="E102" s="199">
        <v>44693.375</v>
      </c>
      <c r="F102" s="200" t="s">
        <v>92</v>
      </c>
      <c r="G102" s="201">
        <v>11903.63</v>
      </c>
      <c r="H102" s="201">
        <v>11988.09</v>
      </c>
      <c r="I102" s="202">
        <f t="shared" si="39"/>
        <v>84.460000000000946</v>
      </c>
      <c r="J102" s="201">
        <v>10326.959999999999</v>
      </c>
      <c r="K102" s="199">
        <v>44693.717361111114</v>
      </c>
      <c r="L102" s="201">
        <v>11975.86</v>
      </c>
      <c r="M102" s="203">
        <f t="shared" si="40"/>
        <v>-72.23</v>
      </c>
      <c r="N102" s="204">
        <f t="shared" si="41"/>
        <v>-0.86</v>
      </c>
      <c r="O102" s="205">
        <f t="shared" si="42"/>
        <v>0</v>
      </c>
      <c r="P102" s="206">
        <f t="shared" si="43"/>
        <v>0</v>
      </c>
      <c r="Q102" s="206">
        <f t="shared" si="44"/>
        <v>-0.86</v>
      </c>
      <c r="R10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12087</v>
      </c>
      <c r="T10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2" s="208">
        <f ca="1">IF(Tabla336106734811[[#This Row],[Equity]]&lt;Tabla336106734811[[#This Row],[Equity Peak]],(Tabla336106734811[[#This Row],[Equity Peak]]-Tabla336106734811[[#This Row],[Equity]])/Tabla336106734811[[#This Row],[Equity Peak]],"")</f>
        <v>4.3749999999999997E-2</v>
      </c>
      <c r="V102" s="209">
        <f t="shared" si="45"/>
        <v>0</v>
      </c>
      <c r="W102" s="209">
        <f t="shared" si="46"/>
        <v>0</v>
      </c>
      <c r="X102" s="209">
        <f t="shared" si="47"/>
        <v>0</v>
      </c>
      <c r="Y102" s="209">
        <f t="shared" si="48"/>
        <v>0</v>
      </c>
      <c r="Z102" s="209">
        <f t="shared" si="49"/>
        <v>-0.86</v>
      </c>
      <c r="AA102" s="205">
        <f t="shared" si="50"/>
        <v>0</v>
      </c>
      <c r="AB102" s="209">
        <f t="shared" si="51"/>
        <v>0</v>
      </c>
      <c r="AC102" s="205">
        <f t="shared" si="52"/>
        <v>0</v>
      </c>
      <c r="AD102" s="210">
        <f t="shared" si="53"/>
        <v>0.34236111111385981</v>
      </c>
      <c r="AE102" s="210">
        <f t="shared" si="54"/>
        <v>0</v>
      </c>
      <c r="AF102" s="210">
        <f t="shared" si="55"/>
        <v>0.34236111111385981</v>
      </c>
      <c r="AG102" s="210">
        <f t="shared" si="56"/>
        <v>0</v>
      </c>
    </row>
    <row r="103" spans="2:33" ht="15" customHeight="1" x14ac:dyDescent="0.3">
      <c r="B103" s="196" t="s">
        <v>5</v>
      </c>
      <c r="C103" s="197" t="s">
        <v>13</v>
      </c>
      <c r="D103" s="198" t="str">
        <f t="shared" si="38"/>
        <v>C</v>
      </c>
      <c r="E103" s="199">
        <v>44692.958333333336</v>
      </c>
      <c r="F103" s="200" t="s">
        <v>92</v>
      </c>
      <c r="G103" s="201">
        <v>11968.37</v>
      </c>
      <c r="H103" s="201">
        <v>12048.08</v>
      </c>
      <c r="I103" s="202">
        <f t="shared" si="39"/>
        <v>79.709999999999127</v>
      </c>
      <c r="J103" s="201">
        <v>10480.49</v>
      </c>
      <c r="K103" s="199">
        <v>44693.179166666669</v>
      </c>
      <c r="L103" s="201">
        <v>12048.08</v>
      </c>
      <c r="M103" s="203">
        <f t="shared" si="40"/>
        <v>-79.709999999999994</v>
      </c>
      <c r="N103" s="204">
        <f t="shared" si="41"/>
        <v>-1</v>
      </c>
      <c r="O103" s="205">
        <f t="shared" si="42"/>
        <v>0</v>
      </c>
      <c r="P103" s="206">
        <f t="shared" si="43"/>
        <v>0</v>
      </c>
      <c r="Q103" s="206">
        <f t="shared" si="44"/>
        <v>-1</v>
      </c>
      <c r="R10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12173</v>
      </c>
      <c r="T10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3" s="208">
        <f ca="1">IF(Tabla336106734811[[#This Row],[Equity]]&lt;Tabla336106734811[[#This Row],[Equity Peak]],(Tabla336106734811[[#This Row],[Equity Peak]]-Tabla336106734811[[#This Row],[Equity]])/Tabla336106734811[[#This Row],[Equity Peak]],"")</f>
        <v>3.6946202531645572E-2</v>
      </c>
      <c r="V103" s="209">
        <f t="shared" si="45"/>
        <v>0</v>
      </c>
      <c r="W103" s="209">
        <f t="shared" si="46"/>
        <v>0</v>
      </c>
      <c r="X103" s="209">
        <f t="shared" si="47"/>
        <v>0</v>
      </c>
      <c r="Y103" s="209">
        <f t="shared" si="48"/>
        <v>0</v>
      </c>
      <c r="Z103" s="209">
        <f t="shared" si="49"/>
        <v>-1</v>
      </c>
      <c r="AA103" s="205">
        <f t="shared" si="50"/>
        <v>0</v>
      </c>
      <c r="AB103" s="209">
        <f t="shared" si="51"/>
        <v>0</v>
      </c>
      <c r="AC103" s="205">
        <f t="shared" si="52"/>
        <v>0</v>
      </c>
      <c r="AD103" s="210">
        <f t="shared" si="53"/>
        <v>0.22083333333284827</v>
      </c>
      <c r="AE103" s="210">
        <f t="shared" si="54"/>
        <v>0</v>
      </c>
      <c r="AF103" s="210">
        <f t="shared" si="55"/>
        <v>0.22083333333284827</v>
      </c>
      <c r="AG103" s="210">
        <f t="shared" si="56"/>
        <v>0</v>
      </c>
    </row>
    <row r="104" spans="2:33" ht="15" customHeight="1" x14ac:dyDescent="0.3">
      <c r="B104" s="196" t="s">
        <v>5</v>
      </c>
      <c r="C104" s="197" t="s">
        <v>13</v>
      </c>
      <c r="D104" s="198" t="str">
        <f t="shared" si="38"/>
        <v>C</v>
      </c>
      <c r="E104" s="199">
        <v>44692.864583333336</v>
      </c>
      <c r="F104" s="200" t="s">
        <v>92</v>
      </c>
      <c r="G104" s="201">
        <v>12041.02</v>
      </c>
      <c r="H104" s="201">
        <v>12110.95</v>
      </c>
      <c r="I104" s="202">
        <f t="shared" si="39"/>
        <v>69.930000000000291</v>
      </c>
      <c r="J104" s="201">
        <v>10735.59</v>
      </c>
      <c r="K104" s="199">
        <v>44692.892361111109</v>
      </c>
      <c r="L104" s="201">
        <v>12110.95</v>
      </c>
      <c r="M104" s="203">
        <f t="shared" si="40"/>
        <v>-69.930000000000007</v>
      </c>
      <c r="N104" s="204">
        <f t="shared" si="41"/>
        <v>-1</v>
      </c>
      <c r="O104" s="205">
        <f t="shared" si="42"/>
        <v>0</v>
      </c>
      <c r="P104" s="206">
        <f t="shared" si="43"/>
        <v>0</v>
      </c>
      <c r="Q104" s="206">
        <f t="shared" si="44"/>
        <v>-1</v>
      </c>
      <c r="R10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12273</v>
      </c>
      <c r="T10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4" s="208">
        <f ca="1">IF(Tabla336106734811[[#This Row],[Equity]]&lt;Tabla336106734811[[#This Row],[Equity Peak]],(Tabla336106734811[[#This Row],[Equity Peak]]-Tabla336106734811[[#This Row],[Equity]])/Tabla336106734811[[#This Row],[Equity Peak]],"")</f>
        <v>2.9034810126582277E-2</v>
      </c>
      <c r="V104" s="209">
        <f t="shared" si="45"/>
        <v>0</v>
      </c>
      <c r="W104" s="209">
        <f t="shared" si="46"/>
        <v>0</v>
      </c>
      <c r="X104" s="209">
        <f t="shared" si="47"/>
        <v>0</v>
      </c>
      <c r="Y104" s="209">
        <f t="shared" si="48"/>
        <v>0</v>
      </c>
      <c r="Z104" s="209">
        <f t="shared" si="49"/>
        <v>-1</v>
      </c>
      <c r="AA104" s="205">
        <f t="shared" si="50"/>
        <v>0</v>
      </c>
      <c r="AB104" s="209">
        <f t="shared" si="51"/>
        <v>0</v>
      </c>
      <c r="AC104" s="205">
        <f t="shared" si="52"/>
        <v>0</v>
      </c>
      <c r="AD104" s="210">
        <f t="shared" si="53"/>
        <v>2.7777777773735579E-2</v>
      </c>
      <c r="AE104" s="210">
        <f t="shared" si="54"/>
        <v>0</v>
      </c>
      <c r="AF104" s="210">
        <f t="shared" si="55"/>
        <v>2.7777777773735579E-2</v>
      </c>
      <c r="AG104" s="210">
        <f t="shared" si="56"/>
        <v>0</v>
      </c>
    </row>
    <row r="105" spans="2:33" ht="15" customHeight="1" x14ac:dyDescent="0.3">
      <c r="B105" s="196" t="s">
        <v>5</v>
      </c>
      <c r="C105" s="197" t="s">
        <v>13</v>
      </c>
      <c r="D105" s="198" t="str">
        <f t="shared" si="38"/>
        <v>C</v>
      </c>
      <c r="E105" s="199">
        <v>44690.479166666664</v>
      </c>
      <c r="F105" s="200" t="s">
        <v>92</v>
      </c>
      <c r="G105" s="201">
        <v>12496.24</v>
      </c>
      <c r="H105" s="201">
        <v>12580.91</v>
      </c>
      <c r="I105" s="202">
        <f t="shared" si="39"/>
        <v>84.670000000000073</v>
      </c>
      <c r="J105" s="201">
        <v>10915.76</v>
      </c>
      <c r="K105" s="199">
        <v>44691.368750000001</v>
      </c>
      <c r="L105" s="201">
        <v>12357.52</v>
      </c>
      <c r="M105" s="203">
        <f t="shared" si="40"/>
        <v>138.72</v>
      </c>
      <c r="N105" s="204">
        <f t="shared" si="41"/>
        <v>1.64</v>
      </c>
      <c r="O105" s="205">
        <f t="shared" si="42"/>
        <v>0</v>
      </c>
      <c r="P105" s="206">
        <f t="shared" si="43"/>
        <v>1.64</v>
      </c>
      <c r="Q105" s="206">
        <f t="shared" si="44"/>
        <v>0</v>
      </c>
      <c r="R10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12373</v>
      </c>
      <c r="T10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5" s="208">
        <f ca="1">IF(Tabla336106734811[[#This Row],[Equity]]&lt;Tabla336106734811[[#This Row],[Equity Peak]],(Tabla336106734811[[#This Row],[Equity Peak]]-Tabla336106734811[[#This Row],[Equity]])/Tabla336106734811[[#This Row],[Equity Peak]],"")</f>
        <v>2.1123417721518989E-2</v>
      </c>
      <c r="V105" s="209">
        <f t="shared" si="45"/>
        <v>0</v>
      </c>
      <c r="W105" s="209">
        <f t="shared" si="46"/>
        <v>0</v>
      </c>
      <c r="X105" s="209">
        <f t="shared" si="47"/>
        <v>0</v>
      </c>
      <c r="Y105" s="209">
        <f t="shared" si="48"/>
        <v>0</v>
      </c>
      <c r="Z105" s="209">
        <f t="shared" si="49"/>
        <v>1.64</v>
      </c>
      <c r="AA105" s="205">
        <f t="shared" si="50"/>
        <v>0</v>
      </c>
      <c r="AB105" s="209">
        <f t="shared" si="51"/>
        <v>0</v>
      </c>
      <c r="AC105" s="205">
        <f t="shared" si="52"/>
        <v>0</v>
      </c>
      <c r="AD105" s="210">
        <f t="shared" si="53"/>
        <v>0.88958333333721384</v>
      </c>
      <c r="AE105" s="210">
        <f t="shared" si="54"/>
        <v>0.88958333333721384</v>
      </c>
      <c r="AF105" s="210">
        <f t="shared" si="55"/>
        <v>0</v>
      </c>
      <c r="AG105" s="210">
        <f t="shared" si="56"/>
        <v>0</v>
      </c>
    </row>
    <row r="106" spans="2:33" ht="15" customHeight="1" x14ac:dyDescent="0.3">
      <c r="B106" s="196" t="s">
        <v>5</v>
      </c>
      <c r="C106" s="197" t="s">
        <v>13</v>
      </c>
      <c r="D106" s="198" t="str">
        <f t="shared" si="38"/>
        <v>C</v>
      </c>
      <c r="E106" s="199">
        <v>44687.697916666664</v>
      </c>
      <c r="F106" s="200" t="s">
        <v>92</v>
      </c>
      <c r="G106" s="201">
        <v>12594.13</v>
      </c>
      <c r="H106" s="201">
        <v>12657.39</v>
      </c>
      <c r="I106" s="202">
        <f t="shared" si="39"/>
        <v>63.260000000000218</v>
      </c>
      <c r="J106" s="201">
        <v>11413.31</v>
      </c>
      <c r="K106" s="199">
        <v>44687.713888888888</v>
      </c>
      <c r="L106" s="201">
        <v>12657.39</v>
      </c>
      <c r="M106" s="203">
        <f t="shared" si="40"/>
        <v>-63.26</v>
      </c>
      <c r="N106" s="204">
        <f t="shared" si="41"/>
        <v>-1</v>
      </c>
      <c r="O106" s="205">
        <f t="shared" si="42"/>
        <v>0</v>
      </c>
      <c r="P106" s="206">
        <f t="shared" si="43"/>
        <v>0</v>
      </c>
      <c r="Q106" s="206">
        <f t="shared" si="44"/>
        <v>-1</v>
      </c>
      <c r="R10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12209</v>
      </c>
      <c r="T10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6" s="208">
        <f ca="1">IF(Tabla336106734811[[#This Row],[Equity]]&lt;Tabla336106734811[[#This Row],[Equity Peak]],(Tabla336106734811[[#This Row],[Equity Peak]]-Tabla336106734811[[#This Row],[Equity]])/Tabla336106734811[[#This Row],[Equity Peak]],"")</f>
        <v>3.4098101265822786E-2</v>
      </c>
      <c r="V106" s="209">
        <f t="shared" si="45"/>
        <v>0</v>
      </c>
      <c r="W106" s="209">
        <f t="shared" si="46"/>
        <v>0</v>
      </c>
      <c r="X106" s="209">
        <f t="shared" si="47"/>
        <v>0</v>
      </c>
      <c r="Y106" s="209">
        <f t="shared" si="48"/>
        <v>0</v>
      </c>
      <c r="Z106" s="209">
        <f t="shared" si="49"/>
        <v>-1</v>
      </c>
      <c r="AA106" s="205">
        <f t="shared" si="50"/>
        <v>0</v>
      </c>
      <c r="AB106" s="209">
        <f t="shared" si="51"/>
        <v>0</v>
      </c>
      <c r="AC106" s="205">
        <f t="shared" si="52"/>
        <v>0</v>
      </c>
      <c r="AD106" s="210">
        <f t="shared" si="53"/>
        <v>1.5972222223354038E-2</v>
      </c>
      <c r="AE106" s="210">
        <f t="shared" si="54"/>
        <v>0</v>
      </c>
      <c r="AF106" s="210">
        <f t="shared" si="55"/>
        <v>1.5972222223354038E-2</v>
      </c>
      <c r="AG106" s="210">
        <f t="shared" si="56"/>
        <v>0</v>
      </c>
    </row>
    <row r="107" spans="2:33" ht="15" customHeight="1" x14ac:dyDescent="0.3">
      <c r="B107" s="196" t="s">
        <v>5</v>
      </c>
      <c r="C107" s="197" t="s">
        <v>13</v>
      </c>
      <c r="D107" s="198" t="str">
        <f t="shared" si="38"/>
        <v>C</v>
      </c>
      <c r="E107" s="199">
        <v>44686.927083333336</v>
      </c>
      <c r="F107" s="200" t="s">
        <v>92</v>
      </c>
      <c r="G107" s="201">
        <v>12715.8</v>
      </c>
      <c r="H107" s="201">
        <v>12774.09</v>
      </c>
      <c r="I107" s="202">
        <f t="shared" si="39"/>
        <v>58.290000000000873</v>
      </c>
      <c r="J107" s="201">
        <v>11627.73</v>
      </c>
      <c r="K107" s="199">
        <v>44686.942361111112</v>
      </c>
      <c r="L107" s="201">
        <v>12774.09</v>
      </c>
      <c r="M107" s="203">
        <f t="shared" si="40"/>
        <v>-58.29</v>
      </c>
      <c r="N107" s="204">
        <f t="shared" si="41"/>
        <v>-1</v>
      </c>
      <c r="O107" s="205">
        <f t="shared" si="42"/>
        <v>0</v>
      </c>
      <c r="P107" s="206">
        <f t="shared" si="43"/>
        <v>0</v>
      </c>
      <c r="Q107" s="206">
        <f t="shared" si="44"/>
        <v>-1</v>
      </c>
      <c r="R10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12309</v>
      </c>
      <c r="T10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7" s="208">
        <f ca="1">IF(Tabla336106734811[[#This Row],[Equity]]&lt;Tabla336106734811[[#This Row],[Equity Peak]],(Tabla336106734811[[#This Row],[Equity Peak]]-Tabla336106734811[[#This Row],[Equity]])/Tabla336106734811[[#This Row],[Equity Peak]],"")</f>
        <v>2.6186708860759494E-2</v>
      </c>
      <c r="V107" s="209">
        <f t="shared" si="45"/>
        <v>0</v>
      </c>
      <c r="W107" s="209">
        <f t="shared" si="46"/>
        <v>0</v>
      </c>
      <c r="X107" s="209">
        <f t="shared" si="47"/>
        <v>0</v>
      </c>
      <c r="Y107" s="209">
        <f t="shared" si="48"/>
        <v>0</v>
      </c>
      <c r="Z107" s="209">
        <f t="shared" si="49"/>
        <v>-1</v>
      </c>
      <c r="AA107" s="205">
        <f t="shared" si="50"/>
        <v>0</v>
      </c>
      <c r="AB107" s="209">
        <f t="shared" si="51"/>
        <v>0</v>
      </c>
      <c r="AC107" s="205">
        <f t="shared" si="52"/>
        <v>0</v>
      </c>
      <c r="AD107" s="210">
        <f t="shared" si="53"/>
        <v>1.5277777776645962E-2</v>
      </c>
      <c r="AE107" s="210">
        <f t="shared" si="54"/>
        <v>0</v>
      </c>
      <c r="AF107" s="210">
        <f t="shared" si="55"/>
        <v>1.5277777776645962E-2</v>
      </c>
      <c r="AG107" s="210">
        <f t="shared" si="56"/>
        <v>0</v>
      </c>
    </row>
    <row r="108" spans="2:33" ht="15" customHeight="1" x14ac:dyDescent="0.3">
      <c r="B108" s="196" t="s">
        <v>5</v>
      </c>
      <c r="C108" s="197" t="s">
        <v>13</v>
      </c>
      <c r="D108" s="198" t="str">
        <f t="shared" si="38"/>
        <v>C</v>
      </c>
      <c r="E108" s="199">
        <v>44686.895833333336</v>
      </c>
      <c r="F108" s="200" t="s">
        <v>92</v>
      </c>
      <c r="G108" s="201">
        <v>12779.68</v>
      </c>
      <c r="H108" s="201">
        <v>12834.83</v>
      </c>
      <c r="I108" s="202">
        <f t="shared" si="39"/>
        <v>55.149999999999636</v>
      </c>
      <c r="J108" s="201">
        <v>11750.19</v>
      </c>
      <c r="K108" s="199">
        <v>44686.910416666666</v>
      </c>
      <c r="L108" s="201">
        <v>12834.83</v>
      </c>
      <c r="M108" s="203">
        <f t="shared" si="40"/>
        <v>-55.15</v>
      </c>
      <c r="N108" s="204">
        <f t="shared" si="41"/>
        <v>-1</v>
      </c>
      <c r="O108" s="205">
        <f t="shared" si="42"/>
        <v>0</v>
      </c>
      <c r="P108" s="206">
        <f t="shared" si="43"/>
        <v>0</v>
      </c>
      <c r="Q108" s="206">
        <f t="shared" si="44"/>
        <v>-1</v>
      </c>
      <c r="R10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12409</v>
      </c>
      <c r="T10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8" s="208">
        <f ca="1">IF(Tabla336106734811[[#This Row],[Equity]]&lt;Tabla336106734811[[#This Row],[Equity Peak]],(Tabla336106734811[[#This Row],[Equity Peak]]-Tabla336106734811[[#This Row],[Equity]])/Tabla336106734811[[#This Row],[Equity Peak]],"")</f>
        <v>1.8275316455696203E-2</v>
      </c>
      <c r="V108" s="209">
        <f t="shared" si="45"/>
        <v>0</v>
      </c>
      <c r="W108" s="209">
        <f t="shared" si="46"/>
        <v>0</v>
      </c>
      <c r="X108" s="209">
        <f t="shared" si="47"/>
        <v>0</v>
      </c>
      <c r="Y108" s="209">
        <f t="shared" si="48"/>
        <v>0</v>
      </c>
      <c r="Z108" s="209">
        <f t="shared" si="49"/>
        <v>-1</v>
      </c>
      <c r="AA108" s="205">
        <f t="shared" si="50"/>
        <v>0</v>
      </c>
      <c r="AB108" s="209">
        <f t="shared" si="51"/>
        <v>0</v>
      </c>
      <c r="AC108" s="205">
        <f t="shared" si="52"/>
        <v>0</v>
      </c>
      <c r="AD108" s="210">
        <f t="shared" si="53"/>
        <v>1.4583333329937886E-2</v>
      </c>
      <c r="AE108" s="210">
        <f t="shared" si="54"/>
        <v>0</v>
      </c>
      <c r="AF108" s="210">
        <f t="shared" si="55"/>
        <v>1.4583333329937886E-2</v>
      </c>
      <c r="AG108" s="210">
        <f t="shared" si="56"/>
        <v>0</v>
      </c>
    </row>
    <row r="109" spans="2:33" ht="15" customHeight="1" x14ac:dyDescent="0.3">
      <c r="B109" s="196" t="s">
        <v>5</v>
      </c>
      <c r="C109" s="197" t="s">
        <v>13</v>
      </c>
      <c r="D109" s="198" t="str">
        <f t="shared" si="38"/>
        <v>C</v>
      </c>
      <c r="E109" s="199">
        <v>44686.791666666664</v>
      </c>
      <c r="F109" s="200" t="s">
        <v>92</v>
      </c>
      <c r="G109" s="201">
        <v>12833.8</v>
      </c>
      <c r="H109" s="201">
        <v>12883.01</v>
      </c>
      <c r="I109" s="202">
        <f t="shared" si="39"/>
        <v>49.210000000000946</v>
      </c>
      <c r="J109" s="201">
        <v>11915.18</v>
      </c>
      <c r="K109" s="199">
        <v>44686.8</v>
      </c>
      <c r="L109" s="201">
        <v>12883.01</v>
      </c>
      <c r="M109" s="203">
        <f t="shared" si="40"/>
        <v>-49.21</v>
      </c>
      <c r="N109" s="204">
        <f t="shared" si="41"/>
        <v>-1</v>
      </c>
      <c r="O109" s="205">
        <f t="shared" si="42"/>
        <v>0</v>
      </c>
      <c r="P109" s="206">
        <f t="shared" si="43"/>
        <v>0</v>
      </c>
      <c r="Q109" s="206">
        <f t="shared" si="44"/>
        <v>-1</v>
      </c>
      <c r="R10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12509</v>
      </c>
      <c r="T10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09" s="208">
        <f ca="1">IF(Tabla336106734811[[#This Row],[Equity]]&lt;Tabla336106734811[[#This Row],[Equity Peak]],(Tabla336106734811[[#This Row],[Equity Peak]]-Tabla336106734811[[#This Row],[Equity]])/Tabla336106734811[[#This Row],[Equity Peak]],"")</f>
        <v>1.0363924050632911E-2</v>
      </c>
      <c r="V109" s="209">
        <f t="shared" si="45"/>
        <v>0</v>
      </c>
      <c r="W109" s="209">
        <f t="shared" si="46"/>
        <v>0</v>
      </c>
      <c r="X109" s="209">
        <f t="shared" si="47"/>
        <v>0</v>
      </c>
      <c r="Y109" s="209">
        <f t="shared" si="48"/>
        <v>0</v>
      </c>
      <c r="Z109" s="209">
        <f t="shared" si="49"/>
        <v>-1</v>
      </c>
      <c r="AA109" s="205">
        <f t="shared" si="50"/>
        <v>0</v>
      </c>
      <c r="AB109" s="209">
        <f t="shared" si="51"/>
        <v>0</v>
      </c>
      <c r="AC109" s="205">
        <f t="shared" si="52"/>
        <v>0</v>
      </c>
      <c r="AD109" s="210">
        <f t="shared" si="53"/>
        <v>8.3333333386690356E-3</v>
      </c>
      <c r="AE109" s="210">
        <f t="shared" si="54"/>
        <v>0</v>
      </c>
      <c r="AF109" s="210">
        <f t="shared" si="55"/>
        <v>8.3333333386690356E-3</v>
      </c>
      <c r="AG109" s="210">
        <f t="shared" si="56"/>
        <v>0</v>
      </c>
    </row>
    <row r="110" spans="2:33" ht="15" customHeight="1" x14ac:dyDescent="0.3">
      <c r="B110" s="196" t="s">
        <v>5</v>
      </c>
      <c r="C110" s="197" t="s">
        <v>13</v>
      </c>
      <c r="D110" s="198" t="str">
        <f t="shared" si="38"/>
        <v>C</v>
      </c>
      <c r="E110" s="199">
        <v>44680.927083333336</v>
      </c>
      <c r="F110" s="200" t="s">
        <v>92</v>
      </c>
      <c r="G110" s="201">
        <v>12935.2</v>
      </c>
      <c r="H110" s="201">
        <v>12997.56</v>
      </c>
      <c r="I110" s="202">
        <f t="shared" si="39"/>
        <v>62.359999999998763</v>
      </c>
      <c r="J110" s="201">
        <v>11771.19</v>
      </c>
      <c r="K110" s="199">
        <v>44683.706944444442</v>
      </c>
      <c r="L110" s="201">
        <v>12954.84</v>
      </c>
      <c r="M110" s="203">
        <f t="shared" si="40"/>
        <v>-19.64</v>
      </c>
      <c r="N110" s="204">
        <f t="shared" si="41"/>
        <v>-0.31</v>
      </c>
      <c r="O110" s="205">
        <f t="shared" si="42"/>
        <v>0</v>
      </c>
      <c r="P110" s="206">
        <f t="shared" si="43"/>
        <v>0</v>
      </c>
      <c r="Q110" s="206">
        <f t="shared" si="44"/>
        <v>-0.31</v>
      </c>
      <c r="R11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12609</v>
      </c>
      <c r="T11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10" s="208">
        <f ca="1">IF(Tabla336106734811[[#This Row],[Equity]]&lt;Tabla336106734811[[#This Row],[Equity Peak]],(Tabla336106734811[[#This Row],[Equity Peak]]-Tabla336106734811[[#This Row],[Equity]])/Tabla336106734811[[#This Row],[Equity Peak]],"")</f>
        <v>2.4525316455696203E-3</v>
      </c>
      <c r="V110" s="209">
        <f t="shared" si="45"/>
        <v>0</v>
      </c>
      <c r="W110" s="209">
        <f t="shared" si="46"/>
        <v>0</v>
      </c>
      <c r="X110" s="209">
        <f t="shared" si="47"/>
        <v>0</v>
      </c>
      <c r="Y110" s="209">
        <f t="shared" si="48"/>
        <v>0</v>
      </c>
      <c r="Z110" s="209">
        <f t="shared" si="49"/>
        <v>-0.31</v>
      </c>
      <c r="AA110" s="205">
        <f t="shared" si="50"/>
        <v>0</v>
      </c>
      <c r="AB110" s="209">
        <f t="shared" si="51"/>
        <v>0</v>
      </c>
      <c r="AC110" s="205">
        <f t="shared" si="52"/>
        <v>0</v>
      </c>
      <c r="AD110" s="210">
        <f t="shared" si="53"/>
        <v>2.7798611111065838</v>
      </c>
      <c r="AE110" s="210">
        <f t="shared" si="54"/>
        <v>0</v>
      </c>
      <c r="AF110" s="210">
        <f t="shared" si="55"/>
        <v>2.7798611111065838</v>
      </c>
      <c r="AG110" s="210">
        <f t="shared" si="56"/>
        <v>0</v>
      </c>
    </row>
    <row r="111" spans="2:33" ht="15" customHeight="1" x14ac:dyDescent="0.3">
      <c r="B111" s="196" t="s">
        <v>5</v>
      </c>
      <c r="C111" s="197" t="s">
        <v>13</v>
      </c>
      <c r="D111" s="198" t="str">
        <f t="shared" si="38"/>
        <v>C</v>
      </c>
      <c r="E111" s="199">
        <v>44677.9375</v>
      </c>
      <c r="F111" s="200" t="s">
        <v>92</v>
      </c>
      <c r="G111" s="201">
        <v>13070.43</v>
      </c>
      <c r="H111" s="201">
        <v>13121.19</v>
      </c>
      <c r="I111" s="202">
        <f t="shared" si="39"/>
        <v>50.760000000000218</v>
      </c>
      <c r="J111" s="201">
        <v>12122.83</v>
      </c>
      <c r="K111" s="199">
        <v>44678.05972222222</v>
      </c>
      <c r="L111" s="201">
        <v>13002.33</v>
      </c>
      <c r="M111" s="203">
        <f t="shared" si="40"/>
        <v>68.099999999999994</v>
      </c>
      <c r="N111" s="204">
        <f t="shared" si="41"/>
        <v>1.34</v>
      </c>
      <c r="O111" s="205">
        <f t="shared" si="42"/>
        <v>0</v>
      </c>
      <c r="P111" s="206">
        <f t="shared" si="43"/>
        <v>1.34</v>
      </c>
      <c r="Q111" s="206">
        <f t="shared" si="44"/>
        <v>0</v>
      </c>
      <c r="R11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12640</v>
      </c>
      <c r="T11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12640</v>
      </c>
      <c r="U111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1" s="209">
        <f t="shared" si="45"/>
        <v>0</v>
      </c>
      <c r="W111" s="209">
        <f t="shared" si="46"/>
        <v>0</v>
      </c>
      <c r="X111" s="209">
        <f t="shared" si="47"/>
        <v>0</v>
      </c>
      <c r="Y111" s="209">
        <f t="shared" si="48"/>
        <v>0</v>
      </c>
      <c r="Z111" s="209">
        <f t="shared" si="49"/>
        <v>1.34</v>
      </c>
      <c r="AA111" s="205">
        <f t="shared" si="50"/>
        <v>0</v>
      </c>
      <c r="AB111" s="209">
        <f t="shared" si="51"/>
        <v>0</v>
      </c>
      <c r="AC111" s="205">
        <f t="shared" si="52"/>
        <v>0</v>
      </c>
      <c r="AD111" s="210">
        <f t="shared" si="53"/>
        <v>0.12222222222044365</v>
      </c>
      <c r="AE111" s="210">
        <f t="shared" si="54"/>
        <v>0.12222222222044365</v>
      </c>
      <c r="AF111" s="210">
        <f t="shared" si="55"/>
        <v>0</v>
      </c>
      <c r="AG111" s="210">
        <f t="shared" si="56"/>
        <v>0</v>
      </c>
    </row>
    <row r="112" spans="2:33" ht="15" customHeight="1" x14ac:dyDescent="0.3">
      <c r="B112" s="196" t="s">
        <v>5</v>
      </c>
      <c r="C112" s="197" t="s">
        <v>13</v>
      </c>
      <c r="D112" s="198" t="str">
        <f t="shared" si="38"/>
        <v>C</v>
      </c>
      <c r="E112" s="199">
        <v>44677.739583333336</v>
      </c>
      <c r="F112" s="200" t="s">
        <v>92</v>
      </c>
      <c r="G112" s="201">
        <v>13156.43</v>
      </c>
      <c r="H112" s="201">
        <v>13200.54</v>
      </c>
      <c r="I112" s="202">
        <f t="shared" si="39"/>
        <v>44.110000000000582</v>
      </c>
      <c r="J112" s="201">
        <v>12333.09</v>
      </c>
      <c r="K112" s="199">
        <v>44677.80972222222</v>
      </c>
      <c r="L112" s="201">
        <v>13200.54</v>
      </c>
      <c r="M112" s="203">
        <f t="shared" si="40"/>
        <v>-44.11</v>
      </c>
      <c r="N112" s="204">
        <f t="shared" si="41"/>
        <v>-1</v>
      </c>
      <c r="O112" s="205">
        <f t="shared" si="42"/>
        <v>0</v>
      </c>
      <c r="P112" s="206">
        <f t="shared" si="43"/>
        <v>0</v>
      </c>
      <c r="Q112" s="206">
        <f t="shared" si="44"/>
        <v>-1</v>
      </c>
      <c r="R11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12506</v>
      </c>
      <c r="T11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12606</v>
      </c>
      <c r="U112" s="208">
        <f ca="1">IF(Tabla336106734811[[#This Row],[Equity]]&lt;Tabla336106734811[[#This Row],[Equity Peak]],(Tabla336106734811[[#This Row],[Equity Peak]]-Tabla336106734811[[#This Row],[Equity]])/Tabla336106734811[[#This Row],[Equity Peak]],"")</f>
        <v>7.9327304458194515E-3</v>
      </c>
      <c r="V112" s="209">
        <f t="shared" si="45"/>
        <v>0</v>
      </c>
      <c r="W112" s="209">
        <f t="shared" si="46"/>
        <v>0</v>
      </c>
      <c r="X112" s="209">
        <f t="shared" si="47"/>
        <v>0</v>
      </c>
      <c r="Y112" s="209">
        <f t="shared" si="48"/>
        <v>0</v>
      </c>
      <c r="Z112" s="209">
        <f t="shared" si="49"/>
        <v>-1</v>
      </c>
      <c r="AA112" s="205">
        <f t="shared" si="50"/>
        <v>0</v>
      </c>
      <c r="AB112" s="209">
        <f t="shared" si="51"/>
        <v>0</v>
      </c>
      <c r="AC112" s="205">
        <f t="shared" si="52"/>
        <v>0</v>
      </c>
      <c r="AD112" s="210">
        <f t="shared" si="53"/>
        <v>7.0138888884685002E-2</v>
      </c>
      <c r="AE112" s="210">
        <f t="shared" si="54"/>
        <v>0</v>
      </c>
      <c r="AF112" s="210">
        <f t="shared" si="55"/>
        <v>7.0138888884685002E-2</v>
      </c>
      <c r="AG112" s="210">
        <f t="shared" si="56"/>
        <v>0</v>
      </c>
    </row>
    <row r="113" spans="2:33" ht="15" customHeight="1" x14ac:dyDescent="0.3">
      <c r="B113" s="196" t="s">
        <v>5</v>
      </c>
      <c r="C113" s="197" t="s">
        <v>13</v>
      </c>
      <c r="D113" s="198" t="str">
        <f t="shared" si="38"/>
        <v>C</v>
      </c>
      <c r="E113" s="199">
        <v>44672.90625</v>
      </c>
      <c r="F113" s="200" t="s">
        <v>92</v>
      </c>
      <c r="G113" s="201">
        <v>13772.41</v>
      </c>
      <c r="H113" s="201">
        <v>13818.64</v>
      </c>
      <c r="I113" s="202">
        <f t="shared" si="39"/>
        <v>46.229999999999563</v>
      </c>
      <c r="J113" s="201">
        <v>12909.48</v>
      </c>
      <c r="K113" s="199">
        <v>44676.729861111111</v>
      </c>
      <c r="L113" s="201">
        <v>13403.52</v>
      </c>
      <c r="M113" s="203">
        <f t="shared" si="40"/>
        <v>368.89</v>
      </c>
      <c r="N113" s="204">
        <f t="shared" si="41"/>
        <v>7.98</v>
      </c>
      <c r="O113" s="205">
        <f t="shared" si="42"/>
        <v>0</v>
      </c>
      <c r="P113" s="206">
        <f t="shared" si="43"/>
        <v>7.98</v>
      </c>
      <c r="Q113" s="206">
        <f t="shared" si="44"/>
        <v>0</v>
      </c>
      <c r="R11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12606</v>
      </c>
      <c r="T11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12606</v>
      </c>
      <c r="U113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3" s="209">
        <f t="shared" si="45"/>
        <v>0</v>
      </c>
      <c r="W113" s="209">
        <f t="shared" si="46"/>
        <v>0</v>
      </c>
      <c r="X113" s="209">
        <f t="shared" si="47"/>
        <v>0</v>
      </c>
      <c r="Y113" s="209">
        <f t="shared" si="48"/>
        <v>0</v>
      </c>
      <c r="Z113" s="209">
        <f t="shared" si="49"/>
        <v>7.98</v>
      </c>
      <c r="AA113" s="205">
        <f t="shared" si="50"/>
        <v>0</v>
      </c>
      <c r="AB113" s="209">
        <f t="shared" si="51"/>
        <v>0</v>
      </c>
      <c r="AC113" s="205">
        <f t="shared" si="52"/>
        <v>0</v>
      </c>
      <c r="AD113" s="210">
        <f t="shared" si="53"/>
        <v>3.8236111111109494</v>
      </c>
      <c r="AE113" s="210">
        <f t="shared" si="54"/>
        <v>3.8236111111109494</v>
      </c>
      <c r="AF113" s="210">
        <f t="shared" si="55"/>
        <v>0</v>
      </c>
      <c r="AG113" s="210">
        <f t="shared" si="56"/>
        <v>0</v>
      </c>
    </row>
    <row r="114" spans="2:33" ht="15" customHeight="1" x14ac:dyDescent="0.3">
      <c r="B114" s="196" t="s">
        <v>5</v>
      </c>
      <c r="C114" s="197" t="s">
        <v>13</v>
      </c>
      <c r="D114" s="198" t="str">
        <f t="shared" si="38"/>
        <v>C</v>
      </c>
      <c r="E114" s="199">
        <v>44672.885416666664</v>
      </c>
      <c r="F114" s="200" t="s">
        <v>92</v>
      </c>
      <c r="G114" s="201">
        <v>13789.04</v>
      </c>
      <c r="H114" s="201">
        <v>13833.45</v>
      </c>
      <c r="I114" s="202">
        <f t="shared" si="39"/>
        <v>44.409999999999854</v>
      </c>
      <c r="J114" s="201">
        <v>12960.06</v>
      </c>
      <c r="K114" s="199">
        <v>44672.899305555555</v>
      </c>
      <c r="L114" s="201">
        <v>13833.45</v>
      </c>
      <c r="M114" s="203">
        <f t="shared" si="40"/>
        <v>-44.41</v>
      </c>
      <c r="N114" s="204">
        <f t="shared" si="41"/>
        <v>-1</v>
      </c>
      <c r="O114" s="205">
        <f t="shared" si="42"/>
        <v>0</v>
      </c>
      <c r="P114" s="206">
        <f t="shared" si="43"/>
        <v>0</v>
      </c>
      <c r="Q114" s="206">
        <f t="shared" si="44"/>
        <v>-1</v>
      </c>
      <c r="R11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11808</v>
      </c>
      <c r="T11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12087</v>
      </c>
      <c r="U114" s="208">
        <f ca="1">IF(Tabla336106734811[[#This Row],[Equity]]&lt;Tabla336106734811[[#This Row],[Equity Peak]],(Tabla336106734811[[#This Row],[Equity Peak]]-Tabla336106734811[[#This Row],[Equity]])/Tabla336106734811[[#This Row],[Equity Peak]],"")</f>
        <v>2.3082650781831721E-2</v>
      </c>
      <c r="V114" s="209">
        <f t="shared" si="45"/>
        <v>0</v>
      </c>
      <c r="W114" s="209">
        <f t="shared" si="46"/>
        <v>0</v>
      </c>
      <c r="X114" s="209">
        <f t="shared" si="47"/>
        <v>0</v>
      </c>
      <c r="Y114" s="209">
        <f t="shared" si="48"/>
        <v>0</v>
      </c>
      <c r="Z114" s="209">
        <f t="shared" si="49"/>
        <v>-1</v>
      </c>
      <c r="AA114" s="205">
        <f t="shared" si="50"/>
        <v>0</v>
      </c>
      <c r="AB114" s="209">
        <f t="shared" si="51"/>
        <v>0</v>
      </c>
      <c r="AC114" s="205">
        <f t="shared" si="52"/>
        <v>0</v>
      </c>
      <c r="AD114" s="210">
        <f t="shared" si="53"/>
        <v>1.3888888890505768E-2</v>
      </c>
      <c r="AE114" s="210">
        <f t="shared" si="54"/>
        <v>0</v>
      </c>
      <c r="AF114" s="210">
        <f t="shared" si="55"/>
        <v>1.3888888890505768E-2</v>
      </c>
      <c r="AG114" s="210">
        <f t="shared" si="56"/>
        <v>0</v>
      </c>
    </row>
    <row r="115" spans="2:33" ht="15" customHeight="1" x14ac:dyDescent="0.3">
      <c r="B115" s="196" t="s">
        <v>5</v>
      </c>
      <c r="C115" s="197" t="s">
        <v>13</v>
      </c>
      <c r="D115" s="198" t="str">
        <f t="shared" si="38"/>
        <v>C</v>
      </c>
      <c r="E115" s="199">
        <v>44669.052083333336</v>
      </c>
      <c r="F115" s="200" t="s">
        <v>92</v>
      </c>
      <c r="G115" s="201">
        <v>13831.46</v>
      </c>
      <c r="H115" s="201">
        <v>13873.71</v>
      </c>
      <c r="I115" s="202">
        <f t="shared" si="39"/>
        <v>42.25</v>
      </c>
      <c r="J115" s="201">
        <v>13042.85</v>
      </c>
      <c r="K115" s="199">
        <v>44669.688194444447</v>
      </c>
      <c r="L115" s="201">
        <v>13864.88</v>
      </c>
      <c r="M115" s="203">
        <f t="shared" si="40"/>
        <v>-33.42</v>
      </c>
      <c r="N115" s="204">
        <f t="shared" si="41"/>
        <v>-0.79</v>
      </c>
      <c r="O115" s="205">
        <f t="shared" si="42"/>
        <v>0</v>
      </c>
      <c r="P115" s="206">
        <f t="shared" si="43"/>
        <v>0</v>
      </c>
      <c r="Q115" s="206">
        <f t="shared" si="44"/>
        <v>-0.79</v>
      </c>
      <c r="R11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11908</v>
      </c>
      <c r="T11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12087</v>
      </c>
      <c r="U115" s="208">
        <f ca="1">IF(Tabla336106734811[[#This Row],[Equity]]&lt;Tabla336106734811[[#This Row],[Equity Peak]],(Tabla336106734811[[#This Row],[Equity Peak]]-Tabla336106734811[[#This Row],[Equity]])/Tabla336106734811[[#This Row],[Equity Peak]],"")</f>
        <v>1.4809299247125011E-2</v>
      </c>
      <c r="V115" s="209">
        <f t="shared" si="45"/>
        <v>0</v>
      </c>
      <c r="W115" s="209">
        <f t="shared" si="46"/>
        <v>0</v>
      </c>
      <c r="X115" s="209">
        <f t="shared" si="47"/>
        <v>0</v>
      </c>
      <c r="Y115" s="209">
        <f t="shared" si="48"/>
        <v>0</v>
      </c>
      <c r="Z115" s="209">
        <f t="shared" si="49"/>
        <v>-0.79</v>
      </c>
      <c r="AA115" s="205">
        <f t="shared" si="50"/>
        <v>0</v>
      </c>
      <c r="AB115" s="209">
        <f t="shared" si="51"/>
        <v>0</v>
      </c>
      <c r="AC115" s="205">
        <f t="shared" si="52"/>
        <v>0</v>
      </c>
      <c r="AD115" s="210">
        <f t="shared" si="53"/>
        <v>0.63611111111094942</v>
      </c>
      <c r="AE115" s="210">
        <f t="shared" si="54"/>
        <v>0</v>
      </c>
      <c r="AF115" s="210">
        <f t="shared" si="55"/>
        <v>0.63611111111094942</v>
      </c>
      <c r="AG115" s="210">
        <f t="shared" si="56"/>
        <v>0</v>
      </c>
    </row>
    <row r="116" spans="2:33" ht="15" customHeight="1" x14ac:dyDescent="0.3">
      <c r="B116" s="196" t="s">
        <v>5</v>
      </c>
      <c r="C116" s="197" t="s">
        <v>13</v>
      </c>
      <c r="D116" s="198" t="str">
        <f t="shared" si="38"/>
        <v>C</v>
      </c>
      <c r="E116" s="199">
        <v>44663.927083333336</v>
      </c>
      <c r="F116" s="200" t="s">
        <v>92</v>
      </c>
      <c r="G116" s="201">
        <v>13883.8</v>
      </c>
      <c r="H116" s="201">
        <v>13937.99</v>
      </c>
      <c r="I116" s="202">
        <f t="shared" si="39"/>
        <v>54.190000000000509</v>
      </c>
      <c r="J116" s="201">
        <v>12872.32</v>
      </c>
      <c r="K116" s="199">
        <v>44663.943055555559</v>
      </c>
      <c r="L116" s="201">
        <v>13937.99</v>
      </c>
      <c r="M116" s="203">
        <f t="shared" si="40"/>
        <v>-54.19</v>
      </c>
      <c r="N116" s="204">
        <f t="shared" si="41"/>
        <v>-1</v>
      </c>
      <c r="O116" s="205">
        <f t="shared" si="42"/>
        <v>0</v>
      </c>
      <c r="P116" s="206">
        <f t="shared" si="43"/>
        <v>0</v>
      </c>
      <c r="Q116" s="206">
        <f t="shared" si="44"/>
        <v>-1</v>
      </c>
      <c r="R11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11987</v>
      </c>
      <c r="T11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12087</v>
      </c>
      <c r="U116" s="208">
        <f ca="1">IF(Tabla336106734811[[#This Row],[Equity]]&lt;Tabla336106734811[[#This Row],[Equity Peak]],(Tabla336106734811[[#This Row],[Equity Peak]]-Tabla336106734811[[#This Row],[Equity]])/Tabla336106734811[[#This Row],[Equity Peak]],"")</f>
        <v>8.2733515347067094E-3</v>
      </c>
      <c r="V116" s="209">
        <f t="shared" si="45"/>
        <v>0</v>
      </c>
      <c r="W116" s="209">
        <f t="shared" si="46"/>
        <v>0</v>
      </c>
      <c r="X116" s="209">
        <f t="shared" si="47"/>
        <v>0</v>
      </c>
      <c r="Y116" s="209">
        <f t="shared" si="48"/>
        <v>0</v>
      </c>
      <c r="Z116" s="209">
        <f t="shared" si="49"/>
        <v>-1</v>
      </c>
      <c r="AA116" s="205">
        <f t="shared" si="50"/>
        <v>0</v>
      </c>
      <c r="AB116" s="209">
        <f t="shared" si="51"/>
        <v>0</v>
      </c>
      <c r="AC116" s="205">
        <f t="shared" si="52"/>
        <v>0</v>
      </c>
      <c r="AD116" s="210">
        <f t="shared" si="53"/>
        <v>1.5972222223354038E-2</v>
      </c>
      <c r="AE116" s="210">
        <f t="shared" si="54"/>
        <v>0</v>
      </c>
      <c r="AF116" s="210">
        <f t="shared" si="55"/>
        <v>1.5972222223354038E-2</v>
      </c>
      <c r="AG116" s="210">
        <f t="shared" si="56"/>
        <v>0</v>
      </c>
    </row>
    <row r="117" spans="2:33" ht="15" customHeight="1" x14ac:dyDescent="0.3">
      <c r="B117" s="196" t="s">
        <v>5</v>
      </c>
      <c r="C117" s="197" t="s">
        <v>13</v>
      </c>
      <c r="D117" s="198" t="str">
        <f t="shared" ref="D117:D148" si="57">IF(E117&lt;&gt;"",IF(K117&lt;&gt;"","C","O"),"")</f>
        <v>C</v>
      </c>
      <c r="E117" s="199">
        <v>44662.135416666664</v>
      </c>
      <c r="F117" s="200" t="s">
        <v>92</v>
      </c>
      <c r="G117" s="201">
        <v>14263.36</v>
      </c>
      <c r="H117" s="201">
        <v>14311.43</v>
      </c>
      <c r="I117" s="202">
        <f t="shared" ref="I117:I148" si="58">ABS(G117-H117)</f>
        <v>48.069999999999709</v>
      </c>
      <c r="J117" s="201">
        <v>13366.01</v>
      </c>
      <c r="K117" s="199">
        <v>44663.629861111112</v>
      </c>
      <c r="L117" s="201">
        <v>14044.46</v>
      </c>
      <c r="M117" s="203">
        <f t="shared" ref="M117:M148" si="59">ROUND(IF(C117="L",(L117-G117),(G117-L117)),4)</f>
        <v>218.9</v>
      </c>
      <c r="N117" s="204">
        <f t="shared" ref="N117:N148" si="60">IFERROR(ROUND((M117/I117),2),"")</f>
        <v>4.55</v>
      </c>
      <c r="O117" s="205">
        <f t="shared" ref="O117:O148" si="61">IF(D117="O",IF(N117&lt;0,N117,0),0)</f>
        <v>0</v>
      </c>
      <c r="P117" s="206">
        <f t="shared" ref="P117:P148" si="62">IF(N117&gt;= 0,N117,0)</f>
        <v>4.55</v>
      </c>
      <c r="Q117" s="206">
        <f t="shared" ref="Q117:Q148" si="63">IF(N117&lt;0,N117,0)</f>
        <v>0</v>
      </c>
      <c r="R11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12087</v>
      </c>
      <c r="T11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12087</v>
      </c>
      <c r="U117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17" s="209">
        <f t="shared" ref="V117:V148" si="64">IF(B117="FX",N117,0)</f>
        <v>0</v>
      </c>
      <c r="W117" s="209">
        <f t="shared" ref="W117:W148" si="65">IF(D117="O",IF(V117&lt;0,V117,0),0)</f>
        <v>0</v>
      </c>
      <c r="X117" s="209">
        <f t="shared" ref="X117:X148" si="66">IF(B117="COM",N117,0)</f>
        <v>0</v>
      </c>
      <c r="Y117" s="209">
        <f t="shared" ref="Y117:Y148" si="67">IF(D117="O",IF(X117&lt;0,X117,0),0)</f>
        <v>0</v>
      </c>
      <c r="Z117" s="209">
        <f t="shared" ref="Z117:Z148" si="68">IF(B117="IND",N117,0)</f>
        <v>4.55</v>
      </c>
      <c r="AA117" s="205">
        <f t="shared" ref="AA117:AA148" si="69">IF(D117="O",IF(Z117&lt;0,Z117,0),0)</f>
        <v>0</v>
      </c>
      <c r="AB117" s="209">
        <f t="shared" ref="AB117:AB148" si="70">IF(B117="CRYPTO",N117,0)</f>
        <v>0</v>
      </c>
      <c r="AC117" s="205">
        <f t="shared" ref="AC117:AC148" si="71">IF(D117="O",IF(AB117&lt;0,AB117,0),0)</f>
        <v>0</v>
      </c>
      <c r="AD117" s="210">
        <f t="shared" ref="AD117:AD148" si="72">IF(K117&lt;&gt;"",K117-E117,0)</f>
        <v>1.4944444444481633</v>
      </c>
      <c r="AE117" s="210">
        <f t="shared" ref="AE117:AE148" si="73">IF(N117&gt;0,AD117,0)</f>
        <v>1.4944444444481633</v>
      </c>
      <c r="AF117" s="210">
        <f t="shared" ref="AF117:AF148" si="74">IF(N117&lt;0,AD117,0)</f>
        <v>0</v>
      </c>
      <c r="AG117" s="210">
        <f t="shared" ref="AG117:AG148" si="75">IF(N117=0,AD117,0)</f>
        <v>0</v>
      </c>
    </row>
    <row r="118" spans="2:33" ht="15" customHeight="1" x14ac:dyDescent="0.3">
      <c r="B118" s="196" t="s">
        <v>5</v>
      </c>
      <c r="C118" s="197" t="s">
        <v>13</v>
      </c>
      <c r="D118" s="198" t="str">
        <f t="shared" si="57"/>
        <v>C</v>
      </c>
      <c r="E118" s="199">
        <v>44658.78125</v>
      </c>
      <c r="F118" s="200" t="s">
        <v>92</v>
      </c>
      <c r="G118" s="201">
        <v>14384.32</v>
      </c>
      <c r="H118" s="201">
        <v>14433.88</v>
      </c>
      <c r="I118" s="202">
        <f t="shared" si="58"/>
        <v>49.559999999999491</v>
      </c>
      <c r="J118" s="201">
        <v>13459.17</v>
      </c>
      <c r="K118" s="199">
        <v>44658.845833333333</v>
      </c>
      <c r="L118" s="201">
        <v>14433.88</v>
      </c>
      <c r="M118" s="203">
        <f t="shared" si="59"/>
        <v>-49.56</v>
      </c>
      <c r="N118" s="204">
        <f t="shared" si="60"/>
        <v>-1</v>
      </c>
      <c r="O118" s="205">
        <f t="shared" si="61"/>
        <v>0</v>
      </c>
      <c r="P118" s="206">
        <f t="shared" si="62"/>
        <v>0</v>
      </c>
      <c r="Q118" s="206">
        <f t="shared" si="63"/>
        <v>-1</v>
      </c>
      <c r="R11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11632</v>
      </c>
      <c r="T11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11849</v>
      </c>
      <c r="U118" s="208">
        <f ca="1">IF(Tabla336106734811[[#This Row],[Equity]]&lt;Tabla336106734811[[#This Row],[Equity Peak]],(Tabla336106734811[[#This Row],[Equity Peak]]-Tabla336106734811[[#This Row],[Equity]])/Tabla336106734811[[#This Row],[Equity Peak]],"")</f>
        <v>1.8313781753734493E-2</v>
      </c>
      <c r="V118" s="209">
        <f t="shared" si="64"/>
        <v>0</v>
      </c>
      <c r="W118" s="209">
        <f t="shared" si="65"/>
        <v>0</v>
      </c>
      <c r="X118" s="209">
        <f t="shared" si="66"/>
        <v>0</v>
      </c>
      <c r="Y118" s="209">
        <f t="shared" si="67"/>
        <v>0</v>
      </c>
      <c r="Z118" s="209">
        <f t="shared" si="68"/>
        <v>-1</v>
      </c>
      <c r="AA118" s="205">
        <f t="shared" si="69"/>
        <v>0</v>
      </c>
      <c r="AB118" s="209">
        <f t="shared" si="70"/>
        <v>0</v>
      </c>
      <c r="AC118" s="205">
        <f t="shared" si="71"/>
        <v>0</v>
      </c>
      <c r="AD118" s="210">
        <f t="shared" si="72"/>
        <v>6.4583333332848269E-2</v>
      </c>
      <c r="AE118" s="210">
        <f t="shared" si="73"/>
        <v>0</v>
      </c>
      <c r="AF118" s="210">
        <f t="shared" si="74"/>
        <v>6.4583333332848269E-2</v>
      </c>
      <c r="AG118" s="210">
        <f t="shared" si="75"/>
        <v>0</v>
      </c>
    </row>
    <row r="119" spans="2:33" ht="15" customHeight="1" x14ac:dyDescent="0.3">
      <c r="B119" s="196" t="s">
        <v>5</v>
      </c>
      <c r="C119" s="197" t="s">
        <v>13</v>
      </c>
      <c r="D119" s="198" t="str">
        <f t="shared" si="57"/>
        <v>C</v>
      </c>
      <c r="E119" s="199">
        <v>44657.697916666664</v>
      </c>
      <c r="F119" s="200" t="s">
        <v>92</v>
      </c>
      <c r="G119" s="201">
        <v>14528.26</v>
      </c>
      <c r="H119" s="201">
        <v>14562.14</v>
      </c>
      <c r="I119" s="202">
        <f t="shared" si="58"/>
        <v>33.8799999999992</v>
      </c>
      <c r="J119" s="201">
        <v>13895.74</v>
      </c>
      <c r="K119" s="199">
        <v>44657.863194444442</v>
      </c>
      <c r="L119" s="201">
        <v>14534.08</v>
      </c>
      <c r="M119" s="203">
        <f t="shared" si="59"/>
        <v>-5.82</v>
      </c>
      <c r="N119" s="204">
        <f t="shared" si="60"/>
        <v>-0.17</v>
      </c>
      <c r="O119" s="205">
        <f t="shared" si="61"/>
        <v>0</v>
      </c>
      <c r="P119" s="206">
        <f t="shared" si="62"/>
        <v>0</v>
      </c>
      <c r="Q119" s="206">
        <f t="shared" si="63"/>
        <v>-0.17</v>
      </c>
      <c r="R11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11732</v>
      </c>
      <c r="T11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11849</v>
      </c>
      <c r="U119" s="208">
        <f ca="1">IF(Tabla336106734811[[#This Row],[Equity]]&lt;Tabla336106734811[[#This Row],[Equity Peak]],(Tabla336106734811[[#This Row],[Equity Peak]]-Tabla336106734811[[#This Row],[Equity]])/Tabla336106734811[[#This Row],[Equity Peak]],"")</f>
        <v>9.8742509916448645E-3</v>
      </c>
      <c r="V119" s="209">
        <f t="shared" si="64"/>
        <v>0</v>
      </c>
      <c r="W119" s="209">
        <f t="shared" si="65"/>
        <v>0</v>
      </c>
      <c r="X119" s="209">
        <f t="shared" si="66"/>
        <v>0</v>
      </c>
      <c r="Y119" s="209">
        <f t="shared" si="67"/>
        <v>0</v>
      </c>
      <c r="Z119" s="209">
        <f t="shared" si="68"/>
        <v>-0.17</v>
      </c>
      <c r="AA119" s="205">
        <f t="shared" si="69"/>
        <v>0</v>
      </c>
      <c r="AB119" s="209">
        <f t="shared" si="70"/>
        <v>0</v>
      </c>
      <c r="AC119" s="205">
        <f t="shared" si="71"/>
        <v>0</v>
      </c>
      <c r="AD119" s="210">
        <f t="shared" si="72"/>
        <v>0.16527777777810115</v>
      </c>
      <c r="AE119" s="210">
        <f t="shared" si="73"/>
        <v>0</v>
      </c>
      <c r="AF119" s="210">
        <f t="shared" si="74"/>
        <v>0.16527777777810115</v>
      </c>
      <c r="AG119" s="210">
        <f t="shared" si="75"/>
        <v>0</v>
      </c>
    </row>
    <row r="120" spans="2:33" ht="15" customHeight="1" x14ac:dyDescent="0.3">
      <c r="B120" s="196" t="s">
        <v>5</v>
      </c>
      <c r="C120" s="197" t="s">
        <v>15</v>
      </c>
      <c r="D120" s="198" t="str">
        <f t="shared" si="57"/>
        <v>C</v>
      </c>
      <c r="E120" s="199">
        <v>44655.958333333336</v>
      </c>
      <c r="F120" s="200" t="s">
        <v>92</v>
      </c>
      <c r="G120" s="201">
        <v>15160.79</v>
      </c>
      <c r="H120" s="201">
        <v>15129.1</v>
      </c>
      <c r="I120" s="202">
        <f t="shared" si="58"/>
        <v>31.690000000000509</v>
      </c>
      <c r="J120" s="201">
        <v>15752.28</v>
      </c>
      <c r="K120" s="199">
        <v>44656.531944444447</v>
      </c>
      <c r="L120" s="201">
        <v>15129.1</v>
      </c>
      <c r="M120" s="203">
        <f t="shared" si="59"/>
        <v>-31.69</v>
      </c>
      <c r="N120" s="204">
        <f t="shared" si="60"/>
        <v>-1</v>
      </c>
      <c r="O120" s="205">
        <f t="shared" si="61"/>
        <v>0</v>
      </c>
      <c r="P120" s="206">
        <f t="shared" si="62"/>
        <v>0</v>
      </c>
      <c r="Q120" s="206">
        <f t="shared" si="63"/>
        <v>-1</v>
      </c>
      <c r="R12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11749</v>
      </c>
      <c r="T12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11849</v>
      </c>
      <c r="U120" s="208">
        <f ca="1">IF(Tabla336106734811[[#This Row],[Equity]]&lt;Tabla336106734811[[#This Row],[Equity Peak]],(Tabla336106734811[[#This Row],[Equity Peak]]-Tabla336106734811[[#This Row],[Equity]])/Tabla336106734811[[#This Row],[Equity Peak]],"")</f>
        <v>8.4395307620896282E-3</v>
      </c>
      <c r="V120" s="209">
        <f t="shared" si="64"/>
        <v>0</v>
      </c>
      <c r="W120" s="209">
        <f t="shared" si="65"/>
        <v>0</v>
      </c>
      <c r="X120" s="209">
        <f t="shared" si="66"/>
        <v>0</v>
      </c>
      <c r="Y120" s="209">
        <f t="shared" si="67"/>
        <v>0</v>
      </c>
      <c r="Z120" s="209">
        <f t="shared" si="68"/>
        <v>-1</v>
      </c>
      <c r="AA120" s="205">
        <f t="shared" si="69"/>
        <v>0</v>
      </c>
      <c r="AB120" s="209">
        <f t="shared" si="70"/>
        <v>0</v>
      </c>
      <c r="AC120" s="205">
        <f t="shared" si="71"/>
        <v>0</v>
      </c>
      <c r="AD120" s="210">
        <f t="shared" si="72"/>
        <v>0.57361111111094942</v>
      </c>
      <c r="AE120" s="210">
        <f t="shared" si="73"/>
        <v>0</v>
      </c>
      <c r="AF120" s="210">
        <f t="shared" si="74"/>
        <v>0.57361111111094942</v>
      </c>
      <c r="AG120" s="210">
        <f t="shared" si="75"/>
        <v>0</v>
      </c>
    </row>
    <row r="121" spans="2:33" ht="15" customHeight="1" x14ac:dyDescent="0.3">
      <c r="B121" s="196" t="s">
        <v>5</v>
      </c>
      <c r="C121" s="197" t="s">
        <v>15</v>
      </c>
      <c r="D121" s="198" t="str">
        <f t="shared" si="57"/>
        <v>C</v>
      </c>
      <c r="E121" s="199">
        <v>44648.916666666664</v>
      </c>
      <c r="F121" s="200" t="s">
        <v>92</v>
      </c>
      <c r="G121" s="201">
        <v>14935.78</v>
      </c>
      <c r="H121" s="201">
        <v>14891.38</v>
      </c>
      <c r="I121" s="202">
        <f t="shared" si="58"/>
        <v>44.400000000001455</v>
      </c>
      <c r="J121" s="201">
        <v>15764.59</v>
      </c>
      <c r="K121" s="199">
        <v>44649.717361111114</v>
      </c>
      <c r="L121" s="201">
        <v>15049.94</v>
      </c>
      <c r="M121" s="203">
        <f t="shared" si="59"/>
        <v>114.16</v>
      </c>
      <c r="N121" s="204">
        <f t="shared" si="60"/>
        <v>2.57</v>
      </c>
      <c r="O121" s="205">
        <f t="shared" si="61"/>
        <v>0</v>
      </c>
      <c r="P121" s="206">
        <f t="shared" si="62"/>
        <v>2.57</v>
      </c>
      <c r="Q121" s="206">
        <f t="shared" si="63"/>
        <v>0</v>
      </c>
      <c r="R12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11849</v>
      </c>
      <c r="T12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11849</v>
      </c>
      <c r="U121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21" s="209">
        <f t="shared" si="64"/>
        <v>0</v>
      </c>
      <c r="W121" s="209">
        <f t="shared" si="65"/>
        <v>0</v>
      </c>
      <c r="X121" s="209">
        <f t="shared" si="66"/>
        <v>0</v>
      </c>
      <c r="Y121" s="209">
        <f t="shared" si="67"/>
        <v>0</v>
      </c>
      <c r="Z121" s="209">
        <f t="shared" si="68"/>
        <v>2.57</v>
      </c>
      <c r="AA121" s="205">
        <f t="shared" si="69"/>
        <v>0</v>
      </c>
      <c r="AB121" s="209">
        <f t="shared" si="70"/>
        <v>0</v>
      </c>
      <c r="AC121" s="205">
        <f t="shared" si="71"/>
        <v>0</v>
      </c>
      <c r="AD121" s="210">
        <f t="shared" si="72"/>
        <v>0.80069444444961846</v>
      </c>
      <c r="AE121" s="210">
        <f t="shared" si="73"/>
        <v>0.80069444444961846</v>
      </c>
      <c r="AF121" s="210">
        <f t="shared" si="74"/>
        <v>0</v>
      </c>
      <c r="AG121" s="210">
        <f t="shared" si="75"/>
        <v>0</v>
      </c>
    </row>
    <row r="122" spans="2:33" ht="15" customHeight="1" x14ac:dyDescent="0.3">
      <c r="B122" s="196" t="s">
        <v>5</v>
      </c>
      <c r="C122" s="197" t="s">
        <v>15</v>
      </c>
      <c r="D122" s="198" t="str">
        <f t="shared" si="57"/>
        <v>C</v>
      </c>
      <c r="E122" s="199">
        <v>44648.697916666664</v>
      </c>
      <c r="F122" s="200" t="s">
        <v>92</v>
      </c>
      <c r="G122" s="201">
        <v>14852.65</v>
      </c>
      <c r="H122" s="201">
        <v>14814.24</v>
      </c>
      <c r="I122" s="202">
        <f t="shared" si="58"/>
        <v>38.409999999999854</v>
      </c>
      <c r="J122" s="201">
        <v>15569.57</v>
      </c>
      <c r="K122" s="199">
        <v>44648.720138888886</v>
      </c>
      <c r="L122" s="201">
        <v>14814.24</v>
      </c>
      <c r="M122" s="203">
        <f t="shared" si="59"/>
        <v>-38.409999999999997</v>
      </c>
      <c r="N122" s="204">
        <f t="shared" si="60"/>
        <v>-1</v>
      </c>
      <c r="O122" s="205">
        <f t="shared" si="61"/>
        <v>0</v>
      </c>
      <c r="P122" s="206">
        <f t="shared" si="62"/>
        <v>0</v>
      </c>
      <c r="Q122" s="206">
        <f t="shared" si="63"/>
        <v>-1</v>
      </c>
      <c r="R12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11592</v>
      </c>
      <c r="T12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11793</v>
      </c>
      <c r="U122" s="208">
        <f ca="1">IF(Tabla336106734811[[#This Row],[Equity]]&lt;Tabla336106734811[[#This Row],[Equity Peak]],(Tabla336106734811[[#This Row],[Equity Peak]]-Tabla336106734811[[#This Row],[Equity]])/Tabla336106734811[[#This Row],[Equity Peak]],"")</f>
        <v>1.7044009157975069E-2</v>
      </c>
      <c r="V122" s="209">
        <f t="shared" si="64"/>
        <v>0</v>
      </c>
      <c r="W122" s="209">
        <f t="shared" si="65"/>
        <v>0</v>
      </c>
      <c r="X122" s="209">
        <f t="shared" si="66"/>
        <v>0</v>
      </c>
      <c r="Y122" s="209">
        <f t="shared" si="67"/>
        <v>0</v>
      </c>
      <c r="Z122" s="209">
        <f t="shared" si="68"/>
        <v>-1</v>
      </c>
      <c r="AA122" s="205">
        <f t="shared" si="69"/>
        <v>0</v>
      </c>
      <c r="AB122" s="209">
        <f t="shared" si="70"/>
        <v>0</v>
      </c>
      <c r="AC122" s="205">
        <f t="shared" si="71"/>
        <v>0</v>
      </c>
      <c r="AD122" s="210">
        <f t="shared" si="72"/>
        <v>2.2222222221898846E-2</v>
      </c>
      <c r="AE122" s="210">
        <f t="shared" si="73"/>
        <v>0</v>
      </c>
      <c r="AF122" s="210">
        <f t="shared" si="74"/>
        <v>2.2222222221898846E-2</v>
      </c>
      <c r="AG122" s="210">
        <f t="shared" si="75"/>
        <v>0</v>
      </c>
    </row>
    <row r="123" spans="2:33" ht="15" customHeight="1" x14ac:dyDescent="0.3">
      <c r="B123" s="196" t="s">
        <v>5</v>
      </c>
      <c r="C123" s="197" t="s">
        <v>15</v>
      </c>
      <c r="D123" s="198" t="str">
        <f t="shared" si="57"/>
        <v>C</v>
      </c>
      <c r="E123" s="199">
        <v>44644.9375</v>
      </c>
      <c r="F123" s="200" t="s">
        <v>92</v>
      </c>
      <c r="G123" s="201">
        <v>14721.19</v>
      </c>
      <c r="H123" s="201">
        <v>14679.53</v>
      </c>
      <c r="I123" s="202">
        <f t="shared" si="58"/>
        <v>41.659999999999854</v>
      </c>
      <c r="J123" s="201">
        <v>15498.77</v>
      </c>
      <c r="K123" s="199">
        <v>44645.693055555559</v>
      </c>
      <c r="L123" s="201">
        <v>14718.69</v>
      </c>
      <c r="M123" s="203">
        <f t="shared" si="59"/>
        <v>-2.5</v>
      </c>
      <c r="N123" s="204">
        <f t="shared" si="60"/>
        <v>-0.06</v>
      </c>
      <c r="O123" s="205">
        <f t="shared" si="61"/>
        <v>0</v>
      </c>
      <c r="P123" s="206">
        <f t="shared" si="62"/>
        <v>0</v>
      </c>
      <c r="Q123" s="206">
        <f t="shared" si="63"/>
        <v>-0.06</v>
      </c>
      <c r="R12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11692</v>
      </c>
      <c r="T12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11793</v>
      </c>
      <c r="U123" s="208">
        <f ca="1">IF(Tabla336106734811[[#This Row],[Equity]]&lt;Tabla336106734811[[#This Row],[Equity Peak]],(Tabla336106734811[[#This Row],[Equity Peak]]-Tabla336106734811[[#This Row],[Equity]])/Tabla336106734811[[#This Row],[Equity Peak]],"")</f>
        <v>8.5644026117188167E-3</v>
      </c>
      <c r="V123" s="209">
        <f t="shared" si="64"/>
        <v>0</v>
      </c>
      <c r="W123" s="209">
        <f t="shared" si="65"/>
        <v>0</v>
      </c>
      <c r="X123" s="209">
        <f t="shared" si="66"/>
        <v>0</v>
      </c>
      <c r="Y123" s="209">
        <f t="shared" si="67"/>
        <v>0</v>
      </c>
      <c r="Z123" s="209">
        <f t="shared" si="68"/>
        <v>-0.06</v>
      </c>
      <c r="AA123" s="205">
        <f t="shared" si="69"/>
        <v>0</v>
      </c>
      <c r="AB123" s="209">
        <f t="shared" si="70"/>
        <v>0</v>
      </c>
      <c r="AC123" s="205">
        <f t="shared" si="71"/>
        <v>0</v>
      </c>
      <c r="AD123" s="210">
        <f t="shared" si="72"/>
        <v>0.75555555555911269</v>
      </c>
      <c r="AE123" s="210">
        <f t="shared" si="73"/>
        <v>0</v>
      </c>
      <c r="AF123" s="210">
        <f t="shared" si="74"/>
        <v>0.75555555555911269</v>
      </c>
      <c r="AG123" s="210">
        <f t="shared" si="75"/>
        <v>0</v>
      </c>
    </row>
    <row r="124" spans="2:33" ht="15" customHeight="1" x14ac:dyDescent="0.3">
      <c r="B124" s="196" t="s">
        <v>5</v>
      </c>
      <c r="C124" s="197" t="s">
        <v>15</v>
      </c>
      <c r="D124" s="198" t="str">
        <f t="shared" si="57"/>
        <v>C</v>
      </c>
      <c r="E124" s="199">
        <v>44642.71875</v>
      </c>
      <c r="F124" s="200" t="s">
        <v>92</v>
      </c>
      <c r="G124" s="201">
        <v>14538.84</v>
      </c>
      <c r="H124" s="201">
        <v>14498.81</v>
      </c>
      <c r="I124" s="202">
        <f t="shared" si="58"/>
        <v>40.030000000000655</v>
      </c>
      <c r="J124" s="201">
        <v>15286.13</v>
      </c>
      <c r="K124" s="199">
        <v>44643.612500000003</v>
      </c>
      <c r="L124" s="201">
        <v>14540.77</v>
      </c>
      <c r="M124" s="203">
        <f t="shared" si="59"/>
        <v>1.93</v>
      </c>
      <c r="N124" s="204">
        <f t="shared" si="60"/>
        <v>0.05</v>
      </c>
      <c r="O124" s="205">
        <f t="shared" si="61"/>
        <v>0</v>
      </c>
      <c r="P124" s="206">
        <f t="shared" si="62"/>
        <v>0.05</v>
      </c>
      <c r="Q124" s="206">
        <f t="shared" si="63"/>
        <v>0</v>
      </c>
      <c r="R12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11698</v>
      </c>
      <c r="T12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11793</v>
      </c>
      <c r="U124" s="208">
        <f ca="1">IF(Tabla336106734811[[#This Row],[Equity]]&lt;Tabla336106734811[[#This Row],[Equity Peak]],(Tabla336106734811[[#This Row],[Equity Peak]]-Tabla336106734811[[#This Row],[Equity]])/Tabla336106734811[[#This Row],[Equity Peak]],"")</f>
        <v>8.0556262189434413E-3</v>
      </c>
      <c r="V124" s="209">
        <f t="shared" si="64"/>
        <v>0</v>
      </c>
      <c r="W124" s="209">
        <f t="shared" si="65"/>
        <v>0</v>
      </c>
      <c r="X124" s="209">
        <f t="shared" si="66"/>
        <v>0</v>
      </c>
      <c r="Y124" s="209">
        <f t="shared" si="67"/>
        <v>0</v>
      </c>
      <c r="Z124" s="209">
        <f t="shared" si="68"/>
        <v>0.05</v>
      </c>
      <c r="AA124" s="205">
        <f t="shared" si="69"/>
        <v>0</v>
      </c>
      <c r="AB124" s="209">
        <f t="shared" si="70"/>
        <v>0</v>
      </c>
      <c r="AC124" s="205">
        <f t="shared" si="71"/>
        <v>0</v>
      </c>
      <c r="AD124" s="210">
        <f t="shared" si="72"/>
        <v>0.89375000000291038</v>
      </c>
      <c r="AE124" s="210">
        <f t="shared" si="73"/>
        <v>0.89375000000291038</v>
      </c>
      <c r="AF124" s="210">
        <f t="shared" si="74"/>
        <v>0</v>
      </c>
      <c r="AG124" s="210">
        <f t="shared" si="75"/>
        <v>0</v>
      </c>
    </row>
    <row r="125" spans="2:33" ht="15" customHeight="1" x14ac:dyDescent="0.3">
      <c r="B125" s="196" t="s">
        <v>5</v>
      </c>
      <c r="C125" s="197" t="s">
        <v>15</v>
      </c>
      <c r="D125" s="198" t="str">
        <f t="shared" si="57"/>
        <v>C</v>
      </c>
      <c r="E125" s="199">
        <v>44642.697916666664</v>
      </c>
      <c r="F125" s="200" t="s">
        <v>92</v>
      </c>
      <c r="G125" s="201">
        <v>14468.96</v>
      </c>
      <c r="H125" s="201">
        <v>14429.22</v>
      </c>
      <c r="I125" s="202">
        <f t="shared" si="58"/>
        <v>39.739999999999782</v>
      </c>
      <c r="J125" s="201">
        <v>15210.73</v>
      </c>
      <c r="K125" s="199">
        <v>44642.7</v>
      </c>
      <c r="L125" s="201">
        <v>14429.22</v>
      </c>
      <c r="M125" s="203">
        <f t="shared" si="59"/>
        <v>-39.74</v>
      </c>
      <c r="N125" s="204">
        <f t="shared" si="60"/>
        <v>-1</v>
      </c>
      <c r="O125" s="205">
        <f t="shared" si="61"/>
        <v>0</v>
      </c>
      <c r="P125" s="206">
        <f t="shared" si="62"/>
        <v>0</v>
      </c>
      <c r="Q125" s="206">
        <f t="shared" si="63"/>
        <v>-1</v>
      </c>
      <c r="R12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11693</v>
      </c>
      <c r="T12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11793</v>
      </c>
      <c r="U125" s="208">
        <f ca="1">IF(Tabla336106734811[[#This Row],[Equity]]&lt;Tabla336106734811[[#This Row],[Equity Peak]],(Tabla336106734811[[#This Row],[Equity Peak]]-Tabla336106734811[[#This Row],[Equity]])/Tabla336106734811[[#This Row],[Equity Peak]],"")</f>
        <v>8.4796065462562544E-3</v>
      </c>
      <c r="V125" s="209">
        <f t="shared" si="64"/>
        <v>0</v>
      </c>
      <c r="W125" s="209">
        <f t="shared" si="65"/>
        <v>0</v>
      </c>
      <c r="X125" s="209">
        <f t="shared" si="66"/>
        <v>0</v>
      </c>
      <c r="Y125" s="209">
        <f t="shared" si="67"/>
        <v>0</v>
      </c>
      <c r="Z125" s="209">
        <f t="shared" si="68"/>
        <v>-1</v>
      </c>
      <c r="AA125" s="205">
        <f t="shared" si="69"/>
        <v>0</v>
      </c>
      <c r="AB125" s="209">
        <f t="shared" si="70"/>
        <v>0</v>
      </c>
      <c r="AC125" s="205">
        <f t="shared" si="71"/>
        <v>0</v>
      </c>
      <c r="AD125" s="210">
        <f t="shared" si="72"/>
        <v>2.0833333328482695E-3</v>
      </c>
      <c r="AE125" s="210">
        <f t="shared" si="73"/>
        <v>0</v>
      </c>
      <c r="AF125" s="210">
        <f t="shared" si="74"/>
        <v>2.0833333328482695E-3</v>
      </c>
      <c r="AG125" s="210">
        <f t="shared" si="75"/>
        <v>0</v>
      </c>
    </row>
    <row r="126" spans="2:33" ht="15" customHeight="1" x14ac:dyDescent="0.3">
      <c r="B126" s="196" t="s">
        <v>5</v>
      </c>
      <c r="C126" s="197" t="s">
        <v>15</v>
      </c>
      <c r="D126" s="198" t="str">
        <f t="shared" si="57"/>
        <v>C</v>
      </c>
      <c r="E126" s="199">
        <v>44638.708333333336</v>
      </c>
      <c r="F126" s="200" t="s">
        <v>92</v>
      </c>
      <c r="G126" s="201">
        <v>14151.18</v>
      </c>
      <c r="H126" s="201">
        <v>14110.03</v>
      </c>
      <c r="I126" s="202">
        <f t="shared" si="58"/>
        <v>41.149999999999636</v>
      </c>
      <c r="J126" s="201">
        <v>14919.35</v>
      </c>
      <c r="K126" s="199">
        <v>44641.703472222223</v>
      </c>
      <c r="L126" s="201">
        <v>14325.3</v>
      </c>
      <c r="M126" s="203">
        <f t="shared" si="59"/>
        <v>174.12</v>
      </c>
      <c r="N126" s="204">
        <f t="shared" si="60"/>
        <v>4.2300000000000004</v>
      </c>
      <c r="O126" s="205">
        <f t="shared" si="61"/>
        <v>0</v>
      </c>
      <c r="P126" s="206">
        <f t="shared" si="62"/>
        <v>4.2300000000000004</v>
      </c>
      <c r="Q126" s="206">
        <f t="shared" si="63"/>
        <v>0</v>
      </c>
      <c r="R12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11793</v>
      </c>
      <c r="T12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11793</v>
      </c>
      <c r="U126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26" s="209">
        <f t="shared" si="64"/>
        <v>0</v>
      </c>
      <c r="W126" s="209">
        <f t="shared" si="65"/>
        <v>0</v>
      </c>
      <c r="X126" s="209">
        <f t="shared" si="66"/>
        <v>0</v>
      </c>
      <c r="Y126" s="209">
        <f t="shared" si="67"/>
        <v>0</v>
      </c>
      <c r="Z126" s="209">
        <f t="shared" si="68"/>
        <v>4.2300000000000004</v>
      </c>
      <c r="AA126" s="205">
        <f t="shared" si="69"/>
        <v>0</v>
      </c>
      <c r="AB126" s="209">
        <f t="shared" si="70"/>
        <v>0</v>
      </c>
      <c r="AC126" s="205">
        <f t="shared" si="71"/>
        <v>0</v>
      </c>
      <c r="AD126" s="210">
        <f t="shared" si="72"/>
        <v>2.9951388888875954</v>
      </c>
      <c r="AE126" s="210">
        <f t="shared" si="73"/>
        <v>2.9951388888875954</v>
      </c>
      <c r="AF126" s="210">
        <f t="shared" si="74"/>
        <v>0</v>
      </c>
      <c r="AG126" s="210">
        <f t="shared" si="75"/>
        <v>0</v>
      </c>
    </row>
    <row r="127" spans="2:33" ht="15" customHeight="1" x14ac:dyDescent="0.3">
      <c r="B127" s="196" t="s">
        <v>5</v>
      </c>
      <c r="C127" s="197" t="s">
        <v>15</v>
      </c>
      <c r="D127" s="198" t="str">
        <f t="shared" si="57"/>
        <v>C</v>
      </c>
      <c r="E127" s="199">
        <v>44637.854166666664</v>
      </c>
      <c r="F127" s="200" t="s">
        <v>92</v>
      </c>
      <c r="G127" s="201">
        <v>14035.07</v>
      </c>
      <c r="H127" s="201">
        <v>13982.41</v>
      </c>
      <c r="I127" s="202">
        <f t="shared" si="58"/>
        <v>52.659999999999854</v>
      </c>
      <c r="J127" s="201">
        <v>15018.04</v>
      </c>
      <c r="K127" s="199">
        <v>44638.158333333333</v>
      </c>
      <c r="L127" s="201">
        <v>13982.41</v>
      </c>
      <c r="M127" s="203">
        <f t="shared" si="59"/>
        <v>-52.66</v>
      </c>
      <c r="N127" s="204">
        <f t="shared" si="60"/>
        <v>-1</v>
      </c>
      <c r="O127" s="205">
        <f t="shared" si="61"/>
        <v>0</v>
      </c>
      <c r="P127" s="206">
        <f t="shared" si="62"/>
        <v>0</v>
      </c>
      <c r="Q127" s="206">
        <f t="shared" si="63"/>
        <v>-1</v>
      </c>
      <c r="R12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11370</v>
      </c>
      <c r="T12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11670</v>
      </c>
      <c r="U127" s="208">
        <f ca="1">IF(Tabla336106734811[[#This Row],[Equity]]&lt;Tabla336106734811[[#This Row],[Equity Peak]],(Tabla336106734811[[#This Row],[Equity Peak]]-Tabla336106734811[[#This Row],[Equity]])/Tabla336106734811[[#This Row],[Equity Peak]],"")</f>
        <v>2.570694087403599E-2</v>
      </c>
      <c r="V127" s="209">
        <f t="shared" si="64"/>
        <v>0</v>
      </c>
      <c r="W127" s="209">
        <f t="shared" si="65"/>
        <v>0</v>
      </c>
      <c r="X127" s="209">
        <f t="shared" si="66"/>
        <v>0</v>
      </c>
      <c r="Y127" s="209">
        <f t="shared" si="67"/>
        <v>0</v>
      </c>
      <c r="Z127" s="209">
        <f t="shared" si="68"/>
        <v>-1</v>
      </c>
      <c r="AA127" s="205">
        <f t="shared" si="69"/>
        <v>0</v>
      </c>
      <c r="AB127" s="209">
        <f t="shared" si="70"/>
        <v>0</v>
      </c>
      <c r="AC127" s="205">
        <f t="shared" si="71"/>
        <v>0</v>
      </c>
      <c r="AD127" s="210">
        <f t="shared" si="72"/>
        <v>0.30416666666860692</v>
      </c>
      <c r="AE127" s="210">
        <f t="shared" si="73"/>
        <v>0</v>
      </c>
      <c r="AF127" s="210">
        <f t="shared" si="74"/>
        <v>0.30416666666860692</v>
      </c>
      <c r="AG127" s="210">
        <f t="shared" si="75"/>
        <v>0</v>
      </c>
    </row>
    <row r="128" spans="2:33" ht="15" customHeight="1" x14ac:dyDescent="0.3">
      <c r="B128" s="196" t="s">
        <v>5</v>
      </c>
      <c r="C128" s="197" t="s">
        <v>15</v>
      </c>
      <c r="D128" s="198" t="str">
        <f t="shared" si="57"/>
        <v>C</v>
      </c>
      <c r="E128" s="199">
        <v>44636.958333333336</v>
      </c>
      <c r="F128" s="200" t="s">
        <v>92</v>
      </c>
      <c r="G128" s="201">
        <v>13956.67</v>
      </c>
      <c r="H128" s="201">
        <v>13893.5</v>
      </c>
      <c r="I128" s="202">
        <f t="shared" si="58"/>
        <v>63.170000000000073</v>
      </c>
      <c r="J128" s="201">
        <v>15135.89</v>
      </c>
      <c r="K128" s="199">
        <v>44637.542361111111</v>
      </c>
      <c r="L128" s="201">
        <v>13893.5</v>
      </c>
      <c r="M128" s="203">
        <f t="shared" si="59"/>
        <v>-63.17</v>
      </c>
      <c r="N128" s="204">
        <f t="shared" si="60"/>
        <v>-1</v>
      </c>
      <c r="O128" s="205">
        <f t="shared" si="61"/>
        <v>0</v>
      </c>
      <c r="P128" s="206">
        <f t="shared" si="62"/>
        <v>0</v>
      </c>
      <c r="Q128" s="206">
        <f t="shared" si="63"/>
        <v>-1</v>
      </c>
      <c r="R12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11470</v>
      </c>
      <c r="T12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11670</v>
      </c>
      <c r="U128" s="208">
        <f ca="1">IF(Tabla336106734811[[#This Row],[Equity]]&lt;Tabla336106734811[[#This Row],[Equity Peak]],(Tabla336106734811[[#This Row],[Equity Peak]]-Tabla336106734811[[#This Row],[Equity]])/Tabla336106734811[[#This Row],[Equity Peak]],"")</f>
        <v>1.713796058269066E-2</v>
      </c>
      <c r="V128" s="209">
        <f t="shared" si="64"/>
        <v>0</v>
      </c>
      <c r="W128" s="209">
        <f t="shared" si="65"/>
        <v>0</v>
      </c>
      <c r="X128" s="209">
        <f t="shared" si="66"/>
        <v>0</v>
      </c>
      <c r="Y128" s="209">
        <f t="shared" si="67"/>
        <v>0</v>
      </c>
      <c r="Z128" s="209">
        <f t="shared" si="68"/>
        <v>-1</v>
      </c>
      <c r="AA128" s="205">
        <f t="shared" si="69"/>
        <v>0</v>
      </c>
      <c r="AB128" s="209">
        <f t="shared" si="70"/>
        <v>0</v>
      </c>
      <c r="AC128" s="205">
        <f t="shared" si="71"/>
        <v>0</v>
      </c>
      <c r="AD128" s="210">
        <f t="shared" si="72"/>
        <v>0.58402777777519077</v>
      </c>
      <c r="AE128" s="210">
        <f t="shared" si="73"/>
        <v>0</v>
      </c>
      <c r="AF128" s="210">
        <f t="shared" si="74"/>
        <v>0.58402777777519077</v>
      </c>
      <c r="AG128" s="210">
        <f t="shared" si="75"/>
        <v>0</v>
      </c>
    </row>
    <row r="129" spans="2:33" ht="15" customHeight="1" x14ac:dyDescent="0.3">
      <c r="B129" s="196" t="s">
        <v>5</v>
      </c>
      <c r="C129" s="197" t="s">
        <v>15</v>
      </c>
      <c r="D129" s="198" t="str">
        <f t="shared" si="57"/>
        <v>C</v>
      </c>
      <c r="E129" s="199">
        <v>44636.729166666664</v>
      </c>
      <c r="F129" s="200" t="s">
        <v>92</v>
      </c>
      <c r="G129" s="201">
        <v>13822.8</v>
      </c>
      <c r="H129" s="201">
        <v>13777.75</v>
      </c>
      <c r="I129" s="202">
        <f t="shared" si="58"/>
        <v>45.049999999999272</v>
      </c>
      <c r="J129" s="201">
        <v>14663.7</v>
      </c>
      <c r="K129" s="199">
        <v>44636.817361111112</v>
      </c>
      <c r="L129" s="201">
        <v>13777.75</v>
      </c>
      <c r="M129" s="203">
        <f t="shared" si="59"/>
        <v>-45.05</v>
      </c>
      <c r="N129" s="204">
        <f t="shared" si="60"/>
        <v>-1</v>
      </c>
      <c r="O129" s="205">
        <f t="shared" si="61"/>
        <v>0</v>
      </c>
      <c r="P129" s="206">
        <f t="shared" si="62"/>
        <v>0</v>
      </c>
      <c r="Q129" s="206">
        <f t="shared" si="63"/>
        <v>-1</v>
      </c>
      <c r="R12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11570</v>
      </c>
      <c r="T12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11670</v>
      </c>
      <c r="U129" s="208">
        <f ca="1">IF(Tabla336106734811[[#This Row],[Equity]]&lt;Tabla336106734811[[#This Row],[Equity Peak]],(Tabla336106734811[[#This Row],[Equity Peak]]-Tabla336106734811[[#This Row],[Equity]])/Tabla336106734811[[#This Row],[Equity Peak]],"")</f>
        <v>8.5689802913453302E-3</v>
      </c>
      <c r="V129" s="209">
        <f t="shared" si="64"/>
        <v>0</v>
      </c>
      <c r="W129" s="209">
        <f t="shared" si="65"/>
        <v>0</v>
      </c>
      <c r="X129" s="209">
        <f t="shared" si="66"/>
        <v>0</v>
      </c>
      <c r="Y129" s="209">
        <f t="shared" si="67"/>
        <v>0</v>
      </c>
      <c r="Z129" s="209">
        <f t="shared" si="68"/>
        <v>-1</v>
      </c>
      <c r="AA129" s="205">
        <f t="shared" si="69"/>
        <v>0</v>
      </c>
      <c r="AB129" s="209">
        <f t="shared" si="70"/>
        <v>0</v>
      </c>
      <c r="AC129" s="205">
        <f t="shared" si="71"/>
        <v>0</v>
      </c>
      <c r="AD129" s="210">
        <f t="shared" si="72"/>
        <v>8.8194444448163267E-2</v>
      </c>
      <c r="AE129" s="210">
        <f t="shared" si="73"/>
        <v>0</v>
      </c>
      <c r="AF129" s="210">
        <f t="shared" si="74"/>
        <v>8.8194444448163267E-2</v>
      </c>
      <c r="AG129" s="210">
        <f t="shared" si="75"/>
        <v>0</v>
      </c>
    </row>
    <row r="130" spans="2:33" ht="15" customHeight="1" x14ac:dyDescent="0.3">
      <c r="B130" s="196" t="s">
        <v>5</v>
      </c>
      <c r="C130" s="197" t="s">
        <v>13</v>
      </c>
      <c r="D130" s="198" t="str">
        <f t="shared" si="57"/>
        <v>C</v>
      </c>
      <c r="E130" s="199">
        <v>44631.927083333336</v>
      </c>
      <c r="F130" s="200" t="s">
        <v>92</v>
      </c>
      <c r="G130" s="201">
        <v>13399.15</v>
      </c>
      <c r="H130" s="201">
        <v>13461.28</v>
      </c>
      <c r="I130" s="202">
        <f t="shared" si="58"/>
        <v>62.130000000001019</v>
      </c>
      <c r="J130" s="201">
        <v>12239.33</v>
      </c>
      <c r="K130" s="199">
        <v>44635.647916666669</v>
      </c>
      <c r="L130" s="201">
        <v>13164.05</v>
      </c>
      <c r="M130" s="203">
        <f t="shared" si="59"/>
        <v>235.1</v>
      </c>
      <c r="N130" s="204">
        <f t="shared" si="60"/>
        <v>3.78</v>
      </c>
      <c r="O130" s="205">
        <f t="shared" si="61"/>
        <v>0</v>
      </c>
      <c r="P130" s="206">
        <f t="shared" si="62"/>
        <v>3.78</v>
      </c>
      <c r="Q130" s="206">
        <f t="shared" si="63"/>
        <v>0</v>
      </c>
      <c r="R13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11670</v>
      </c>
      <c r="T13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11670</v>
      </c>
      <c r="U130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0" s="209">
        <f t="shared" si="64"/>
        <v>0</v>
      </c>
      <c r="W130" s="209">
        <f t="shared" si="65"/>
        <v>0</v>
      </c>
      <c r="X130" s="209">
        <f t="shared" si="66"/>
        <v>0</v>
      </c>
      <c r="Y130" s="209">
        <f t="shared" si="67"/>
        <v>0</v>
      </c>
      <c r="Z130" s="209">
        <f t="shared" si="68"/>
        <v>3.78</v>
      </c>
      <c r="AA130" s="205">
        <f t="shared" si="69"/>
        <v>0</v>
      </c>
      <c r="AB130" s="209">
        <f t="shared" si="70"/>
        <v>0</v>
      </c>
      <c r="AC130" s="205">
        <f t="shared" si="71"/>
        <v>0</v>
      </c>
      <c r="AD130" s="210">
        <f t="shared" si="72"/>
        <v>3.7208333333328483</v>
      </c>
      <c r="AE130" s="210">
        <f t="shared" si="73"/>
        <v>3.7208333333328483</v>
      </c>
      <c r="AF130" s="210">
        <f t="shared" si="74"/>
        <v>0</v>
      </c>
      <c r="AG130" s="210">
        <f t="shared" si="75"/>
        <v>0</v>
      </c>
    </row>
    <row r="131" spans="2:33" ht="15" customHeight="1" x14ac:dyDescent="0.3">
      <c r="B131" s="196" t="s">
        <v>5</v>
      </c>
      <c r="C131" s="197" t="s">
        <v>13</v>
      </c>
      <c r="D131" s="198" t="str">
        <f t="shared" si="57"/>
        <v>C</v>
      </c>
      <c r="E131" s="199">
        <v>44627.854166666664</v>
      </c>
      <c r="F131" s="200" t="s">
        <v>92</v>
      </c>
      <c r="G131" s="201">
        <v>13477.7</v>
      </c>
      <c r="H131" s="201">
        <v>13544.66</v>
      </c>
      <c r="I131" s="202">
        <f t="shared" si="58"/>
        <v>66.959999999999127</v>
      </c>
      <c r="J131" s="201">
        <v>12227.78</v>
      </c>
      <c r="K131" s="199">
        <v>44628.435416666667</v>
      </c>
      <c r="L131" s="201">
        <v>13341.26</v>
      </c>
      <c r="M131" s="203">
        <f t="shared" si="59"/>
        <v>136.44</v>
      </c>
      <c r="N131" s="204">
        <f t="shared" si="60"/>
        <v>2.04</v>
      </c>
      <c r="O131" s="205">
        <f t="shared" si="61"/>
        <v>0</v>
      </c>
      <c r="P131" s="206">
        <f t="shared" si="62"/>
        <v>2.04</v>
      </c>
      <c r="Q131" s="206">
        <f t="shared" si="63"/>
        <v>0</v>
      </c>
      <c r="R13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11292</v>
      </c>
      <c r="T13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11388</v>
      </c>
      <c r="U131" s="208">
        <f ca="1">IF(Tabla336106734811[[#This Row],[Equity]]&lt;Tabla336106734811[[#This Row],[Equity Peak]],(Tabla336106734811[[#This Row],[Equity Peak]]-Tabla336106734811[[#This Row],[Equity]])/Tabla336106734811[[#This Row],[Equity Peak]],"")</f>
        <v>8.4299262381454156E-3</v>
      </c>
      <c r="V131" s="209">
        <f t="shared" si="64"/>
        <v>0</v>
      </c>
      <c r="W131" s="209">
        <f t="shared" si="65"/>
        <v>0</v>
      </c>
      <c r="X131" s="209">
        <f t="shared" si="66"/>
        <v>0</v>
      </c>
      <c r="Y131" s="209">
        <f t="shared" si="67"/>
        <v>0</v>
      </c>
      <c r="Z131" s="209">
        <f t="shared" si="68"/>
        <v>2.04</v>
      </c>
      <c r="AA131" s="205">
        <f t="shared" si="69"/>
        <v>0</v>
      </c>
      <c r="AB131" s="209">
        <f t="shared" si="70"/>
        <v>0</v>
      </c>
      <c r="AC131" s="205">
        <f t="shared" si="71"/>
        <v>0</v>
      </c>
      <c r="AD131" s="210">
        <f t="shared" si="72"/>
        <v>0.58125000000291038</v>
      </c>
      <c r="AE131" s="210">
        <f t="shared" si="73"/>
        <v>0.58125000000291038</v>
      </c>
      <c r="AF131" s="210">
        <f t="shared" si="74"/>
        <v>0</v>
      </c>
      <c r="AG131" s="210">
        <f t="shared" si="75"/>
        <v>0</v>
      </c>
    </row>
    <row r="132" spans="2:33" ht="15" customHeight="1" x14ac:dyDescent="0.3">
      <c r="B132" s="196" t="s">
        <v>5</v>
      </c>
      <c r="C132" s="197" t="s">
        <v>13</v>
      </c>
      <c r="D132" s="198" t="str">
        <f t="shared" si="57"/>
        <v>C</v>
      </c>
      <c r="E132" s="199">
        <v>44627.052083333336</v>
      </c>
      <c r="F132" s="200" t="s">
        <v>92</v>
      </c>
      <c r="G132" s="201">
        <v>13667.9</v>
      </c>
      <c r="H132" s="201">
        <v>13742.04</v>
      </c>
      <c r="I132" s="202">
        <f t="shared" si="58"/>
        <v>74.140000000001237</v>
      </c>
      <c r="J132" s="201">
        <v>12284.02</v>
      </c>
      <c r="K132" s="199">
        <v>44627.598611111112</v>
      </c>
      <c r="L132" s="201">
        <v>13742.04</v>
      </c>
      <c r="M132" s="203">
        <f t="shared" si="59"/>
        <v>-74.14</v>
      </c>
      <c r="N132" s="204">
        <f t="shared" si="60"/>
        <v>-1</v>
      </c>
      <c r="O132" s="205">
        <f t="shared" si="61"/>
        <v>0</v>
      </c>
      <c r="P132" s="206">
        <f t="shared" si="62"/>
        <v>0</v>
      </c>
      <c r="Q132" s="206">
        <f t="shared" si="63"/>
        <v>-1</v>
      </c>
      <c r="R13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11088</v>
      </c>
      <c r="T13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11388</v>
      </c>
      <c r="U132" s="208">
        <f ca="1">IF(Tabla336106734811[[#This Row],[Equity]]&lt;Tabla336106734811[[#This Row],[Equity Peak]],(Tabla336106734811[[#This Row],[Equity Peak]]-Tabla336106734811[[#This Row],[Equity]])/Tabla336106734811[[#This Row],[Equity Peak]],"")</f>
        <v>2.6343519494204427E-2</v>
      </c>
      <c r="V132" s="209">
        <f t="shared" si="64"/>
        <v>0</v>
      </c>
      <c r="W132" s="209">
        <f t="shared" si="65"/>
        <v>0</v>
      </c>
      <c r="X132" s="209">
        <f t="shared" si="66"/>
        <v>0</v>
      </c>
      <c r="Y132" s="209">
        <f t="shared" si="67"/>
        <v>0</v>
      </c>
      <c r="Z132" s="209">
        <f t="shared" si="68"/>
        <v>-1</v>
      </c>
      <c r="AA132" s="205">
        <f t="shared" si="69"/>
        <v>0</v>
      </c>
      <c r="AB132" s="209">
        <f t="shared" si="70"/>
        <v>0</v>
      </c>
      <c r="AC132" s="205">
        <f t="shared" si="71"/>
        <v>0</v>
      </c>
      <c r="AD132" s="210">
        <f t="shared" si="72"/>
        <v>0.54652777777664596</v>
      </c>
      <c r="AE132" s="210">
        <f t="shared" si="73"/>
        <v>0</v>
      </c>
      <c r="AF132" s="210">
        <f t="shared" si="74"/>
        <v>0.54652777777664596</v>
      </c>
      <c r="AG132" s="210">
        <f t="shared" si="75"/>
        <v>0</v>
      </c>
    </row>
    <row r="133" spans="2:33" ht="15" customHeight="1" x14ac:dyDescent="0.3">
      <c r="B133" s="196" t="s">
        <v>5</v>
      </c>
      <c r="C133" s="197" t="s">
        <v>13</v>
      </c>
      <c r="D133" s="198" t="str">
        <f t="shared" si="57"/>
        <v>C</v>
      </c>
      <c r="E133" s="199">
        <v>44624.114583333336</v>
      </c>
      <c r="F133" s="200" t="s">
        <v>92</v>
      </c>
      <c r="G133" s="201">
        <v>13828.95</v>
      </c>
      <c r="H133" s="201">
        <v>13891.28</v>
      </c>
      <c r="I133" s="202">
        <f t="shared" si="58"/>
        <v>62.329999999999927</v>
      </c>
      <c r="J133" s="201">
        <v>12665.54</v>
      </c>
      <c r="K133" s="199">
        <v>44624.148611111108</v>
      </c>
      <c r="L133" s="201">
        <v>13891.28</v>
      </c>
      <c r="M133" s="203">
        <f t="shared" si="59"/>
        <v>-62.33</v>
      </c>
      <c r="N133" s="204">
        <f t="shared" si="60"/>
        <v>-1</v>
      </c>
      <c r="O133" s="205">
        <f t="shared" si="61"/>
        <v>0</v>
      </c>
      <c r="P133" s="206">
        <f t="shared" si="62"/>
        <v>0</v>
      </c>
      <c r="Q133" s="206">
        <f t="shared" si="63"/>
        <v>-1</v>
      </c>
      <c r="R13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11188</v>
      </c>
      <c r="T13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11388</v>
      </c>
      <c r="U133" s="208">
        <f ca="1">IF(Tabla336106734811[[#This Row],[Equity]]&lt;Tabla336106734811[[#This Row],[Equity Peak]],(Tabla336106734811[[#This Row],[Equity Peak]]-Tabla336106734811[[#This Row],[Equity]])/Tabla336106734811[[#This Row],[Equity Peak]],"")</f>
        <v>1.7562346329469618E-2</v>
      </c>
      <c r="V133" s="209">
        <f t="shared" si="64"/>
        <v>0</v>
      </c>
      <c r="W133" s="209">
        <f t="shared" si="65"/>
        <v>0</v>
      </c>
      <c r="X133" s="209">
        <f t="shared" si="66"/>
        <v>0</v>
      </c>
      <c r="Y133" s="209">
        <f t="shared" si="67"/>
        <v>0</v>
      </c>
      <c r="Z133" s="209">
        <f t="shared" si="68"/>
        <v>-1</v>
      </c>
      <c r="AA133" s="205">
        <f t="shared" si="69"/>
        <v>0</v>
      </c>
      <c r="AB133" s="209">
        <f t="shared" si="70"/>
        <v>0</v>
      </c>
      <c r="AC133" s="205">
        <f t="shared" si="71"/>
        <v>0</v>
      </c>
      <c r="AD133" s="210">
        <f t="shared" si="72"/>
        <v>3.4027777772280388E-2</v>
      </c>
      <c r="AE133" s="210">
        <f t="shared" si="73"/>
        <v>0</v>
      </c>
      <c r="AF133" s="210">
        <f t="shared" si="74"/>
        <v>3.4027777772280388E-2</v>
      </c>
      <c r="AG133" s="210">
        <f t="shared" si="75"/>
        <v>0</v>
      </c>
    </row>
    <row r="134" spans="2:33" ht="15" customHeight="1" x14ac:dyDescent="0.3">
      <c r="B134" s="196" t="s">
        <v>5</v>
      </c>
      <c r="C134" s="197" t="s">
        <v>15</v>
      </c>
      <c r="D134" s="198" t="str">
        <f t="shared" si="57"/>
        <v>C</v>
      </c>
      <c r="E134" s="199">
        <v>44623.666666666664</v>
      </c>
      <c r="F134" s="200" t="s">
        <v>92</v>
      </c>
      <c r="G134" s="201">
        <v>14333.42</v>
      </c>
      <c r="H134" s="201">
        <v>14293.61</v>
      </c>
      <c r="I134" s="202">
        <f t="shared" si="58"/>
        <v>39.809999999999491</v>
      </c>
      <c r="J134" s="201">
        <v>15076.6</v>
      </c>
      <c r="K134" s="199">
        <v>44623.693055555559</v>
      </c>
      <c r="L134" s="201">
        <v>14293.61</v>
      </c>
      <c r="M134" s="203">
        <f t="shared" si="59"/>
        <v>-39.81</v>
      </c>
      <c r="N134" s="204">
        <f t="shared" si="60"/>
        <v>-1</v>
      </c>
      <c r="O134" s="205">
        <f t="shared" si="61"/>
        <v>0</v>
      </c>
      <c r="P134" s="206">
        <f t="shared" si="62"/>
        <v>0</v>
      </c>
      <c r="Q134" s="206">
        <f t="shared" si="63"/>
        <v>-1</v>
      </c>
      <c r="R13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11288</v>
      </c>
      <c r="T13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11388</v>
      </c>
      <c r="U134" s="208">
        <f ca="1">IF(Tabla336106734811[[#This Row],[Equity]]&lt;Tabla336106734811[[#This Row],[Equity Peak]],(Tabla336106734811[[#This Row],[Equity Peak]]-Tabla336106734811[[#This Row],[Equity]])/Tabla336106734811[[#This Row],[Equity Peak]],"")</f>
        <v>8.7811731647348089E-3</v>
      </c>
      <c r="V134" s="209">
        <f t="shared" si="64"/>
        <v>0</v>
      </c>
      <c r="W134" s="209">
        <f t="shared" si="65"/>
        <v>0</v>
      </c>
      <c r="X134" s="209">
        <f t="shared" si="66"/>
        <v>0</v>
      </c>
      <c r="Y134" s="209">
        <f t="shared" si="67"/>
        <v>0</v>
      </c>
      <c r="Z134" s="209">
        <f t="shared" si="68"/>
        <v>-1</v>
      </c>
      <c r="AA134" s="205">
        <f t="shared" si="69"/>
        <v>0</v>
      </c>
      <c r="AB134" s="209">
        <f t="shared" si="70"/>
        <v>0</v>
      </c>
      <c r="AC134" s="205">
        <f t="shared" si="71"/>
        <v>0</v>
      </c>
      <c r="AD134" s="210">
        <f t="shared" si="72"/>
        <v>2.6388888894871343E-2</v>
      </c>
      <c r="AE134" s="210">
        <f t="shared" si="73"/>
        <v>0</v>
      </c>
      <c r="AF134" s="210">
        <f t="shared" si="74"/>
        <v>2.6388888894871343E-2</v>
      </c>
      <c r="AG134" s="210">
        <f t="shared" si="75"/>
        <v>0</v>
      </c>
    </row>
    <row r="135" spans="2:33" ht="15" customHeight="1" x14ac:dyDescent="0.3">
      <c r="B135" s="196" t="s">
        <v>5</v>
      </c>
      <c r="C135" s="197" t="s">
        <v>13</v>
      </c>
      <c r="D135" s="198" t="str">
        <f t="shared" si="57"/>
        <v>C</v>
      </c>
      <c r="E135" s="199">
        <v>44615.90625</v>
      </c>
      <c r="F135" s="200" t="s">
        <v>92</v>
      </c>
      <c r="G135" s="201">
        <v>13572.05</v>
      </c>
      <c r="H135" s="201">
        <v>13623.89</v>
      </c>
      <c r="I135" s="202">
        <f t="shared" si="58"/>
        <v>51.840000000000146</v>
      </c>
      <c r="J135" s="201">
        <v>12604.33</v>
      </c>
      <c r="K135" s="199">
        <v>44616.693055555559</v>
      </c>
      <c r="L135" s="201">
        <v>13292.62</v>
      </c>
      <c r="M135" s="203">
        <f t="shared" si="59"/>
        <v>279.43</v>
      </c>
      <c r="N135" s="204">
        <f t="shared" si="60"/>
        <v>5.39</v>
      </c>
      <c r="O135" s="205">
        <f t="shared" si="61"/>
        <v>0</v>
      </c>
      <c r="P135" s="206">
        <f t="shared" si="62"/>
        <v>5.39</v>
      </c>
      <c r="Q135" s="206">
        <f t="shared" si="63"/>
        <v>0</v>
      </c>
      <c r="R13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11388</v>
      </c>
      <c r="T13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11388</v>
      </c>
      <c r="U135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5" s="209">
        <f t="shared" si="64"/>
        <v>0</v>
      </c>
      <c r="W135" s="209">
        <f t="shared" si="65"/>
        <v>0</v>
      </c>
      <c r="X135" s="209">
        <f t="shared" si="66"/>
        <v>0</v>
      </c>
      <c r="Y135" s="209">
        <f t="shared" si="67"/>
        <v>0</v>
      </c>
      <c r="Z135" s="209">
        <f t="shared" si="68"/>
        <v>5.39</v>
      </c>
      <c r="AA135" s="205">
        <f t="shared" si="69"/>
        <v>0</v>
      </c>
      <c r="AB135" s="209">
        <f t="shared" si="70"/>
        <v>0</v>
      </c>
      <c r="AC135" s="205">
        <f t="shared" si="71"/>
        <v>0</v>
      </c>
      <c r="AD135" s="210">
        <f t="shared" si="72"/>
        <v>0.78680555555911269</v>
      </c>
      <c r="AE135" s="210">
        <f t="shared" si="73"/>
        <v>0.78680555555911269</v>
      </c>
      <c r="AF135" s="210">
        <f t="shared" si="74"/>
        <v>0</v>
      </c>
      <c r="AG135" s="210">
        <f t="shared" si="75"/>
        <v>0</v>
      </c>
    </row>
    <row r="136" spans="2:33" ht="15" customHeight="1" x14ac:dyDescent="0.3">
      <c r="B136" s="196" t="s">
        <v>5</v>
      </c>
      <c r="C136" s="197" t="s">
        <v>13</v>
      </c>
      <c r="D136" s="198" t="str">
        <f t="shared" si="57"/>
        <v>C</v>
      </c>
      <c r="E136" s="199">
        <v>44613.791666666664</v>
      </c>
      <c r="F136" s="200" t="s">
        <v>92</v>
      </c>
      <c r="G136" s="201">
        <v>13766.39</v>
      </c>
      <c r="H136" s="201">
        <v>13825.79</v>
      </c>
      <c r="I136" s="202">
        <f t="shared" si="58"/>
        <v>59.400000000001455</v>
      </c>
      <c r="J136" s="201">
        <v>12657.68</v>
      </c>
      <c r="K136" s="199">
        <v>44614.509027777778</v>
      </c>
      <c r="L136" s="201">
        <v>13786.01</v>
      </c>
      <c r="M136" s="203">
        <f t="shared" si="59"/>
        <v>-19.62</v>
      </c>
      <c r="N136" s="204">
        <f t="shared" si="60"/>
        <v>-0.33</v>
      </c>
      <c r="O136" s="205">
        <f t="shared" si="61"/>
        <v>0</v>
      </c>
      <c r="P136" s="206">
        <f t="shared" si="62"/>
        <v>0</v>
      </c>
      <c r="Q136" s="206">
        <f t="shared" si="63"/>
        <v>-0.33</v>
      </c>
      <c r="R13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10849</v>
      </c>
      <c r="T13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10982</v>
      </c>
      <c r="U136" s="208">
        <f ca="1">IF(Tabla336106734811[[#This Row],[Equity]]&lt;Tabla336106734811[[#This Row],[Equity Peak]],(Tabla336106734811[[#This Row],[Equity Peak]]-Tabla336106734811[[#This Row],[Equity]])/Tabla336106734811[[#This Row],[Equity Peak]],"")</f>
        <v>1.2110726643598616E-2</v>
      </c>
      <c r="V136" s="209">
        <f t="shared" si="64"/>
        <v>0</v>
      </c>
      <c r="W136" s="209">
        <f t="shared" si="65"/>
        <v>0</v>
      </c>
      <c r="X136" s="209">
        <f t="shared" si="66"/>
        <v>0</v>
      </c>
      <c r="Y136" s="209">
        <f t="shared" si="67"/>
        <v>0</v>
      </c>
      <c r="Z136" s="209">
        <f t="shared" si="68"/>
        <v>-0.33</v>
      </c>
      <c r="AA136" s="205">
        <f t="shared" si="69"/>
        <v>0</v>
      </c>
      <c r="AB136" s="209">
        <f t="shared" si="70"/>
        <v>0</v>
      </c>
      <c r="AC136" s="205">
        <f t="shared" si="71"/>
        <v>0</v>
      </c>
      <c r="AD136" s="210">
        <f t="shared" si="72"/>
        <v>0.71736111111385981</v>
      </c>
      <c r="AE136" s="210">
        <f t="shared" si="73"/>
        <v>0</v>
      </c>
      <c r="AF136" s="210">
        <f t="shared" si="74"/>
        <v>0.71736111111385981</v>
      </c>
      <c r="AG136" s="210">
        <f t="shared" si="75"/>
        <v>0</v>
      </c>
    </row>
    <row r="137" spans="2:33" ht="15" customHeight="1" x14ac:dyDescent="0.3">
      <c r="B137" s="196" t="s">
        <v>5</v>
      </c>
      <c r="C137" s="197" t="s">
        <v>13</v>
      </c>
      <c r="D137" s="198" t="str">
        <f t="shared" si="57"/>
        <v>C</v>
      </c>
      <c r="E137" s="199">
        <v>44613.645833333336</v>
      </c>
      <c r="F137" s="200" t="s">
        <v>92</v>
      </c>
      <c r="G137" s="201">
        <v>13798.04</v>
      </c>
      <c r="H137" s="201">
        <v>13860.69</v>
      </c>
      <c r="I137" s="202">
        <f t="shared" si="58"/>
        <v>62.649999999999636</v>
      </c>
      <c r="J137" s="201">
        <v>12628.49</v>
      </c>
      <c r="K137" s="199">
        <v>44613.665277777778</v>
      </c>
      <c r="L137" s="201">
        <v>13860.69</v>
      </c>
      <c r="M137" s="203">
        <f t="shared" si="59"/>
        <v>-62.65</v>
      </c>
      <c r="N137" s="204">
        <f t="shared" si="60"/>
        <v>-1</v>
      </c>
      <c r="O137" s="205">
        <f t="shared" si="61"/>
        <v>0</v>
      </c>
      <c r="P137" s="206">
        <f t="shared" si="62"/>
        <v>0</v>
      </c>
      <c r="Q137" s="206">
        <f t="shared" si="63"/>
        <v>-1</v>
      </c>
      <c r="R13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10882</v>
      </c>
      <c r="T13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10982</v>
      </c>
      <c r="U137" s="208">
        <f ca="1">IF(Tabla336106734811[[#This Row],[Equity]]&lt;Tabla336106734811[[#This Row],[Equity Peak]],(Tabla336106734811[[#This Row],[Equity Peak]]-Tabla336106734811[[#This Row],[Equity]])/Tabla336106734811[[#This Row],[Equity Peak]],"")</f>
        <v>9.1058095064651245E-3</v>
      </c>
      <c r="V137" s="209">
        <f t="shared" si="64"/>
        <v>0</v>
      </c>
      <c r="W137" s="209">
        <f t="shared" si="65"/>
        <v>0</v>
      </c>
      <c r="X137" s="209">
        <f t="shared" si="66"/>
        <v>0</v>
      </c>
      <c r="Y137" s="209">
        <f t="shared" si="67"/>
        <v>0</v>
      </c>
      <c r="Z137" s="209">
        <f t="shared" si="68"/>
        <v>-1</v>
      </c>
      <c r="AA137" s="205">
        <f t="shared" si="69"/>
        <v>0</v>
      </c>
      <c r="AB137" s="209">
        <f t="shared" si="70"/>
        <v>0</v>
      </c>
      <c r="AC137" s="205">
        <f t="shared" si="71"/>
        <v>0</v>
      </c>
      <c r="AD137" s="210">
        <f t="shared" si="72"/>
        <v>1.9444444442342501E-2</v>
      </c>
      <c r="AE137" s="210">
        <f t="shared" si="73"/>
        <v>0</v>
      </c>
      <c r="AF137" s="210">
        <f t="shared" si="74"/>
        <v>1.9444444442342501E-2</v>
      </c>
      <c r="AG137" s="210">
        <f t="shared" si="75"/>
        <v>0</v>
      </c>
    </row>
    <row r="138" spans="2:33" ht="15" customHeight="1" x14ac:dyDescent="0.3">
      <c r="B138" s="196" t="s">
        <v>5</v>
      </c>
      <c r="C138" s="197" t="s">
        <v>13</v>
      </c>
      <c r="D138" s="198" t="str">
        <f t="shared" si="57"/>
        <v>C</v>
      </c>
      <c r="E138" s="199">
        <v>44609.84375</v>
      </c>
      <c r="F138" s="200" t="s">
        <v>92</v>
      </c>
      <c r="G138" s="201">
        <v>14304.31</v>
      </c>
      <c r="H138" s="201">
        <v>14350.7</v>
      </c>
      <c r="I138" s="202">
        <f t="shared" si="58"/>
        <v>46.390000000001237</v>
      </c>
      <c r="J138" s="201">
        <v>13438.45</v>
      </c>
      <c r="K138" s="199">
        <v>44610.894444444442</v>
      </c>
      <c r="L138" s="201">
        <v>14083.22</v>
      </c>
      <c r="M138" s="203">
        <f t="shared" si="59"/>
        <v>221.09</v>
      </c>
      <c r="N138" s="204">
        <f t="shared" si="60"/>
        <v>4.7699999999999996</v>
      </c>
      <c r="O138" s="205">
        <f t="shared" si="61"/>
        <v>0</v>
      </c>
      <c r="P138" s="206">
        <f t="shared" si="62"/>
        <v>4.7699999999999996</v>
      </c>
      <c r="Q138" s="206">
        <f t="shared" si="63"/>
        <v>0</v>
      </c>
      <c r="R13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10982</v>
      </c>
      <c r="T13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10982</v>
      </c>
      <c r="U138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8" s="209">
        <f t="shared" si="64"/>
        <v>0</v>
      </c>
      <c r="W138" s="209">
        <f t="shared" si="65"/>
        <v>0</v>
      </c>
      <c r="X138" s="209">
        <f t="shared" si="66"/>
        <v>0</v>
      </c>
      <c r="Y138" s="209">
        <f t="shared" si="67"/>
        <v>0</v>
      </c>
      <c r="Z138" s="209">
        <f t="shared" si="68"/>
        <v>4.7699999999999996</v>
      </c>
      <c r="AA138" s="205">
        <f t="shared" si="69"/>
        <v>0</v>
      </c>
      <c r="AB138" s="209">
        <f t="shared" si="70"/>
        <v>0</v>
      </c>
      <c r="AC138" s="205">
        <f t="shared" si="71"/>
        <v>0</v>
      </c>
      <c r="AD138" s="210">
        <f t="shared" si="72"/>
        <v>1.0506944444423425</v>
      </c>
      <c r="AE138" s="210">
        <f t="shared" si="73"/>
        <v>1.0506944444423425</v>
      </c>
      <c r="AF138" s="210">
        <f t="shared" si="74"/>
        <v>0</v>
      </c>
      <c r="AG138" s="210">
        <f t="shared" si="75"/>
        <v>0</v>
      </c>
    </row>
    <row r="139" spans="2:33" ht="15" customHeight="1" x14ac:dyDescent="0.3">
      <c r="B139" s="196" t="s">
        <v>5</v>
      </c>
      <c r="C139" s="197" t="s">
        <v>13</v>
      </c>
      <c r="D139" s="198" t="str">
        <f t="shared" si="57"/>
        <v>C</v>
      </c>
      <c r="E139" s="199">
        <v>44609.729166666664</v>
      </c>
      <c r="F139" s="200" t="s">
        <v>92</v>
      </c>
      <c r="G139" s="201">
        <v>14338.68</v>
      </c>
      <c r="H139" s="201">
        <v>14388.57</v>
      </c>
      <c r="I139" s="202">
        <f t="shared" si="58"/>
        <v>49.889999999999418</v>
      </c>
      <c r="J139" s="201">
        <v>13407.43</v>
      </c>
      <c r="K139" s="199">
        <v>44609.761805555558</v>
      </c>
      <c r="L139" s="201">
        <v>14388.57</v>
      </c>
      <c r="M139" s="203">
        <f t="shared" si="59"/>
        <v>-49.89</v>
      </c>
      <c r="N139" s="204">
        <f t="shared" si="60"/>
        <v>-1</v>
      </c>
      <c r="O139" s="205">
        <f t="shared" si="61"/>
        <v>0</v>
      </c>
      <c r="P139" s="206">
        <f t="shared" si="62"/>
        <v>0</v>
      </c>
      <c r="Q139" s="206">
        <f t="shared" si="63"/>
        <v>-1</v>
      </c>
      <c r="R13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10505</v>
      </c>
      <c r="T13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39" s="208">
        <f ca="1">IF(Tabla336106734811[[#This Row],[Equity]]&lt;Tabla336106734811[[#This Row],[Equity Peak]],(Tabla336106734811[[#This Row],[Equity Peak]]-Tabla336106734811[[#This Row],[Equity]])/Tabla336106734811[[#This Row],[Equity Peak]],"")</f>
        <v>1.9598693420438639E-2</v>
      </c>
      <c r="V139" s="209">
        <f t="shared" si="64"/>
        <v>0</v>
      </c>
      <c r="W139" s="209">
        <f t="shared" si="65"/>
        <v>0</v>
      </c>
      <c r="X139" s="209">
        <f t="shared" si="66"/>
        <v>0</v>
      </c>
      <c r="Y139" s="209">
        <f t="shared" si="67"/>
        <v>0</v>
      </c>
      <c r="Z139" s="209">
        <f t="shared" si="68"/>
        <v>-1</v>
      </c>
      <c r="AA139" s="205">
        <f t="shared" si="69"/>
        <v>0</v>
      </c>
      <c r="AB139" s="209">
        <f t="shared" si="70"/>
        <v>0</v>
      </c>
      <c r="AC139" s="205">
        <f t="shared" si="71"/>
        <v>0</v>
      </c>
      <c r="AD139" s="210">
        <f t="shared" si="72"/>
        <v>3.2638888893416151E-2</v>
      </c>
      <c r="AE139" s="210">
        <f t="shared" si="73"/>
        <v>0</v>
      </c>
      <c r="AF139" s="210">
        <f t="shared" si="74"/>
        <v>3.2638888893416151E-2</v>
      </c>
      <c r="AG139" s="210">
        <f t="shared" si="75"/>
        <v>0</v>
      </c>
    </row>
    <row r="140" spans="2:33" ht="15" customHeight="1" x14ac:dyDescent="0.3">
      <c r="B140" s="196" t="s">
        <v>5</v>
      </c>
      <c r="C140" s="197" t="s">
        <v>13</v>
      </c>
      <c r="D140" s="198" t="str">
        <f t="shared" si="57"/>
        <v>C</v>
      </c>
      <c r="E140" s="199">
        <v>44603.833333333336</v>
      </c>
      <c r="F140" s="200" t="s">
        <v>92</v>
      </c>
      <c r="G140" s="201">
        <v>14511.44</v>
      </c>
      <c r="H140" s="201">
        <v>14565.03</v>
      </c>
      <c r="I140" s="202">
        <f t="shared" si="58"/>
        <v>53.590000000000146</v>
      </c>
      <c r="J140" s="201">
        <v>13511.02</v>
      </c>
      <c r="K140" s="199">
        <v>44606.70208333333</v>
      </c>
      <c r="L140" s="201">
        <v>14299.48</v>
      </c>
      <c r="M140" s="203">
        <f t="shared" si="59"/>
        <v>211.96</v>
      </c>
      <c r="N140" s="204">
        <f t="shared" si="60"/>
        <v>3.96</v>
      </c>
      <c r="O140" s="205">
        <f t="shared" si="61"/>
        <v>0</v>
      </c>
      <c r="P140" s="206">
        <f t="shared" si="62"/>
        <v>3.96</v>
      </c>
      <c r="Q140" s="206">
        <f t="shared" si="63"/>
        <v>0</v>
      </c>
      <c r="R14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10605</v>
      </c>
      <c r="T14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0" s="208">
        <f ca="1">IF(Tabla336106734811[[#This Row],[Equity]]&lt;Tabla336106734811[[#This Row],[Equity Peak]],(Tabla336106734811[[#This Row],[Equity Peak]]-Tabla336106734811[[#This Row],[Equity]])/Tabla336106734811[[#This Row],[Equity Peak]],"")</f>
        <v>1.0265982267848811E-2</v>
      </c>
      <c r="V140" s="209">
        <f t="shared" si="64"/>
        <v>0</v>
      </c>
      <c r="W140" s="209">
        <f t="shared" si="65"/>
        <v>0</v>
      </c>
      <c r="X140" s="209">
        <f t="shared" si="66"/>
        <v>0</v>
      </c>
      <c r="Y140" s="209">
        <f t="shared" si="67"/>
        <v>0</v>
      </c>
      <c r="Z140" s="209">
        <f t="shared" si="68"/>
        <v>3.96</v>
      </c>
      <c r="AA140" s="205">
        <f t="shared" si="69"/>
        <v>0</v>
      </c>
      <c r="AB140" s="209">
        <f t="shared" si="70"/>
        <v>0</v>
      </c>
      <c r="AC140" s="205">
        <f t="shared" si="71"/>
        <v>0</v>
      </c>
      <c r="AD140" s="210">
        <f t="shared" si="72"/>
        <v>2.8687499999941792</v>
      </c>
      <c r="AE140" s="210">
        <f t="shared" si="73"/>
        <v>2.8687499999941792</v>
      </c>
      <c r="AF140" s="210">
        <f t="shared" si="74"/>
        <v>0</v>
      </c>
      <c r="AG140" s="210">
        <f t="shared" si="75"/>
        <v>0</v>
      </c>
    </row>
    <row r="141" spans="2:33" ht="15" customHeight="1" x14ac:dyDescent="0.3">
      <c r="B141" s="196" t="s">
        <v>5</v>
      </c>
      <c r="C141" s="197" t="s">
        <v>13</v>
      </c>
      <c r="D141" s="198" t="str">
        <f t="shared" si="57"/>
        <v>C</v>
      </c>
      <c r="E141" s="199">
        <v>44603.28125</v>
      </c>
      <c r="F141" s="200" t="s">
        <v>92</v>
      </c>
      <c r="G141" s="201">
        <v>14586.74</v>
      </c>
      <c r="H141" s="201">
        <v>14650.31</v>
      </c>
      <c r="I141" s="202">
        <f t="shared" si="58"/>
        <v>63.569999999999709</v>
      </c>
      <c r="J141" s="201">
        <v>13400.09</v>
      </c>
      <c r="K141" s="199">
        <v>44603.422222222223</v>
      </c>
      <c r="L141" s="201">
        <v>14650.31</v>
      </c>
      <c r="M141" s="203">
        <f t="shared" si="59"/>
        <v>-63.57</v>
      </c>
      <c r="N141" s="204">
        <f t="shared" si="60"/>
        <v>-1</v>
      </c>
      <c r="O141" s="205">
        <f t="shared" si="61"/>
        <v>0</v>
      </c>
      <c r="P141" s="206">
        <f t="shared" si="62"/>
        <v>0</v>
      </c>
      <c r="Q141" s="206">
        <f t="shared" si="63"/>
        <v>-1</v>
      </c>
      <c r="R14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10209</v>
      </c>
      <c r="T14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1" s="208">
        <f ca="1">IF(Tabla336106734811[[#This Row],[Equity]]&lt;Tabla336106734811[[#This Row],[Equity Peak]],(Tabla336106734811[[#This Row],[Equity Peak]]-Tabla336106734811[[#This Row],[Equity]])/Tabla336106734811[[#This Row],[Equity Peak]],"")</f>
        <v>4.7223518432104525E-2</v>
      </c>
      <c r="V141" s="209">
        <f t="shared" si="64"/>
        <v>0</v>
      </c>
      <c r="W141" s="209">
        <f t="shared" si="65"/>
        <v>0</v>
      </c>
      <c r="X141" s="209">
        <f t="shared" si="66"/>
        <v>0</v>
      </c>
      <c r="Y141" s="209">
        <f t="shared" si="67"/>
        <v>0</v>
      </c>
      <c r="Z141" s="209">
        <f t="shared" si="68"/>
        <v>-1</v>
      </c>
      <c r="AA141" s="205">
        <f t="shared" si="69"/>
        <v>0</v>
      </c>
      <c r="AB141" s="209">
        <f t="shared" si="70"/>
        <v>0</v>
      </c>
      <c r="AC141" s="205">
        <f t="shared" si="71"/>
        <v>0</v>
      </c>
      <c r="AD141" s="210">
        <f t="shared" si="72"/>
        <v>0.14097222222335404</v>
      </c>
      <c r="AE141" s="210">
        <f t="shared" si="73"/>
        <v>0</v>
      </c>
      <c r="AF141" s="210">
        <f t="shared" si="74"/>
        <v>0.14097222222335404</v>
      </c>
      <c r="AG141" s="210">
        <f t="shared" si="75"/>
        <v>0</v>
      </c>
    </row>
    <row r="142" spans="2:33" ht="15" customHeight="1" x14ac:dyDescent="0.3">
      <c r="B142" s="196" t="s">
        <v>5</v>
      </c>
      <c r="C142" s="197" t="s">
        <v>15</v>
      </c>
      <c r="D142" s="198" t="str">
        <f t="shared" si="57"/>
        <v>C</v>
      </c>
      <c r="E142" s="199">
        <v>44601.822916666664</v>
      </c>
      <c r="F142" s="200" t="s">
        <v>92</v>
      </c>
      <c r="G142" s="201">
        <v>14983.74</v>
      </c>
      <c r="H142" s="201">
        <v>14950.87</v>
      </c>
      <c r="I142" s="202">
        <f t="shared" si="58"/>
        <v>32.869999999998981</v>
      </c>
      <c r="J142" s="201">
        <v>15597.29</v>
      </c>
      <c r="K142" s="199">
        <v>44602.645833333336</v>
      </c>
      <c r="L142" s="201">
        <v>14961.71</v>
      </c>
      <c r="M142" s="203">
        <f t="shared" si="59"/>
        <v>-22.03</v>
      </c>
      <c r="N142" s="204">
        <f t="shared" si="60"/>
        <v>-0.67</v>
      </c>
      <c r="O142" s="205">
        <f t="shared" si="61"/>
        <v>0</v>
      </c>
      <c r="P142" s="206">
        <f t="shared" si="62"/>
        <v>0</v>
      </c>
      <c r="Q142" s="206">
        <f t="shared" si="63"/>
        <v>-0.67</v>
      </c>
      <c r="R14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10309</v>
      </c>
      <c r="T14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2" s="208">
        <f ca="1">IF(Tabla336106734811[[#This Row],[Equity]]&lt;Tabla336106734811[[#This Row],[Equity Peak]],(Tabla336106734811[[#This Row],[Equity Peak]]-Tabla336106734811[[#This Row],[Equity]])/Tabla336106734811[[#This Row],[Equity Peak]],"")</f>
        <v>3.7890807279514702E-2</v>
      </c>
      <c r="V142" s="209">
        <f t="shared" si="64"/>
        <v>0</v>
      </c>
      <c r="W142" s="209">
        <f t="shared" si="65"/>
        <v>0</v>
      </c>
      <c r="X142" s="209">
        <f t="shared" si="66"/>
        <v>0</v>
      </c>
      <c r="Y142" s="209">
        <f t="shared" si="67"/>
        <v>0</v>
      </c>
      <c r="Z142" s="209">
        <f t="shared" si="68"/>
        <v>-0.67</v>
      </c>
      <c r="AA142" s="205">
        <f t="shared" si="69"/>
        <v>0</v>
      </c>
      <c r="AB142" s="209">
        <f t="shared" si="70"/>
        <v>0</v>
      </c>
      <c r="AC142" s="205">
        <f t="shared" si="71"/>
        <v>0</v>
      </c>
      <c r="AD142" s="210">
        <f t="shared" si="72"/>
        <v>0.82291666667151731</v>
      </c>
      <c r="AE142" s="210">
        <f t="shared" si="73"/>
        <v>0</v>
      </c>
      <c r="AF142" s="210">
        <f t="shared" si="74"/>
        <v>0.82291666667151731</v>
      </c>
      <c r="AG142" s="210">
        <f t="shared" si="75"/>
        <v>0</v>
      </c>
    </row>
    <row r="143" spans="2:33" ht="15" customHeight="1" x14ac:dyDescent="0.3">
      <c r="B143" s="196" t="s">
        <v>5</v>
      </c>
      <c r="C143" s="197" t="s">
        <v>15</v>
      </c>
      <c r="D143" s="198" t="str">
        <f t="shared" si="57"/>
        <v>C</v>
      </c>
      <c r="E143" s="199">
        <v>44601.59375</v>
      </c>
      <c r="F143" s="200" t="s">
        <v>92</v>
      </c>
      <c r="G143" s="201">
        <v>14926.14</v>
      </c>
      <c r="H143" s="201">
        <v>14886.8</v>
      </c>
      <c r="I143" s="202">
        <f t="shared" si="58"/>
        <v>39.340000000000146</v>
      </c>
      <c r="J143" s="201">
        <v>15660.46</v>
      </c>
      <c r="K143" s="199">
        <v>44601.7</v>
      </c>
      <c r="L143" s="201">
        <v>14886.8</v>
      </c>
      <c r="M143" s="203">
        <f t="shared" si="59"/>
        <v>-39.340000000000003</v>
      </c>
      <c r="N143" s="204">
        <f t="shared" si="60"/>
        <v>-1</v>
      </c>
      <c r="O143" s="205">
        <f t="shared" si="61"/>
        <v>0</v>
      </c>
      <c r="P143" s="206">
        <f t="shared" si="62"/>
        <v>0</v>
      </c>
      <c r="Q143" s="206">
        <f t="shared" si="63"/>
        <v>-1</v>
      </c>
      <c r="R14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10376</v>
      </c>
      <c r="T14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3" s="208">
        <f ca="1">IF(Tabla336106734811[[#This Row],[Equity]]&lt;Tabla336106734811[[#This Row],[Equity Peak]],(Tabla336106734811[[#This Row],[Equity Peak]]-Tabla336106734811[[#This Row],[Equity]])/Tabla336106734811[[#This Row],[Equity Peak]],"")</f>
        <v>3.1637890807279516E-2</v>
      </c>
      <c r="V143" s="209">
        <f t="shared" si="64"/>
        <v>0</v>
      </c>
      <c r="W143" s="209">
        <f t="shared" si="65"/>
        <v>0</v>
      </c>
      <c r="X143" s="209">
        <f t="shared" si="66"/>
        <v>0</v>
      </c>
      <c r="Y143" s="209">
        <f t="shared" si="67"/>
        <v>0</v>
      </c>
      <c r="Z143" s="209">
        <f t="shared" si="68"/>
        <v>-1</v>
      </c>
      <c r="AA143" s="205">
        <f t="shared" si="69"/>
        <v>0</v>
      </c>
      <c r="AB143" s="209">
        <f t="shared" si="70"/>
        <v>0</v>
      </c>
      <c r="AC143" s="205">
        <f t="shared" si="71"/>
        <v>0</v>
      </c>
      <c r="AD143" s="210">
        <f t="shared" si="72"/>
        <v>0.10624999999708962</v>
      </c>
      <c r="AE143" s="210">
        <f t="shared" si="73"/>
        <v>0</v>
      </c>
      <c r="AF143" s="210">
        <f t="shared" si="74"/>
        <v>0.10624999999708962</v>
      </c>
      <c r="AG143" s="210">
        <f t="shared" si="75"/>
        <v>0</v>
      </c>
    </row>
    <row r="144" spans="2:33" ht="15" customHeight="1" x14ac:dyDescent="0.3">
      <c r="B144" s="196" t="s">
        <v>5</v>
      </c>
      <c r="C144" s="197" t="s">
        <v>13</v>
      </c>
      <c r="D144" s="198" t="str">
        <f t="shared" si="57"/>
        <v>C</v>
      </c>
      <c r="E144" s="199">
        <v>44596.666666666664</v>
      </c>
      <c r="F144" s="200" t="s">
        <v>92</v>
      </c>
      <c r="G144" s="201">
        <v>14421.01</v>
      </c>
      <c r="H144" s="201">
        <v>14480.23</v>
      </c>
      <c r="I144" s="202">
        <f t="shared" si="58"/>
        <v>59.219999999999345</v>
      </c>
      <c r="J144" s="201">
        <v>13315.63</v>
      </c>
      <c r="K144" s="199">
        <v>44596.679166666669</v>
      </c>
      <c r="L144" s="201">
        <v>14480.23</v>
      </c>
      <c r="M144" s="203">
        <f t="shared" si="59"/>
        <v>-59.22</v>
      </c>
      <c r="N144" s="204">
        <f t="shared" si="60"/>
        <v>-1</v>
      </c>
      <c r="O144" s="205">
        <f t="shared" si="61"/>
        <v>0</v>
      </c>
      <c r="P144" s="206">
        <f t="shared" si="62"/>
        <v>0</v>
      </c>
      <c r="Q144" s="206">
        <f t="shared" si="63"/>
        <v>-1</v>
      </c>
      <c r="R14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10476</v>
      </c>
      <c r="T14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4" s="208">
        <f ca="1">IF(Tabla336106734811[[#This Row],[Equity]]&lt;Tabla336106734811[[#This Row],[Equity Peak]],(Tabla336106734811[[#This Row],[Equity Peak]]-Tabla336106734811[[#This Row],[Equity]])/Tabla336106734811[[#This Row],[Equity Peak]],"")</f>
        <v>2.2305179654689686E-2</v>
      </c>
      <c r="V144" s="209">
        <f t="shared" si="64"/>
        <v>0</v>
      </c>
      <c r="W144" s="209">
        <f t="shared" si="65"/>
        <v>0</v>
      </c>
      <c r="X144" s="209">
        <f t="shared" si="66"/>
        <v>0</v>
      </c>
      <c r="Y144" s="209">
        <f t="shared" si="67"/>
        <v>0</v>
      </c>
      <c r="Z144" s="209">
        <f t="shared" si="68"/>
        <v>-1</v>
      </c>
      <c r="AA144" s="205">
        <f t="shared" si="69"/>
        <v>0</v>
      </c>
      <c r="AB144" s="209">
        <f t="shared" si="70"/>
        <v>0</v>
      </c>
      <c r="AC144" s="205">
        <f t="shared" si="71"/>
        <v>0</v>
      </c>
      <c r="AD144" s="210">
        <f t="shared" si="72"/>
        <v>1.2500000004365575E-2</v>
      </c>
      <c r="AE144" s="210">
        <f t="shared" si="73"/>
        <v>0</v>
      </c>
      <c r="AF144" s="210">
        <f t="shared" si="74"/>
        <v>1.2500000004365575E-2</v>
      </c>
      <c r="AG144" s="210">
        <f t="shared" si="75"/>
        <v>0</v>
      </c>
    </row>
    <row r="145" spans="2:33" ht="15" customHeight="1" x14ac:dyDescent="0.3">
      <c r="B145" s="196" t="s">
        <v>5</v>
      </c>
      <c r="C145" s="197" t="s">
        <v>13</v>
      </c>
      <c r="D145" s="198" t="str">
        <f t="shared" si="57"/>
        <v>C</v>
      </c>
      <c r="E145" s="199">
        <v>44595.791666666664</v>
      </c>
      <c r="F145" s="200" t="s">
        <v>92</v>
      </c>
      <c r="G145" s="201">
        <v>14672.86</v>
      </c>
      <c r="H145" s="201">
        <v>14728.13</v>
      </c>
      <c r="I145" s="202">
        <f t="shared" si="58"/>
        <v>55.269999999998618</v>
      </c>
      <c r="J145" s="201">
        <v>13641.08</v>
      </c>
      <c r="K145" s="199">
        <v>44595.960416666669</v>
      </c>
      <c r="L145" s="201">
        <v>14689.51</v>
      </c>
      <c r="M145" s="203">
        <f t="shared" si="59"/>
        <v>-16.649999999999999</v>
      </c>
      <c r="N145" s="204">
        <f t="shared" si="60"/>
        <v>-0.3</v>
      </c>
      <c r="O145" s="205">
        <f t="shared" si="61"/>
        <v>0</v>
      </c>
      <c r="P145" s="206">
        <f t="shared" si="62"/>
        <v>0</v>
      </c>
      <c r="Q145" s="206">
        <f t="shared" si="63"/>
        <v>-0.3</v>
      </c>
      <c r="R14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10576</v>
      </c>
      <c r="T14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5" s="208">
        <f ca="1">IF(Tabla336106734811[[#This Row],[Equity]]&lt;Tabla336106734811[[#This Row],[Equity Peak]],(Tabla336106734811[[#This Row],[Equity Peak]]-Tabla336106734811[[#This Row],[Equity]])/Tabla336106734811[[#This Row],[Equity Peak]],"")</f>
        <v>1.2972468502099861E-2</v>
      </c>
      <c r="V145" s="209">
        <f t="shared" si="64"/>
        <v>0</v>
      </c>
      <c r="W145" s="209">
        <f t="shared" si="65"/>
        <v>0</v>
      </c>
      <c r="X145" s="209">
        <f t="shared" si="66"/>
        <v>0</v>
      </c>
      <c r="Y145" s="209">
        <f t="shared" si="67"/>
        <v>0</v>
      </c>
      <c r="Z145" s="209">
        <f t="shared" si="68"/>
        <v>-0.3</v>
      </c>
      <c r="AA145" s="205">
        <f t="shared" si="69"/>
        <v>0</v>
      </c>
      <c r="AB145" s="209">
        <f t="shared" si="70"/>
        <v>0</v>
      </c>
      <c r="AC145" s="205">
        <f t="shared" si="71"/>
        <v>0</v>
      </c>
      <c r="AD145" s="210">
        <f t="shared" si="72"/>
        <v>0.16875000000436557</v>
      </c>
      <c r="AE145" s="210">
        <f t="shared" si="73"/>
        <v>0</v>
      </c>
      <c r="AF145" s="210">
        <f t="shared" si="74"/>
        <v>0.16875000000436557</v>
      </c>
      <c r="AG145" s="210">
        <f t="shared" si="75"/>
        <v>0</v>
      </c>
    </row>
    <row r="146" spans="2:33" ht="15" customHeight="1" x14ac:dyDescent="0.3">
      <c r="B146" s="196" t="s">
        <v>5</v>
      </c>
      <c r="C146" s="197" t="s">
        <v>13</v>
      </c>
      <c r="D146" s="198" t="str">
        <f t="shared" si="57"/>
        <v>C</v>
      </c>
      <c r="E146" s="199">
        <v>44595.666666666664</v>
      </c>
      <c r="F146" s="200" t="s">
        <v>92</v>
      </c>
      <c r="G146" s="201">
        <v>14705.88</v>
      </c>
      <c r="H146" s="201">
        <v>14757.89</v>
      </c>
      <c r="I146" s="202">
        <f t="shared" si="58"/>
        <v>52.010000000000218</v>
      </c>
      <c r="J146" s="201">
        <v>13735.08</v>
      </c>
      <c r="K146" s="199">
        <v>44595.692361111112</v>
      </c>
      <c r="L146" s="201">
        <v>14757.89</v>
      </c>
      <c r="M146" s="203">
        <f t="shared" si="59"/>
        <v>-52.01</v>
      </c>
      <c r="N146" s="204">
        <f t="shared" si="60"/>
        <v>-1</v>
      </c>
      <c r="O146" s="205">
        <f t="shared" si="61"/>
        <v>0</v>
      </c>
      <c r="P146" s="206">
        <f t="shared" si="62"/>
        <v>0</v>
      </c>
      <c r="Q146" s="206">
        <f t="shared" si="63"/>
        <v>-1</v>
      </c>
      <c r="R14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10606</v>
      </c>
      <c r="T14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6" s="208">
        <f ca="1">IF(Tabla336106734811[[#This Row],[Equity]]&lt;Tabla336106734811[[#This Row],[Equity Peak]],(Tabla336106734811[[#This Row],[Equity Peak]]-Tabla336106734811[[#This Row],[Equity]])/Tabla336106734811[[#This Row],[Equity Peak]],"")</f>
        <v>1.0172655156322912E-2</v>
      </c>
      <c r="V146" s="209">
        <f t="shared" si="64"/>
        <v>0</v>
      </c>
      <c r="W146" s="209">
        <f t="shared" si="65"/>
        <v>0</v>
      </c>
      <c r="X146" s="209">
        <f t="shared" si="66"/>
        <v>0</v>
      </c>
      <c r="Y146" s="209">
        <f t="shared" si="67"/>
        <v>0</v>
      </c>
      <c r="Z146" s="209">
        <f t="shared" si="68"/>
        <v>-1</v>
      </c>
      <c r="AA146" s="205">
        <f t="shared" si="69"/>
        <v>0</v>
      </c>
      <c r="AB146" s="209">
        <f t="shared" si="70"/>
        <v>0</v>
      </c>
      <c r="AC146" s="205">
        <f t="shared" si="71"/>
        <v>0</v>
      </c>
      <c r="AD146" s="210">
        <f t="shared" si="72"/>
        <v>2.5694444448163267E-2</v>
      </c>
      <c r="AE146" s="210">
        <f t="shared" si="73"/>
        <v>0</v>
      </c>
      <c r="AF146" s="210">
        <f t="shared" si="74"/>
        <v>2.5694444448163267E-2</v>
      </c>
      <c r="AG146" s="210">
        <f t="shared" si="75"/>
        <v>0</v>
      </c>
    </row>
    <row r="147" spans="2:33" ht="15" customHeight="1" x14ac:dyDescent="0.3">
      <c r="B147" s="196" t="s">
        <v>5</v>
      </c>
      <c r="C147" s="197" t="s">
        <v>15</v>
      </c>
      <c r="D147" s="198" t="str">
        <f t="shared" si="57"/>
        <v>C</v>
      </c>
      <c r="E147" s="199">
        <v>44593.96875</v>
      </c>
      <c r="F147" s="200" t="s">
        <v>92</v>
      </c>
      <c r="G147" s="201">
        <v>15067.64</v>
      </c>
      <c r="H147" s="201">
        <v>15010.45</v>
      </c>
      <c r="I147" s="202">
        <f t="shared" si="58"/>
        <v>57.18999999999869</v>
      </c>
      <c r="J147" s="201">
        <v>16135.28</v>
      </c>
      <c r="K147" s="199">
        <v>44594.689583333333</v>
      </c>
      <c r="L147" s="201">
        <v>15119.59</v>
      </c>
      <c r="M147" s="203">
        <f t="shared" si="59"/>
        <v>51.95</v>
      </c>
      <c r="N147" s="204">
        <f t="shared" si="60"/>
        <v>0.91</v>
      </c>
      <c r="O147" s="205">
        <f t="shared" si="61"/>
        <v>0</v>
      </c>
      <c r="P147" s="206">
        <f t="shared" si="62"/>
        <v>0.91</v>
      </c>
      <c r="Q147" s="206">
        <f t="shared" si="63"/>
        <v>0</v>
      </c>
      <c r="R14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10706</v>
      </c>
      <c r="T14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7" s="208">
        <f ca="1">IF(Tabla336106734811[[#This Row],[Equity]]&lt;Tabla336106734811[[#This Row],[Equity Peak]],(Tabla336106734811[[#This Row],[Equity Peak]]-Tabla336106734811[[#This Row],[Equity]])/Tabla336106734811[[#This Row],[Equity Peak]],"")</f>
        <v>8.399440037330845E-4</v>
      </c>
      <c r="V147" s="209">
        <f t="shared" si="64"/>
        <v>0</v>
      </c>
      <c r="W147" s="209">
        <f t="shared" si="65"/>
        <v>0</v>
      </c>
      <c r="X147" s="209">
        <f t="shared" si="66"/>
        <v>0</v>
      </c>
      <c r="Y147" s="209">
        <f t="shared" si="67"/>
        <v>0</v>
      </c>
      <c r="Z147" s="209">
        <f t="shared" si="68"/>
        <v>0.91</v>
      </c>
      <c r="AA147" s="205">
        <f t="shared" si="69"/>
        <v>0</v>
      </c>
      <c r="AB147" s="209">
        <f t="shared" si="70"/>
        <v>0</v>
      </c>
      <c r="AC147" s="205">
        <f t="shared" si="71"/>
        <v>0</v>
      </c>
      <c r="AD147" s="210">
        <f t="shared" si="72"/>
        <v>0.72083333333284827</v>
      </c>
      <c r="AE147" s="210">
        <f t="shared" si="73"/>
        <v>0.72083333333284827</v>
      </c>
      <c r="AF147" s="210">
        <f t="shared" si="74"/>
        <v>0</v>
      </c>
      <c r="AG147" s="210">
        <f t="shared" si="75"/>
        <v>0</v>
      </c>
    </row>
    <row r="148" spans="2:33" ht="15" customHeight="1" x14ac:dyDescent="0.3">
      <c r="B148" s="196" t="s">
        <v>5</v>
      </c>
      <c r="C148" s="197" t="s">
        <v>13</v>
      </c>
      <c r="D148" s="198" t="str">
        <f t="shared" si="57"/>
        <v>C</v>
      </c>
      <c r="E148" s="199">
        <v>44588.239583333336</v>
      </c>
      <c r="F148" s="200" t="s">
        <v>92</v>
      </c>
      <c r="G148" s="201">
        <v>13882.05</v>
      </c>
      <c r="H148" s="201">
        <v>13980.72</v>
      </c>
      <c r="I148" s="202">
        <f t="shared" si="58"/>
        <v>98.670000000000073</v>
      </c>
      <c r="J148" s="201">
        <v>12040.15</v>
      </c>
      <c r="K148" s="199">
        <v>44588.341666666667</v>
      </c>
      <c r="L148" s="201">
        <v>13980.72</v>
      </c>
      <c r="M148" s="203">
        <f t="shared" si="59"/>
        <v>-98.67</v>
      </c>
      <c r="N148" s="204">
        <f t="shared" si="60"/>
        <v>-1</v>
      </c>
      <c r="O148" s="205">
        <f t="shared" si="61"/>
        <v>0</v>
      </c>
      <c r="P148" s="206">
        <f t="shared" si="62"/>
        <v>0</v>
      </c>
      <c r="Q148" s="206">
        <f t="shared" si="63"/>
        <v>-1</v>
      </c>
      <c r="R14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10615</v>
      </c>
      <c r="T14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8" s="208">
        <f ca="1">IF(Tabla336106734811[[#This Row],[Equity]]&lt;Tabla336106734811[[#This Row],[Equity Peak]],(Tabla336106734811[[#This Row],[Equity Peak]]-Tabla336106734811[[#This Row],[Equity]])/Tabla336106734811[[#This Row],[Equity Peak]],"")</f>
        <v>9.3327111525898267E-3</v>
      </c>
      <c r="V148" s="209">
        <f t="shared" si="64"/>
        <v>0</v>
      </c>
      <c r="W148" s="209">
        <f t="shared" si="65"/>
        <v>0</v>
      </c>
      <c r="X148" s="209">
        <f t="shared" si="66"/>
        <v>0</v>
      </c>
      <c r="Y148" s="209">
        <f t="shared" si="67"/>
        <v>0</v>
      </c>
      <c r="Z148" s="209">
        <f t="shared" si="68"/>
        <v>-1</v>
      </c>
      <c r="AA148" s="205">
        <f t="shared" si="69"/>
        <v>0</v>
      </c>
      <c r="AB148" s="209">
        <f t="shared" si="70"/>
        <v>0</v>
      </c>
      <c r="AC148" s="205">
        <f t="shared" si="71"/>
        <v>0</v>
      </c>
      <c r="AD148" s="210">
        <f t="shared" si="72"/>
        <v>0.10208333333139308</v>
      </c>
      <c r="AE148" s="210">
        <f t="shared" si="73"/>
        <v>0</v>
      </c>
      <c r="AF148" s="210">
        <f t="shared" si="74"/>
        <v>0.10208333333139308</v>
      </c>
      <c r="AG148" s="210">
        <f t="shared" si="75"/>
        <v>0</v>
      </c>
    </row>
    <row r="149" spans="2:33" ht="15" customHeight="1" x14ac:dyDescent="0.3">
      <c r="B149" s="196" t="s">
        <v>5</v>
      </c>
      <c r="C149" s="197" t="s">
        <v>13</v>
      </c>
      <c r="D149" s="198" t="str">
        <f t="shared" ref="D149:D163" si="76">IF(E149&lt;&gt;"",IF(K149&lt;&gt;"","C","O"),"")</f>
        <v>C</v>
      </c>
      <c r="E149" s="199">
        <v>44582.916666666664</v>
      </c>
      <c r="F149" s="200" t="s">
        <v>92</v>
      </c>
      <c r="G149" s="201">
        <v>14513.87</v>
      </c>
      <c r="H149" s="201">
        <v>14597.5</v>
      </c>
      <c r="I149" s="202">
        <f t="shared" ref="I149:I163" si="77">ABS(G149-H149)</f>
        <v>83.6299999999992</v>
      </c>
      <c r="J149" s="201">
        <v>12952.78</v>
      </c>
      <c r="K149" s="199">
        <v>44585.842361111114</v>
      </c>
      <c r="L149" s="201">
        <v>14049.57</v>
      </c>
      <c r="M149" s="203">
        <f t="shared" ref="M149:M163" si="78">ROUND(IF(C149="L",(L149-G149),(G149-L149)),4)</f>
        <v>464.3</v>
      </c>
      <c r="N149" s="204">
        <f t="shared" ref="N149:N163" si="79">IFERROR(ROUND((M149/I149),2),"")</f>
        <v>5.55</v>
      </c>
      <c r="O149" s="205">
        <f t="shared" ref="O149:O163" si="80">IF(D149="O",IF(N149&lt;0,N149,0),0)</f>
        <v>0</v>
      </c>
      <c r="P149" s="206">
        <f t="shared" ref="P149:P163" si="81">IF(N149&gt;= 0,N149,0)</f>
        <v>5.55</v>
      </c>
      <c r="Q149" s="206">
        <f t="shared" ref="Q149:Q163" si="82">IF(N149&lt;0,N149,0)</f>
        <v>0</v>
      </c>
      <c r="R14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4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10715</v>
      </c>
      <c r="T14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10715</v>
      </c>
      <c r="U14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49" s="209">
        <f t="shared" ref="V149:V163" si="83">IF(B149="FX",N149,0)</f>
        <v>0</v>
      </c>
      <c r="W149" s="209">
        <f t="shared" ref="W149:W163" si="84">IF(D149="O",IF(V149&lt;0,V149,0),0)</f>
        <v>0</v>
      </c>
      <c r="X149" s="209">
        <f t="shared" ref="X149:X163" si="85">IF(B149="COM",N149,0)</f>
        <v>0</v>
      </c>
      <c r="Y149" s="209">
        <f t="shared" ref="Y149:Y163" si="86">IF(D149="O",IF(X149&lt;0,X149,0),0)</f>
        <v>0</v>
      </c>
      <c r="Z149" s="209">
        <f t="shared" ref="Z149:Z163" si="87">IF(B149="IND",N149,0)</f>
        <v>5.55</v>
      </c>
      <c r="AA149" s="205">
        <f t="shared" ref="AA149:AA163" si="88">IF(D149="O",IF(Z149&lt;0,Z149,0),0)</f>
        <v>0</v>
      </c>
      <c r="AB149" s="209">
        <f t="shared" ref="AB149:AB163" si="89">IF(B149="CRYPTO",N149,0)</f>
        <v>0</v>
      </c>
      <c r="AC149" s="205">
        <f t="shared" ref="AC149:AC163" si="90">IF(D149="O",IF(AB149&lt;0,AB149,0),0)</f>
        <v>0</v>
      </c>
      <c r="AD149" s="210">
        <f t="shared" ref="AD149:AD163" si="91">IF(K149&lt;&gt;"",K149-E149,0)</f>
        <v>2.9256944444496185</v>
      </c>
      <c r="AE149" s="210">
        <f t="shared" ref="AE149:AE163" si="92">IF(N149&gt;0,AD149,0)</f>
        <v>2.9256944444496185</v>
      </c>
      <c r="AF149" s="210">
        <f t="shared" ref="AF149:AF163" si="93">IF(N149&lt;0,AD149,0)</f>
        <v>0</v>
      </c>
      <c r="AG149" s="210">
        <f t="shared" ref="AG149:AG163" si="94">IF(N149=0,AD149,0)</f>
        <v>0</v>
      </c>
    </row>
    <row r="150" spans="2:33" ht="15" customHeight="1" x14ac:dyDescent="0.3">
      <c r="B150" s="196" t="s">
        <v>5</v>
      </c>
      <c r="C150" s="197" t="s">
        <v>13</v>
      </c>
      <c r="D150" s="198" t="str">
        <f t="shared" si="76"/>
        <v>C</v>
      </c>
      <c r="E150" s="199">
        <v>44581.9375</v>
      </c>
      <c r="F150" s="200" t="s">
        <v>92</v>
      </c>
      <c r="G150" s="201">
        <v>14972.2</v>
      </c>
      <c r="H150" s="201">
        <v>15023.02</v>
      </c>
      <c r="I150" s="202">
        <f t="shared" si="77"/>
        <v>50.819999999999709</v>
      </c>
      <c r="J150" s="201">
        <v>14023.49</v>
      </c>
      <c r="K150" s="199">
        <v>44582.765972222223</v>
      </c>
      <c r="L150" s="201">
        <v>14840.59</v>
      </c>
      <c r="M150" s="203">
        <f t="shared" si="78"/>
        <v>131.61000000000001</v>
      </c>
      <c r="N150" s="204">
        <f t="shared" si="79"/>
        <v>2.59</v>
      </c>
      <c r="O150" s="205">
        <f t="shared" si="80"/>
        <v>0</v>
      </c>
      <c r="P150" s="206">
        <f t="shared" si="81"/>
        <v>2.59</v>
      </c>
      <c r="Q150" s="206">
        <f t="shared" si="82"/>
        <v>0</v>
      </c>
      <c r="R15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10160</v>
      </c>
      <c r="T15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0" s="208">
        <f ca="1">IF(Tabla336106734811[[#This Row],[Equity]]&lt;Tabla336106734811[[#This Row],[Equity Peak]],(Tabla336106734811[[#This Row],[Equity Peak]]-Tabla336106734811[[#This Row],[Equity]])/Tabla336106734811[[#This Row],[Equity Peak]],"")</f>
        <v>2.3170848956831074E-2</v>
      </c>
      <c r="V150" s="209">
        <f t="shared" si="83"/>
        <v>0</v>
      </c>
      <c r="W150" s="209">
        <f t="shared" si="84"/>
        <v>0</v>
      </c>
      <c r="X150" s="209">
        <f t="shared" si="85"/>
        <v>0</v>
      </c>
      <c r="Y150" s="209">
        <f t="shared" si="86"/>
        <v>0</v>
      </c>
      <c r="Z150" s="209">
        <f t="shared" si="87"/>
        <v>2.59</v>
      </c>
      <c r="AA150" s="205">
        <f t="shared" si="88"/>
        <v>0</v>
      </c>
      <c r="AB150" s="209">
        <f t="shared" si="89"/>
        <v>0</v>
      </c>
      <c r="AC150" s="205">
        <f t="shared" si="90"/>
        <v>0</v>
      </c>
      <c r="AD150" s="210">
        <f t="shared" si="91"/>
        <v>0.82847222222335404</v>
      </c>
      <c r="AE150" s="210">
        <f t="shared" si="92"/>
        <v>0.82847222222335404</v>
      </c>
      <c r="AF150" s="210">
        <f t="shared" si="93"/>
        <v>0</v>
      </c>
      <c r="AG150" s="210">
        <f t="shared" si="94"/>
        <v>0</v>
      </c>
    </row>
    <row r="151" spans="2:33" ht="15" customHeight="1" x14ac:dyDescent="0.3">
      <c r="B151" s="196" t="s">
        <v>5</v>
      </c>
      <c r="C151" s="197" t="s">
        <v>13</v>
      </c>
      <c r="D151" s="198" t="str">
        <f t="shared" si="76"/>
        <v>C</v>
      </c>
      <c r="E151" s="199">
        <v>44580.958333333336</v>
      </c>
      <c r="F151" s="200" t="s">
        <v>92</v>
      </c>
      <c r="G151" s="201">
        <v>15039.82</v>
      </c>
      <c r="H151" s="201">
        <v>15102.47</v>
      </c>
      <c r="I151" s="202">
        <f t="shared" si="77"/>
        <v>62.649999999999636</v>
      </c>
      <c r="J151" s="201">
        <v>13870.35</v>
      </c>
      <c r="K151" s="199">
        <v>44581.237500000003</v>
      </c>
      <c r="L151" s="201">
        <v>15102.47</v>
      </c>
      <c r="M151" s="203">
        <f t="shared" si="78"/>
        <v>-62.65</v>
      </c>
      <c r="N151" s="204">
        <f t="shared" si="79"/>
        <v>-1</v>
      </c>
      <c r="O151" s="205">
        <f t="shared" si="80"/>
        <v>0</v>
      </c>
      <c r="P151" s="206">
        <f t="shared" si="81"/>
        <v>0</v>
      </c>
      <c r="Q151" s="206">
        <f t="shared" si="82"/>
        <v>-1</v>
      </c>
      <c r="R15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9901</v>
      </c>
      <c r="T15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1" s="208">
        <f ca="1">IF(Tabla336106734811[[#This Row],[Equity]]&lt;Tabla336106734811[[#This Row],[Equity Peak]],(Tabla336106734811[[#This Row],[Equity Peak]]-Tabla336106734811[[#This Row],[Equity]])/Tabla336106734811[[#This Row],[Equity Peak]],"")</f>
        <v>4.8072300740313434E-2</v>
      </c>
      <c r="V151" s="209">
        <f t="shared" si="83"/>
        <v>0</v>
      </c>
      <c r="W151" s="209">
        <f t="shared" si="84"/>
        <v>0</v>
      </c>
      <c r="X151" s="209">
        <f t="shared" si="85"/>
        <v>0</v>
      </c>
      <c r="Y151" s="209">
        <f t="shared" si="86"/>
        <v>0</v>
      </c>
      <c r="Z151" s="209">
        <f t="shared" si="87"/>
        <v>-1</v>
      </c>
      <c r="AA151" s="205">
        <f t="shared" si="88"/>
        <v>0</v>
      </c>
      <c r="AB151" s="209">
        <f t="shared" si="89"/>
        <v>0</v>
      </c>
      <c r="AC151" s="205">
        <f t="shared" si="90"/>
        <v>0</v>
      </c>
      <c r="AD151" s="210">
        <f t="shared" si="91"/>
        <v>0.27916666666715173</v>
      </c>
      <c r="AE151" s="210">
        <f t="shared" si="92"/>
        <v>0</v>
      </c>
      <c r="AF151" s="210">
        <f t="shared" si="93"/>
        <v>0.27916666666715173</v>
      </c>
      <c r="AG151" s="210">
        <f t="shared" si="94"/>
        <v>0</v>
      </c>
    </row>
    <row r="152" spans="2:33" ht="15" customHeight="1" x14ac:dyDescent="0.3">
      <c r="B152" s="196" t="s">
        <v>5</v>
      </c>
      <c r="C152" s="197" t="s">
        <v>13</v>
      </c>
      <c r="D152" s="198" t="str">
        <f t="shared" si="76"/>
        <v>C</v>
      </c>
      <c r="E152" s="199">
        <v>44580.197916666664</v>
      </c>
      <c r="F152" s="200" t="s">
        <v>92</v>
      </c>
      <c r="G152" s="201">
        <v>15141.42</v>
      </c>
      <c r="H152" s="201">
        <v>15198.7</v>
      </c>
      <c r="I152" s="202">
        <f t="shared" si="77"/>
        <v>57.280000000000655</v>
      </c>
      <c r="J152" s="201">
        <v>14072.19</v>
      </c>
      <c r="K152" s="199">
        <v>44580.456944444442</v>
      </c>
      <c r="L152" s="201">
        <v>15198.7</v>
      </c>
      <c r="M152" s="203">
        <f t="shared" si="78"/>
        <v>-57.28</v>
      </c>
      <c r="N152" s="204">
        <f t="shared" si="79"/>
        <v>-1</v>
      </c>
      <c r="O152" s="205">
        <f t="shared" si="80"/>
        <v>0</v>
      </c>
      <c r="P152" s="206">
        <f t="shared" si="81"/>
        <v>0</v>
      </c>
      <c r="Q152" s="206">
        <f t="shared" si="82"/>
        <v>-1</v>
      </c>
      <c r="R15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10001</v>
      </c>
      <c r="T15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2" s="208">
        <f ca="1">IF(Tabla336106734811[[#This Row],[Equity]]&lt;Tabla336106734811[[#This Row],[Equity Peak]],(Tabla336106734811[[#This Row],[Equity Peak]]-Tabla336106734811[[#This Row],[Equity]])/Tabla336106734811[[#This Row],[Equity Peak]],"")</f>
        <v>3.8457840592250749E-2</v>
      </c>
      <c r="V152" s="209">
        <f t="shared" si="83"/>
        <v>0</v>
      </c>
      <c r="W152" s="209">
        <f t="shared" si="84"/>
        <v>0</v>
      </c>
      <c r="X152" s="209">
        <f t="shared" si="85"/>
        <v>0</v>
      </c>
      <c r="Y152" s="209">
        <f t="shared" si="86"/>
        <v>0</v>
      </c>
      <c r="Z152" s="209">
        <f t="shared" si="87"/>
        <v>-1</v>
      </c>
      <c r="AA152" s="205">
        <f t="shared" si="88"/>
        <v>0</v>
      </c>
      <c r="AB152" s="209">
        <f t="shared" si="89"/>
        <v>0</v>
      </c>
      <c r="AC152" s="205">
        <f t="shared" si="90"/>
        <v>0</v>
      </c>
      <c r="AD152" s="210">
        <f t="shared" si="91"/>
        <v>0.25902777777810115</v>
      </c>
      <c r="AE152" s="210">
        <f t="shared" si="92"/>
        <v>0</v>
      </c>
      <c r="AF152" s="210">
        <f t="shared" si="93"/>
        <v>0.25902777777810115</v>
      </c>
      <c r="AG152" s="210">
        <f t="shared" si="94"/>
        <v>0</v>
      </c>
    </row>
    <row r="153" spans="2:33" ht="15" customHeight="1" x14ac:dyDescent="0.3">
      <c r="B153" s="196" t="s">
        <v>5</v>
      </c>
      <c r="C153" s="197" t="s">
        <v>13</v>
      </c>
      <c r="D153" s="198" t="str">
        <f t="shared" si="76"/>
        <v>C</v>
      </c>
      <c r="E153" s="199">
        <v>44579.947916666664</v>
      </c>
      <c r="F153" s="200" t="s">
        <v>92</v>
      </c>
      <c r="G153" s="201">
        <v>15192.95</v>
      </c>
      <c r="H153" s="201">
        <v>15249.04</v>
      </c>
      <c r="I153" s="202">
        <f t="shared" si="77"/>
        <v>56.090000000000146</v>
      </c>
      <c r="J153" s="201">
        <v>14145.96</v>
      </c>
      <c r="K153" s="199">
        <v>44580.043749999997</v>
      </c>
      <c r="L153" s="201">
        <v>15249.04</v>
      </c>
      <c r="M153" s="203">
        <f t="shared" si="78"/>
        <v>-56.09</v>
      </c>
      <c r="N153" s="204">
        <f t="shared" si="79"/>
        <v>-1</v>
      </c>
      <c r="O153" s="205">
        <f t="shared" si="80"/>
        <v>0</v>
      </c>
      <c r="P153" s="206">
        <f t="shared" si="81"/>
        <v>0</v>
      </c>
      <c r="Q153" s="206">
        <f t="shared" si="82"/>
        <v>-1</v>
      </c>
      <c r="R15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10101</v>
      </c>
      <c r="T15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3" s="208">
        <f ca="1">IF(Tabla336106734811[[#This Row],[Equity]]&lt;Tabla336106734811[[#This Row],[Equity Peak]],(Tabla336106734811[[#This Row],[Equity Peak]]-Tabla336106734811[[#This Row],[Equity]])/Tabla336106734811[[#This Row],[Equity Peak]],"")</f>
        <v>2.884338044418806E-2</v>
      </c>
      <c r="V153" s="209">
        <f t="shared" si="83"/>
        <v>0</v>
      </c>
      <c r="W153" s="209">
        <f t="shared" si="84"/>
        <v>0</v>
      </c>
      <c r="X153" s="209">
        <f t="shared" si="85"/>
        <v>0</v>
      </c>
      <c r="Y153" s="209">
        <f t="shared" si="86"/>
        <v>0</v>
      </c>
      <c r="Z153" s="209">
        <f t="shared" si="87"/>
        <v>-1</v>
      </c>
      <c r="AA153" s="205">
        <f t="shared" si="88"/>
        <v>0</v>
      </c>
      <c r="AB153" s="209">
        <f t="shared" si="89"/>
        <v>0</v>
      </c>
      <c r="AC153" s="205">
        <f t="shared" si="90"/>
        <v>0</v>
      </c>
      <c r="AD153" s="210">
        <f t="shared" si="91"/>
        <v>9.5833333332848269E-2</v>
      </c>
      <c r="AE153" s="210">
        <f t="shared" si="92"/>
        <v>0</v>
      </c>
      <c r="AF153" s="210">
        <f t="shared" si="93"/>
        <v>9.5833333332848269E-2</v>
      </c>
      <c r="AG153" s="210">
        <f t="shared" si="94"/>
        <v>0</v>
      </c>
    </row>
    <row r="154" spans="2:33" ht="15" customHeight="1" x14ac:dyDescent="0.3">
      <c r="B154" s="196" t="s">
        <v>5</v>
      </c>
      <c r="C154" s="197" t="s">
        <v>13</v>
      </c>
      <c r="D154" s="198" t="str">
        <f t="shared" si="76"/>
        <v>C</v>
      </c>
      <c r="E154" s="199">
        <v>44579.833333333336</v>
      </c>
      <c r="F154" s="200" t="s">
        <v>92</v>
      </c>
      <c r="G154" s="201">
        <v>15257.32</v>
      </c>
      <c r="H154" s="201">
        <v>15307.84</v>
      </c>
      <c r="I154" s="202">
        <f t="shared" si="77"/>
        <v>50.520000000000437</v>
      </c>
      <c r="J154" s="201">
        <v>14314.26</v>
      </c>
      <c r="K154" s="199">
        <v>44579.908333333333</v>
      </c>
      <c r="L154" s="201">
        <v>15307.84</v>
      </c>
      <c r="M154" s="203">
        <f t="shared" si="78"/>
        <v>-50.52</v>
      </c>
      <c r="N154" s="204">
        <f t="shared" si="79"/>
        <v>-1</v>
      </c>
      <c r="O154" s="205">
        <f t="shared" si="80"/>
        <v>0</v>
      </c>
      <c r="P154" s="206">
        <f t="shared" si="81"/>
        <v>0</v>
      </c>
      <c r="Q154" s="206">
        <f t="shared" si="82"/>
        <v>-1</v>
      </c>
      <c r="R15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10201</v>
      </c>
      <c r="T15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4" s="208">
        <f ca="1">IF(Tabla336106734811[[#This Row],[Equity]]&lt;Tabla336106734811[[#This Row],[Equity Peak]],(Tabla336106734811[[#This Row],[Equity Peak]]-Tabla336106734811[[#This Row],[Equity]])/Tabla336106734811[[#This Row],[Equity Peak]],"")</f>
        <v>1.9228920296125374E-2</v>
      </c>
      <c r="V154" s="209">
        <f t="shared" si="83"/>
        <v>0</v>
      </c>
      <c r="W154" s="209">
        <f t="shared" si="84"/>
        <v>0</v>
      </c>
      <c r="X154" s="209">
        <f t="shared" si="85"/>
        <v>0</v>
      </c>
      <c r="Y154" s="209">
        <f t="shared" si="86"/>
        <v>0</v>
      </c>
      <c r="Z154" s="209">
        <f t="shared" si="87"/>
        <v>-1</v>
      </c>
      <c r="AA154" s="205">
        <f t="shared" si="88"/>
        <v>0</v>
      </c>
      <c r="AB154" s="209">
        <f t="shared" si="89"/>
        <v>0</v>
      </c>
      <c r="AC154" s="205">
        <f t="shared" si="90"/>
        <v>0</v>
      </c>
      <c r="AD154" s="210">
        <f t="shared" si="91"/>
        <v>7.4999999997089617E-2</v>
      </c>
      <c r="AE154" s="210">
        <f t="shared" si="92"/>
        <v>0</v>
      </c>
      <c r="AF154" s="210">
        <f t="shared" si="93"/>
        <v>7.4999999997089617E-2</v>
      </c>
      <c r="AG154" s="210">
        <f t="shared" si="94"/>
        <v>0</v>
      </c>
    </row>
    <row r="155" spans="2:33" ht="15" customHeight="1" x14ac:dyDescent="0.3">
      <c r="B155" s="196" t="s">
        <v>5</v>
      </c>
      <c r="C155" s="197" t="s">
        <v>13</v>
      </c>
      <c r="D155" s="198" t="str">
        <f t="shared" si="76"/>
        <v>C</v>
      </c>
      <c r="E155" s="199">
        <v>44579.479166666664</v>
      </c>
      <c r="F155" s="200" t="s">
        <v>92</v>
      </c>
      <c r="G155" s="201">
        <v>15299.72</v>
      </c>
      <c r="H155" s="201">
        <v>15333.15</v>
      </c>
      <c r="I155" s="202">
        <f t="shared" si="77"/>
        <v>33.430000000000291</v>
      </c>
      <c r="J155" s="201">
        <v>14675.74</v>
      </c>
      <c r="K155" s="199">
        <v>44579.501388888886</v>
      </c>
      <c r="L155" s="201">
        <v>15333.15</v>
      </c>
      <c r="M155" s="203">
        <f t="shared" si="78"/>
        <v>-33.43</v>
      </c>
      <c r="N155" s="204">
        <f t="shared" si="79"/>
        <v>-1</v>
      </c>
      <c r="O155" s="205">
        <f t="shared" si="80"/>
        <v>0</v>
      </c>
      <c r="P155" s="206">
        <f t="shared" si="81"/>
        <v>0</v>
      </c>
      <c r="Q155" s="206">
        <f t="shared" si="82"/>
        <v>-1</v>
      </c>
      <c r="R15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10301</v>
      </c>
      <c r="T15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5" s="208">
        <f ca="1">IF(Tabla336106734811[[#This Row],[Equity]]&lt;Tabla336106734811[[#This Row],[Equity Peak]],(Tabla336106734811[[#This Row],[Equity Peak]]-Tabla336106734811[[#This Row],[Equity]])/Tabla336106734811[[#This Row],[Equity Peak]],"")</f>
        <v>9.6144601480626871E-3</v>
      </c>
      <c r="V155" s="209">
        <f t="shared" si="83"/>
        <v>0</v>
      </c>
      <c r="W155" s="209">
        <f t="shared" si="84"/>
        <v>0</v>
      </c>
      <c r="X155" s="209">
        <f t="shared" si="85"/>
        <v>0</v>
      </c>
      <c r="Y155" s="209">
        <f t="shared" si="86"/>
        <v>0</v>
      </c>
      <c r="Z155" s="209">
        <f t="shared" si="87"/>
        <v>-1</v>
      </c>
      <c r="AA155" s="205">
        <f t="shared" si="88"/>
        <v>0</v>
      </c>
      <c r="AB155" s="209">
        <f t="shared" si="89"/>
        <v>0</v>
      </c>
      <c r="AC155" s="205">
        <f t="shared" si="90"/>
        <v>0</v>
      </c>
      <c r="AD155" s="210">
        <f t="shared" si="91"/>
        <v>2.2222222221898846E-2</v>
      </c>
      <c r="AE155" s="210">
        <f t="shared" si="92"/>
        <v>0</v>
      </c>
      <c r="AF155" s="210">
        <f t="shared" si="93"/>
        <v>2.2222222221898846E-2</v>
      </c>
      <c r="AG155" s="210">
        <f t="shared" si="94"/>
        <v>0</v>
      </c>
    </row>
    <row r="156" spans="2:33" ht="15" customHeight="1" x14ac:dyDescent="0.3">
      <c r="B156" s="196" t="s">
        <v>5</v>
      </c>
      <c r="C156" s="197" t="s">
        <v>13</v>
      </c>
      <c r="D156" s="198" t="str">
        <f t="shared" si="76"/>
        <v>C</v>
      </c>
      <c r="E156" s="199">
        <v>44574.947916666664</v>
      </c>
      <c r="F156" s="200" t="s">
        <v>92</v>
      </c>
      <c r="G156" s="201">
        <v>15537.26</v>
      </c>
      <c r="H156" s="201">
        <v>15582.76</v>
      </c>
      <c r="I156" s="202">
        <f t="shared" si="77"/>
        <v>45.5</v>
      </c>
      <c r="J156" s="201">
        <v>14687.94</v>
      </c>
      <c r="K156" s="199">
        <v>44575.693055555559</v>
      </c>
      <c r="L156" s="201">
        <v>15493.93</v>
      </c>
      <c r="M156" s="203">
        <f t="shared" si="78"/>
        <v>43.33</v>
      </c>
      <c r="N156" s="204">
        <f t="shared" si="79"/>
        <v>0.95</v>
      </c>
      <c r="O156" s="205">
        <f t="shared" si="80"/>
        <v>0</v>
      </c>
      <c r="P156" s="206">
        <f t="shared" si="81"/>
        <v>0.95</v>
      </c>
      <c r="Q156" s="206">
        <f t="shared" si="82"/>
        <v>0</v>
      </c>
      <c r="R15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10401</v>
      </c>
      <c r="T15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10401</v>
      </c>
      <c r="U156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56" s="209">
        <f t="shared" si="83"/>
        <v>0</v>
      </c>
      <c r="W156" s="209">
        <f t="shared" si="84"/>
        <v>0</v>
      </c>
      <c r="X156" s="209">
        <f t="shared" si="85"/>
        <v>0</v>
      </c>
      <c r="Y156" s="209">
        <f t="shared" si="86"/>
        <v>0</v>
      </c>
      <c r="Z156" s="209">
        <f t="shared" si="87"/>
        <v>0.95</v>
      </c>
      <c r="AA156" s="205">
        <f t="shared" si="88"/>
        <v>0</v>
      </c>
      <c r="AB156" s="209">
        <f t="shared" si="89"/>
        <v>0</v>
      </c>
      <c r="AC156" s="205">
        <f t="shared" si="90"/>
        <v>0</v>
      </c>
      <c r="AD156" s="210">
        <f t="shared" si="91"/>
        <v>0.74513888889487134</v>
      </c>
      <c r="AE156" s="210">
        <f t="shared" si="92"/>
        <v>0.74513888889487134</v>
      </c>
      <c r="AF156" s="210">
        <f t="shared" si="93"/>
        <v>0</v>
      </c>
      <c r="AG156" s="210">
        <f t="shared" si="94"/>
        <v>0</v>
      </c>
    </row>
    <row r="157" spans="2:33" ht="15" customHeight="1" x14ac:dyDescent="0.3">
      <c r="B157" s="196" t="s">
        <v>5</v>
      </c>
      <c r="C157" s="197" t="s">
        <v>13</v>
      </c>
      <c r="D157" s="198" t="str">
        <f t="shared" si="76"/>
        <v>C</v>
      </c>
      <c r="E157" s="199">
        <v>44571.604166666664</v>
      </c>
      <c r="F157" s="200" t="s">
        <v>92</v>
      </c>
      <c r="G157" s="201">
        <v>15478.61</v>
      </c>
      <c r="H157" s="201">
        <v>15526.76</v>
      </c>
      <c r="I157" s="202">
        <f t="shared" si="77"/>
        <v>48.149999999999636</v>
      </c>
      <c r="J157" s="201">
        <v>14579.81</v>
      </c>
      <c r="K157" s="199">
        <v>44571.769444444442</v>
      </c>
      <c r="L157" s="201">
        <v>15327.9</v>
      </c>
      <c r="M157" s="203">
        <f t="shared" si="78"/>
        <v>150.71</v>
      </c>
      <c r="N157" s="204">
        <f t="shared" si="79"/>
        <v>3.13</v>
      </c>
      <c r="O157" s="205">
        <f t="shared" si="80"/>
        <v>0</v>
      </c>
      <c r="P157" s="206">
        <f t="shared" si="81"/>
        <v>3.13</v>
      </c>
      <c r="Q157" s="206">
        <f t="shared" si="82"/>
        <v>0</v>
      </c>
      <c r="R15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10306</v>
      </c>
      <c r="T15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10306</v>
      </c>
      <c r="U157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57" s="209">
        <f t="shared" si="83"/>
        <v>0</v>
      </c>
      <c r="W157" s="209">
        <f t="shared" si="84"/>
        <v>0</v>
      </c>
      <c r="X157" s="209">
        <f t="shared" si="85"/>
        <v>0</v>
      </c>
      <c r="Y157" s="209">
        <f t="shared" si="86"/>
        <v>0</v>
      </c>
      <c r="Z157" s="209">
        <f t="shared" si="87"/>
        <v>3.13</v>
      </c>
      <c r="AA157" s="205">
        <f t="shared" si="88"/>
        <v>0</v>
      </c>
      <c r="AB157" s="209">
        <f t="shared" si="89"/>
        <v>0</v>
      </c>
      <c r="AC157" s="205">
        <f t="shared" si="90"/>
        <v>0</v>
      </c>
      <c r="AD157" s="210">
        <f t="shared" si="91"/>
        <v>0.16527777777810115</v>
      </c>
      <c r="AE157" s="210">
        <f t="shared" si="92"/>
        <v>0.16527777777810115</v>
      </c>
      <c r="AF157" s="210">
        <f t="shared" si="93"/>
        <v>0</v>
      </c>
      <c r="AG157" s="210">
        <f t="shared" si="94"/>
        <v>0</v>
      </c>
    </row>
    <row r="158" spans="2:33" ht="15" customHeight="1" x14ac:dyDescent="0.3">
      <c r="B158" s="196" t="s">
        <v>5</v>
      </c>
      <c r="C158" s="197" t="s">
        <v>13</v>
      </c>
      <c r="D158" s="198" t="str">
        <f t="shared" si="76"/>
        <v>C</v>
      </c>
      <c r="E158" s="199">
        <v>44568.739583333336</v>
      </c>
      <c r="F158" s="200" t="s">
        <v>92</v>
      </c>
      <c r="G158" s="201">
        <v>15587.86</v>
      </c>
      <c r="H158" s="201">
        <v>15635.59</v>
      </c>
      <c r="I158" s="202">
        <f t="shared" si="77"/>
        <v>47.729999999999563</v>
      </c>
      <c r="J158" s="201">
        <v>14696.86</v>
      </c>
      <c r="K158" s="199">
        <v>44568.782638888886</v>
      </c>
      <c r="L158" s="201">
        <v>15635.59</v>
      </c>
      <c r="M158" s="203">
        <f t="shared" si="78"/>
        <v>-47.73</v>
      </c>
      <c r="N158" s="204">
        <f t="shared" si="79"/>
        <v>-1</v>
      </c>
      <c r="O158" s="205">
        <f t="shared" si="80"/>
        <v>0</v>
      </c>
      <c r="P158" s="206">
        <f t="shared" si="81"/>
        <v>0</v>
      </c>
      <c r="Q158" s="206">
        <f t="shared" si="82"/>
        <v>-1</v>
      </c>
      <c r="R15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9993</v>
      </c>
      <c r="T15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10093</v>
      </c>
      <c r="U158" s="208">
        <f ca="1">IF(Tabla336106734811[[#This Row],[Equity]]&lt;Tabla336106734811[[#This Row],[Equity Peak]],(Tabla336106734811[[#This Row],[Equity Peak]]-Tabla336106734811[[#This Row],[Equity]])/Tabla336106734811[[#This Row],[Equity Peak]],"")</f>
        <v>9.9078569305459229E-3</v>
      </c>
      <c r="V158" s="209">
        <f t="shared" si="83"/>
        <v>0</v>
      </c>
      <c r="W158" s="209">
        <f t="shared" si="84"/>
        <v>0</v>
      </c>
      <c r="X158" s="209">
        <f t="shared" si="85"/>
        <v>0</v>
      </c>
      <c r="Y158" s="209">
        <f t="shared" si="86"/>
        <v>0</v>
      </c>
      <c r="Z158" s="209">
        <f t="shared" si="87"/>
        <v>-1</v>
      </c>
      <c r="AA158" s="205">
        <f t="shared" si="88"/>
        <v>0</v>
      </c>
      <c r="AB158" s="209">
        <f t="shared" si="89"/>
        <v>0</v>
      </c>
      <c r="AC158" s="205">
        <f t="shared" si="90"/>
        <v>0</v>
      </c>
      <c r="AD158" s="210">
        <f t="shared" si="91"/>
        <v>4.3055555550381541E-2</v>
      </c>
      <c r="AE158" s="210">
        <f t="shared" si="92"/>
        <v>0</v>
      </c>
      <c r="AF158" s="210">
        <f t="shared" si="93"/>
        <v>4.3055555550381541E-2</v>
      </c>
      <c r="AG158" s="210">
        <f t="shared" si="94"/>
        <v>0</v>
      </c>
    </row>
    <row r="159" spans="2:33" ht="15" customHeight="1" x14ac:dyDescent="0.3">
      <c r="B159" s="196" t="s">
        <v>5</v>
      </c>
      <c r="C159" s="197" t="s">
        <v>13</v>
      </c>
      <c r="D159" s="198" t="str">
        <f t="shared" si="76"/>
        <v>C</v>
      </c>
      <c r="E159" s="199">
        <v>44566.885416666664</v>
      </c>
      <c r="F159" s="200" t="s">
        <v>92</v>
      </c>
      <c r="G159" s="201">
        <v>15983.28</v>
      </c>
      <c r="H159" s="201">
        <v>16020.78</v>
      </c>
      <c r="I159" s="202">
        <f t="shared" si="77"/>
        <v>37.5</v>
      </c>
      <c r="J159" s="201">
        <v>15283.3</v>
      </c>
      <c r="K159" s="199">
        <v>44567.692361111112</v>
      </c>
      <c r="L159" s="201">
        <v>15818.25</v>
      </c>
      <c r="M159" s="203">
        <f t="shared" si="78"/>
        <v>165.03</v>
      </c>
      <c r="N159" s="204">
        <f t="shared" si="79"/>
        <v>4.4000000000000004</v>
      </c>
      <c r="O159" s="205">
        <f t="shared" si="80"/>
        <v>0</v>
      </c>
      <c r="P159" s="206">
        <f t="shared" si="81"/>
        <v>4.4000000000000004</v>
      </c>
      <c r="Q159" s="206">
        <f t="shared" si="82"/>
        <v>0</v>
      </c>
      <c r="R15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5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10093</v>
      </c>
      <c r="T15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10093</v>
      </c>
      <c r="U15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59" s="209">
        <f t="shared" si="83"/>
        <v>0</v>
      </c>
      <c r="W159" s="209">
        <f t="shared" si="84"/>
        <v>0</v>
      </c>
      <c r="X159" s="209">
        <f t="shared" si="85"/>
        <v>0</v>
      </c>
      <c r="Y159" s="209">
        <f t="shared" si="86"/>
        <v>0</v>
      </c>
      <c r="Z159" s="209">
        <f t="shared" si="87"/>
        <v>4.4000000000000004</v>
      </c>
      <c r="AA159" s="205">
        <f t="shared" si="88"/>
        <v>0</v>
      </c>
      <c r="AB159" s="209">
        <f t="shared" si="89"/>
        <v>0</v>
      </c>
      <c r="AC159" s="205">
        <f t="shared" si="90"/>
        <v>0</v>
      </c>
      <c r="AD159" s="210">
        <f t="shared" si="91"/>
        <v>0.80694444444816327</v>
      </c>
      <c r="AE159" s="210">
        <f t="shared" si="92"/>
        <v>0.80694444444816327</v>
      </c>
      <c r="AF159" s="210">
        <f t="shared" si="93"/>
        <v>0</v>
      </c>
      <c r="AG159" s="210">
        <f t="shared" si="94"/>
        <v>0</v>
      </c>
    </row>
    <row r="160" spans="2:33" ht="15" customHeight="1" x14ac:dyDescent="0.3">
      <c r="B160" s="196" t="s">
        <v>5</v>
      </c>
      <c r="C160" s="197" t="s">
        <v>13</v>
      </c>
      <c r="D160" s="198" t="str">
        <f t="shared" si="76"/>
        <v>C</v>
      </c>
      <c r="E160" s="199">
        <v>44566.822916666664</v>
      </c>
      <c r="F160" s="200" t="s">
        <v>92</v>
      </c>
      <c r="G160" s="201">
        <v>16064.15</v>
      </c>
      <c r="H160" s="201">
        <v>16098.31</v>
      </c>
      <c r="I160" s="202">
        <f t="shared" si="77"/>
        <v>34.159999999999854</v>
      </c>
      <c r="J160" s="201">
        <v>15426.57</v>
      </c>
      <c r="K160" s="199">
        <v>44566.875</v>
      </c>
      <c r="L160" s="201">
        <v>16098.31</v>
      </c>
      <c r="M160" s="203">
        <f t="shared" si="78"/>
        <v>-34.159999999999997</v>
      </c>
      <c r="N160" s="204">
        <f t="shared" si="79"/>
        <v>-1</v>
      </c>
      <c r="O160" s="205">
        <f t="shared" si="80"/>
        <v>0</v>
      </c>
      <c r="P160" s="206">
        <f t="shared" si="81"/>
        <v>0</v>
      </c>
      <c r="Q160" s="206">
        <f t="shared" si="82"/>
        <v>-1</v>
      </c>
      <c r="R16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6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9653</v>
      </c>
      <c r="T16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10000</v>
      </c>
      <c r="U160" s="208">
        <f ca="1">IF(Tabla336106734811[[#This Row],[Equity]]&lt;Tabla336106734811[[#This Row],[Equity Peak]],(Tabla336106734811[[#This Row],[Equity Peak]]-Tabla336106734811[[#This Row],[Equity]])/Tabla336106734811[[#This Row],[Equity Peak]],"")</f>
        <v>3.4700000000000002E-2</v>
      </c>
      <c r="V160" s="209">
        <f t="shared" si="83"/>
        <v>0</v>
      </c>
      <c r="W160" s="209">
        <f t="shared" si="84"/>
        <v>0</v>
      </c>
      <c r="X160" s="209">
        <f t="shared" si="85"/>
        <v>0</v>
      </c>
      <c r="Y160" s="209">
        <f t="shared" si="86"/>
        <v>0</v>
      </c>
      <c r="Z160" s="209">
        <f t="shared" si="87"/>
        <v>-1</v>
      </c>
      <c r="AA160" s="205">
        <f t="shared" si="88"/>
        <v>0</v>
      </c>
      <c r="AB160" s="209">
        <f t="shared" si="89"/>
        <v>0</v>
      </c>
      <c r="AC160" s="205">
        <f t="shared" si="90"/>
        <v>0</v>
      </c>
      <c r="AD160" s="210">
        <f t="shared" si="91"/>
        <v>5.2083333335758653E-2</v>
      </c>
      <c r="AE160" s="210">
        <f t="shared" si="92"/>
        <v>0</v>
      </c>
      <c r="AF160" s="210">
        <f t="shared" si="93"/>
        <v>5.2083333335758653E-2</v>
      </c>
      <c r="AG160" s="210">
        <f t="shared" si="94"/>
        <v>0</v>
      </c>
    </row>
    <row r="161" spans="2:33" ht="15" customHeight="1" x14ac:dyDescent="0.3">
      <c r="B161" s="196" t="s">
        <v>5</v>
      </c>
      <c r="C161" s="197" t="s">
        <v>13</v>
      </c>
      <c r="D161" s="198" t="str">
        <f t="shared" si="76"/>
        <v>C</v>
      </c>
      <c r="E161" s="199">
        <v>44565.75</v>
      </c>
      <c r="F161" s="200" t="s">
        <v>92</v>
      </c>
      <c r="G161" s="201">
        <v>16226.25</v>
      </c>
      <c r="H161" s="201">
        <v>16253.44</v>
      </c>
      <c r="I161" s="202">
        <f t="shared" si="77"/>
        <v>27.190000000000509</v>
      </c>
      <c r="J161" s="201">
        <v>15718.74</v>
      </c>
      <c r="K161" s="199">
        <v>44565.918749999997</v>
      </c>
      <c r="L161" s="201">
        <v>16239.05</v>
      </c>
      <c r="M161" s="203">
        <f t="shared" si="78"/>
        <v>-12.8</v>
      </c>
      <c r="N161" s="204">
        <f t="shared" si="79"/>
        <v>-0.47</v>
      </c>
      <c r="O161" s="205">
        <f t="shared" si="80"/>
        <v>0</v>
      </c>
      <c r="P161" s="206">
        <f t="shared" si="81"/>
        <v>0</v>
      </c>
      <c r="Q161" s="206">
        <f t="shared" si="82"/>
        <v>-0.47</v>
      </c>
      <c r="R16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6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9753</v>
      </c>
      <c r="T16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10000</v>
      </c>
      <c r="U161" s="208">
        <f ca="1">IF(Tabla336106734811[[#This Row],[Equity]]&lt;Tabla336106734811[[#This Row],[Equity Peak]],(Tabla336106734811[[#This Row],[Equity Peak]]-Tabla336106734811[[#This Row],[Equity]])/Tabla336106734811[[#This Row],[Equity Peak]],"")</f>
        <v>2.47E-2</v>
      </c>
      <c r="V161" s="209">
        <f t="shared" si="83"/>
        <v>0</v>
      </c>
      <c r="W161" s="209">
        <f t="shared" si="84"/>
        <v>0</v>
      </c>
      <c r="X161" s="209">
        <f t="shared" si="85"/>
        <v>0</v>
      </c>
      <c r="Y161" s="209">
        <f t="shared" si="86"/>
        <v>0</v>
      </c>
      <c r="Z161" s="209">
        <f t="shared" si="87"/>
        <v>-0.47</v>
      </c>
      <c r="AA161" s="205">
        <f t="shared" si="88"/>
        <v>0</v>
      </c>
      <c r="AB161" s="209">
        <f t="shared" si="89"/>
        <v>0</v>
      </c>
      <c r="AC161" s="205">
        <f t="shared" si="90"/>
        <v>0</v>
      </c>
      <c r="AD161" s="210">
        <f t="shared" si="91"/>
        <v>0.16874999999708962</v>
      </c>
      <c r="AE161" s="210">
        <f t="shared" si="92"/>
        <v>0</v>
      </c>
      <c r="AF161" s="210">
        <f t="shared" si="93"/>
        <v>0.16874999999708962</v>
      </c>
      <c r="AG161" s="210">
        <f t="shared" si="94"/>
        <v>0</v>
      </c>
    </row>
    <row r="162" spans="2:33" ht="15" customHeight="1" x14ac:dyDescent="0.3">
      <c r="B162" s="196" t="s">
        <v>5</v>
      </c>
      <c r="C162" s="197" t="s">
        <v>15</v>
      </c>
      <c r="D162" s="198" t="str">
        <f t="shared" si="76"/>
        <v>C</v>
      </c>
      <c r="E162" s="199">
        <v>44565.520833333336</v>
      </c>
      <c r="F162" s="200" t="s">
        <v>92</v>
      </c>
      <c r="G162" s="201">
        <v>16546.169999999998</v>
      </c>
      <c r="H162" s="201">
        <v>16514.47</v>
      </c>
      <c r="I162" s="202">
        <f t="shared" si="77"/>
        <v>31.69999999999709</v>
      </c>
      <c r="J162" s="201">
        <v>17137.919999999998</v>
      </c>
      <c r="K162" s="199">
        <v>44565.600694444445</v>
      </c>
      <c r="L162" s="201">
        <v>16514.47</v>
      </c>
      <c r="M162" s="203">
        <f t="shared" si="78"/>
        <v>-31.7</v>
      </c>
      <c r="N162" s="204">
        <f t="shared" si="79"/>
        <v>-1</v>
      </c>
      <c r="O162" s="205">
        <f t="shared" si="80"/>
        <v>0</v>
      </c>
      <c r="P162" s="206">
        <f t="shared" si="81"/>
        <v>0</v>
      </c>
      <c r="Q162" s="206">
        <f t="shared" si="82"/>
        <v>-1</v>
      </c>
      <c r="R16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6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9800</v>
      </c>
      <c r="T16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10000</v>
      </c>
      <c r="U162" s="208">
        <f ca="1">IF(Tabla336106734811[[#This Row],[Equity]]&lt;Tabla336106734811[[#This Row],[Equity Peak]],(Tabla336106734811[[#This Row],[Equity Peak]]-Tabla336106734811[[#This Row],[Equity]])/Tabla336106734811[[#This Row],[Equity Peak]],"")</f>
        <v>0.02</v>
      </c>
      <c r="V162" s="209">
        <f t="shared" si="83"/>
        <v>0</v>
      </c>
      <c r="W162" s="209">
        <f t="shared" si="84"/>
        <v>0</v>
      </c>
      <c r="X162" s="209">
        <f t="shared" si="85"/>
        <v>0</v>
      </c>
      <c r="Y162" s="209">
        <f t="shared" si="86"/>
        <v>0</v>
      </c>
      <c r="Z162" s="209">
        <f t="shared" si="87"/>
        <v>-1</v>
      </c>
      <c r="AA162" s="205">
        <f t="shared" si="88"/>
        <v>0</v>
      </c>
      <c r="AB162" s="209">
        <f t="shared" si="89"/>
        <v>0</v>
      </c>
      <c r="AC162" s="205">
        <f t="shared" si="90"/>
        <v>0</v>
      </c>
      <c r="AD162" s="210">
        <f t="shared" si="91"/>
        <v>7.9861111109494232E-2</v>
      </c>
      <c r="AE162" s="210">
        <f t="shared" si="92"/>
        <v>0</v>
      </c>
      <c r="AF162" s="210">
        <f t="shared" si="93"/>
        <v>7.9861111109494232E-2</v>
      </c>
      <c r="AG162" s="210">
        <f t="shared" si="94"/>
        <v>0</v>
      </c>
    </row>
    <row r="163" spans="2:33" ht="15" customHeight="1" x14ac:dyDescent="0.3">
      <c r="B163" s="181" t="s">
        <v>5</v>
      </c>
      <c r="C163" s="182" t="s">
        <v>15</v>
      </c>
      <c r="D163" s="183" t="str">
        <f t="shared" si="76"/>
        <v>C</v>
      </c>
      <c r="E163" s="184">
        <v>44565.270833333336</v>
      </c>
      <c r="F163" s="185" t="s">
        <v>92</v>
      </c>
      <c r="G163" s="186">
        <v>16517.189999999999</v>
      </c>
      <c r="H163" s="186">
        <v>16485.71</v>
      </c>
      <c r="I163" s="65">
        <f t="shared" si="77"/>
        <v>31.479999999999563</v>
      </c>
      <c r="J163" s="186">
        <v>17104.759999999998</v>
      </c>
      <c r="K163" s="184">
        <v>44565.456944444442</v>
      </c>
      <c r="L163" s="186">
        <v>16485.71</v>
      </c>
      <c r="M163" s="187">
        <f t="shared" si="78"/>
        <v>-31.48</v>
      </c>
      <c r="N163" s="188">
        <f t="shared" si="79"/>
        <v>-1</v>
      </c>
      <c r="O163" s="189">
        <f t="shared" si="80"/>
        <v>0</v>
      </c>
      <c r="P163" s="190">
        <f t="shared" si="81"/>
        <v>0</v>
      </c>
      <c r="Q163" s="190">
        <f t="shared" si="82"/>
        <v>-1</v>
      </c>
      <c r="R163" s="190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63" s="191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9900</v>
      </c>
      <c r="T163" s="191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10000</v>
      </c>
      <c r="U163" s="192">
        <f ca="1">IF(Tabla336106734811[[#This Row],[Equity]]&lt;Tabla336106734811[[#This Row],[Equity Peak]],(Tabla336106734811[[#This Row],[Equity Peak]]-Tabla336106734811[[#This Row],[Equity]])/Tabla336106734811[[#This Row],[Equity Peak]],"")</f>
        <v>0.01</v>
      </c>
      <c r="V163" s="193">
        <f t="shared" si="83"/>
        <v>0</v>
      </c>
      <c r="W163" s="193">
        <f t="shared" si="84"/>
        <v>0</v>
      </c>
      <c r="X163" s="193">
        <f t="shared" si="85"/>
        <v>0</v>
      </c>
      <c r="Y163" s="193">
        <f t="shared" si="86"/>
        <v>0</v>
      </c>
      <c r="Z163" s="193">
        <f t="shared" si="87"/>
        <v>-1</v>
      </c>
      <c r="AA163" s="189">
        <f t="shared" si="88"/>
        <v>0</v>
      </c>
      <c r="AB163" s="193">
        <f t="shared" si="89"/>
        <v>0</v>
      </c>
      <c r="AC163" s="189">
        <f t="shared" si="90"/>
        <v>0</v>
      </c>
      <c r="AD163" s="194">
        <f t="shared" si="91"/>
        <v>0.18611111110658385</v>
      </c>
      <c r="AE163" s="194">
        <f t="shared" si="92"/>
        <v>0</v>
      </c>
      <c r="AF163" s="194">
        <f t="shared" si="93"/>
        <v>0.18611111110658385</v>
      </c>
      <c r="AG163" s="194">
        <f t="shared" si="94"/>
        <v>0</v>
      </c>
    </row>
  </sheetData>
  <sheetProtection algorithmName="SHA-512" hashValue="oyme3qGrRU2EmbKwV8a649jEPsAZunqkVhVhVlOKvTGqtmYn4mJgqmaSt5aj3QbB3pi5yf14YSCt9rsr6haIcg==" saltValue="Jjvo9sKD4pCjjZJkxq+FV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5" priority="3" operator="equal">
      <formula>"OK"</formula>
    </cfRule>
    <cfRule type="cellIs" dxfId="14" priority="4" operator="equal">
      <formula>"warning"</formula>
    </cfRule>
  </conditionalFormatting>
  <conditionalFormatting sqref="F13">
    <cfRule type="cellIs" dxfId="13" priority="1" operator="equal">
      <formula>"OK"</formula>
    </cfRule>
    <cfRule type="cellIs" dxfId="12" priority="2" operator="equal">
      <formula>"Error!!"</formula>
    </cfRule>
  </conditionalFormatting>
  <conditionalFormatting sqref="E15:H15 K15:L15">
    <cfRule type="expression" dxfId="11" priority="5">
      <formula>+$D15=#REF!</formula>
    </cfRule>
    <cfRule type="expression" dxfId="10" priority="6">
      <formula>+$D15=#REF!</formula>
    </cfRule>
  </conditionalFormatting>
  <conditionalFormatting sqref="D15 K16:L20 D16:H163 J17:L163">
    <cfRule type="expression" dxfId="9" priority="7">
      <formula>+$D15=$AG$8</formula>
    </cfRule>
    <cfRule type="expression" dxfId="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21:B163" xr:uid="{7D20BD0C-54F0-42C1-8CF4-285D357A1383}">
      <formula1>$AE$4:$AE$7</formula1>
    </dataValidation>
    <dataValidation type="list" allowBlank="1" showInputMessage="1" showErrorMessage="1" promptTitle="Instrument Type" prompt="Select Type from List_x000a_" sqref="B15:B20" xr:uid="{321AB621-6E27-46C1-B973-C9CCECB36BD9}">
      <formula1>$AE$4:$AE$6</formula1>
    </dataValidation>
    <dataValidation type="list" allowBlank="1" showInputMessage="1" showErrorMessage="1" promptTitle="Trade Direction" prompt="Select from List" sqref="C15:C21" xr:uid="{6CE6270A-BAC0-4ABD-99F0-943D5461B873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68B-023F-4025-8065-BA49B1D6490F}">
  <sheetPr codeName="Hoja18">
    <pageSetUpPr fitToPage="1"/>
  </sheetPr>
  <dimension ref="A1:AX18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L18" sqref="L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113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COUNTA(Tabla336106734812[Inst])</f>
        <v>171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72.259999999999991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72.259999999999991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COUNTIF(Tabla336106734812[No. of Rs],"&gt;0")</f>
        <v>54</v>
      </c>
      <c r="G7" s="24">
        <f>IFERROR((F7/$F$6),"")</f>
        <v>0.31578947368421051</v>
      </c>
      <c r="H7" s="78">
        <f>IFERROR((+P13/F7),"")</f>
        <v>3.3468518518518504</v>
      </c>
      <c r="I7" s="227">
        <f>H7/H9</f>
        <v>3.6100457883900301</v>
      </c>
      <c r="J7" s="227">
        <f>AVERAGE(Tabla336106734812[No. of Rs])</f>
        <v>0.4225730994152046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OFFSET(Tabla336106734812[[#Headers],[Equity]],1,0)</f>
        <v>17226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COUNTIF(Tabla336106734812[No. of Rs],"&lt;0")</f>
        <v>117</v>
      </c>
      <c r="G9" s="32">
        <f>IFERROR((F9/$F$6),"")</f>
        <v>0.68421052631578949</v>
      </c>
      <c r="H9" s="79">
        <f>IFERROR((-Q13/F9),"")</f>
        <v>0.92709401709401695</v>
      </c>
      <c r="I9" s="229"/>
      <c r="J9" s="229"/>
      <c r="K9" s="149"/>
      <c r="L9" s="230" t="s">
        <v>106</v>
      </c>
      <c r="M9" s="231"/>
      <c r="N9" s="125">
        <f ca="1">MAX(Tabla336106734812[Drawdown])</f>
        <v>9.4880441446965058E-2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OFFSET(Tabla336106734812[[#Headers],[Drawdown]],1,0)</f>
        <v>2.6632700324224177E-3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IF(COUNTIFS(Tabla336106734812[O/C],"O")&lt;1,"None",COUNTIFS(Tabla336106734812[O/C],"O"))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SUM(Tabla336106734812[No. of Rs])</f>
        <v>72.259999999999991</v>
      </c>
      <c r="O13" s="42">
        <f>SUM(Tabla336106734812[Heat])</f>
        <v>0</v>
      </c>
      <c r="P13" s="43">
        <f>SUM(Tabla336106734812[[ TR WIN]])</f>
        <v>180.72999999999993</v>
      </c>
      <c r="Q13" s="43">
        <f>SUM(Tabla336106734812[[ TR LOSS]])</f>
        <v>-108.46999999999998</v>
      </c>
      <c r="R13" s="114"/>
      <c r="S13" s="115"/>
      <c r="T13" s="115"/>
      <c r="U13" s="121"/>
      <c r="V13" s="44">
        <f>SUM(Tabla336106734812[Currency])</f>
        <v>0</v>
      </c>
      <c r="W13" s="44">
        <f>SUM(Tabla336106734812[Heat3])</f>
        <v>0</v>
      </c>
      <c r="X13" s="44">
        <f>SUM(Tabla336106734812[Commodities])</f>
        <v>0</v>
      </c>
      <c r="Y13" s="44">
        <f>SUM(Tabla336106734812[Heat4])</f>
        <v>0</v>
      </c>
      <c r="Z13" s="44">
        <f>SUM(Tabla336106734812[Index])</f>
        <v>72.259999999999991</v>
      </c>
      <c r="AA13" s="44">
        <f>SUM(Tabla336106734812[Heat5])</f>
        <v>0</v>
      </c>
      <c r="AB13" s="44">
        <f>SUM(Tabla336106734812[Cryptocurrency])</f>
        <v>0</v>
      </c>
      <c r="AC13" s="44">
        <f>SUM(Tabla336106734812[Heat6])</f>
        <v>0</v>
      </c>
      <c r="AD13" s="75">
        <f>AVERAGEIF(Tabla336106734812[Length of 
Trade],"&lt;&gt;0")</f>
        <v>0.48764213775179915</v>
      </c>
      <c r="AE13" s="75">
        <f>AVERAGEIF(Tabla336106734812[Win],"&lt;&gt;0")</f>
        <v>1.0415123456790483</v>
      </c>
      <c r="AF13" s="75">
        <f>AVERAGEIF(Tabla336106734812[Loss],"&lt;&gt;0")</f>
        <v>0.2320097340930688</v>
      </c>
      <c r="AG13" s="76" t="e">
        <f>AVERAGEIF(Tabla336106734812[Breakeven],"&lt;&gt;0")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232" t="s">
        <v>5</v>
      </c>
      <c r="C17" s="197" t="s">
        <v>15</v>
      </c>
      <c r="D17" s="233" t="str">
        <f>IF(E17&lt;&gt;"",IF(K17&lt;&gt;"","C","O"),"")</f>
        <v>C</v>
      </c>
      <c r="E17" s="234">
        <v>44875.65625</v>
      </c>
      <c r="F17" s="200" t="s">
        <v>93</v>
      </c>
      <c r="G17" s="235">
        <v>3863.92</v>
      </c>
      <c r="H17" s="236">
        <v>3851.63</v>
      </c>
      <c r="I17" s="237">
        <f>ABS(G17-H17)</f>
        <v>12.289999999999964</v>
      </c>
      <c r="J17" s="235">
        <v>3994.98</v>
      </c>
      <c r="K17" s="199">
        <v>44876.688888888886</v>
      </c>
      <c r="L17" s="235">
        <v>3953.49</v>
      </c>
      <c r="M17" s="238">
        <f>ROUND(IF(C17="L",(L17-G17),(G17-L17)),4)</f>
        <v>89.57</v>
      </c>
      <c r="N17" s="239">
        <f>IFERROR(ROUND((M17/I17),2),"")</f>
        <v>7.29</v>
      </c>
      <c r="O17" s="240">
        <f>IF(D17="O",IF(N17&lt;0,N17,0),0)</f>
        <v>0</v>
      </c>
      <c r="P17" s="241">
        <f>IF(N17&gt;= 0,N17,0)</f>
        <v>7.29</v>
      </c>
      <c r="Q17" s="241">
        <f>IF(N17&lt;0,N17,0)</f>
        <v>0</v>
      </c>
      <c r="R17" s="241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" s="242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17226</v>
      </c>
      <c r="T17" s="242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17" s="243">
        <f ca="1">IF(Tabla336106734812[[#This Row],[Equity]]&lt;Tabla336106734812[[#This Row],[Equity Peak]],(Tabla336106734812[[#This Row],[Equity Peak]]-Tabla336106734812[[#This Row],[Equity]])/Tabla336106734812[[#This Row],[Equity Peak]],"")</f>
        <v>2.6632700324224177E-3</v>
      </c>
      <c r="V17" s="244">
        <f>IF(B17="FX",N17,0)</f>
        <v>0</v>
      </c>
      <c r="W17" s="244">
        <f>IF(D17="O",IF(V17&lt;0,V17,0),0)</f>
        <v>0</v>
      </c>
      <c r="X17" s="244">
        <f>IF(B17="COM",N17,0)</f>
        <v>0</v>
      </c>
      <c r="Y17" s="244">
        <f>IF(D17="O",IF(X17&lt;0,X17,0),0)</f>
        <v>0</v>
      </c>
      <c r="Z17" s="244">
        <f>IF(B17="IND",N17,0)</f>
        <v>7.29</v>
      </c>
      <c r="AA17" s="240">
        <f>IF(D17="O",IF(Z17&lt;0,Z17,0),0)</f>
        <v>0</v>
      </c>
      <c r="AB17" s="244">
        <f>IF(B17="CRYPTO",N17,0)</f>
        <v>0</v>
      </c>
      <c r="AC17" s="240">
        <f>IF(D17="O",IF(AB17&lt;0,AB17,0),0)</f>
        <v>0</v>
      </c>
      <c r="AD17" s="245">
        <f>IF(K17&lt;&gt;"",K17-E17,0)</f>
        <v>1.0326388888861402</v>
      </c>
      <c r="AE17" s="245">
        <f>IF(N17&gt;0,AD17,0)</f>
        <v>1.0326388888861402</v>
      </c>
      <c r="AF17" s="245">
        <f>IF(N17&lt;0,AD17,0)</f>
        <v>0</v>
      </c>
      <c r="AG17" s="245">
        <f>IF(N17=0,AD17,0)</f>
        <v>0</v>
      </c>
      <c r="AH17" s="176"/>
      <c r="AI17" s="109"/>
    </row>
    <row r="18" spans="1:35" s="112" customFormat="1" x14ac:dyDescent="0.3">
      <c r="A18" s="140"/>
      <c r="B18" s="232" t="s">
        <v>5</v>
      </c>
      <c r="C18" s="197" t="s">
        <v>13</v>
      </c>
      <c r="D18" s="233" t="str">
        <f>IF(E18&lt;&gt;"",IF(K18&lt;&gt;"","C","O"),"")</f>
        <v>C</v>
      </c>
      <c r="E18" s="234">
        <v>44874.947916666664</v>
      </c>
      <c r="F18" s="200" t="s">
        <v>93</v>
      </c>
      <c r="G18" s="235">
        <v>3747.34</v>
      </c>
      <c r="H18" s="236">
        <v>3759.63</v>
      </c>
      <c r="I18" s="237">
        <f>ABS(G18-H18)</f>
        <v>12.289999999999964</v>
      </c>
      <c r="J18" s="235">
        <v>3616.28</v>
      </c>
      <c r="K18" s="199">
        <v>44875.443749999999</v>
      </c>
      <c r="L18" s="235">
        <v>3759.42</v>
      </c>
      <c r="M18" s="238">
        <f>ROUND(IF(C18="L",(L18-G18),(G18-L18)),4)</f>
        <v>-12.08</v>
      </c>
      <c r="N18" s="239">
        <f>IFERROR(ROUND((M18/I18),2),"")</f>
        <v>-0.98</v>
      </c>
      <c r="O18" s="240">
        <f>IF(D18="O",IF(N18&lt;0,N18,0),0)</f>
        <v>0</v>
      </c>
      <c r="P18" s="241">
        <f>IF(N18&gt;= 0,N18,0)</f>
        <v>0</v>
      </c>
      <c r="Q18" s="241">
        <f>IF(N18&lt;0,N18,0)</f>
        <v>-0.98</v>
      </c>
      <c r="R18" s="241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" s="242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16497</v>
      </c>
      <c r="T18" s="242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18" s="243">
        <f ca="1">IF(Tabla336106734812[[#This Row],[Equity]]&lt;Tabla336106734812[[#This Row],[Equity Peak]],(Tabla336106734812[[#This Row],[Equity Peak]]-Tabla336106734812[[#This Row],[Equity]])/Tabla336106734812[[#This Row],[Equity Peak]],"")</f>
        <v>4.4870310328855953E-2</v>
      </c>
      <c r="V18" s="244">
        <f>IF(B18="FX",N18,0)</f>
        <v>0</v>
      </c>
      <c r="W18" s="244">
        <f>IF(D18="O",IF(V18&lt;0,V18,0),0)</f>
        <v>0</v>
      </c>
      <c r="X18" s="244">
        <f>IF(B18="COM",N18,0)</f>
        <v>0</v>
      </c>
      <c r="Y18" s="244">
        <f>IF(D18="O",IF(X18&lt;0,X18,0),0)</f>
        <v>0</v>
      </c>
      <c r="Z18" s="244">
        <f>IF(B18="IND",N18,0)</f>
        <v>-0.98</v>
      </c>
      <c r="AA18" s="240">
        <f>IF(D18="O",IF(Z18&lt;0,Z18,0),0)</f>
        <v>0</v>
      </c>
      <c r="AB18" s="244">
        <f>IF(B18="CRYPTO",N18,0)</f>
        <v>0</v>
      </c>
      <c r="AC18" s="240">
        <f>IF(D18="O",IF(AB18&lt;0,AB18,0),0)</f>
        <v>0</v>
      </c>
      <c r="AD18" s="245">
        <f>IF(K18&lt;&gt;"",K18-E18,0)</f>
        <v>0.49583333333430346</v>
      </c>
      <c r="AE18" s="245">
        <f>IF(N18&gt;0,AD18,0)</f>
        <v>0</v>
      </c>
      <c r="AF18" s="245">
        <f>IF(N18&lt;0,AD18,0)</f>
        <v>0.49583333333430346</v>
      </c>
      <c r="AG18" s="245">
        <f>IF(N18=0,AD18,0)</f>
        <v>0</v>
      </c>
      <c r="AH18" s="176"/>
      <c r="AI18" s="109"/>
    </row>
    <row r="19" spans="1:35" s="112" customFormat="1" x14ac:dyDescent="0.3">
      <c r="A19" s="140"/>
      <c r="B19" s="232" t="s">
        <v>5</v>
      </c>
      <c r="C19" s="197" t="s">
        <v>13</v>
      </c>
      <c r="D19" s="233" t="str">
        <f>IF(E19&lt;&gt;"",IF(K19&lt;&gt;"","C","O"),"")</f>
        <v>C</v>
      </c>
      <c r="E19" s="234">
        <v>44874.916666666664</v>
      </c>
      <c r="F19" s="200" t="s">
        <v>93</v>
      </c>
      <c r="G19" s="235">
        <v>3752.09</v>
      </c>
      <c r="H19" s="236">
        <v>3764.52</v>
      </c>
      <c r="I19" s="237">
        <f>ABS(G19-H19)</f>
        <v>12.429999999999836</v>
      </c>
      <c r="J19" s="235">
        <v>3619.52</v>
      </c>
      <c r="K19" s="199">
        <v>44874.922222222223</v>
      </c>
      <c r="L19" s="235">
        <v>3764.87</v>
      </c>
      <c r="M19" s="238">
        <f>ROUND(IF(C19="L",(L19-G19),(G19-L19)),4)</f>
        <v>-12.78</v>
      </c>
      <c r="N19" s="239">
        <f>IFERROR(ROUND((M19/I19),2),"")</f>
        <v>-1.03</v>
      </c>
      <c r="O19" s="240">
        <f>IF(D19="O",IF(N19&lt;0,N19,0),0)</f>
        <v>0</v>
      </c>
      <c r="P19" s="241">
        <f>IF(N19&gt;= 0,N19,0)</f>
        <v>0</v>
      </c>
      <c r="Q19" s="241">
        <f>IF(N19&lt;0,N19,0)</f>
        <v>-1.03</v>
      </c>
      <c r="R19" s="241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" s="242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16595</v>
      </c>
      <c r="T19" s="242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19" s="243">
        <f ca="1">IF(Tabla336106734812[[#This Row],[Equity]]&lt;Tabla336106734812[[#This Row],[Equity Peak]],(Tabla336106734812[[#This Row],[Equity Peak]]-Tabla336106734812[[#This Row],[Equity]])/Tabla336106734812[[#This Row],[Equity Peak]],"")</f>
        <v>3.9196387216303842E-2</v>
      </c>
      <c r="V19" s="244">
        <f>IF(B19="FX",N19,0)</f>
        <v>0</v>
      </c>
      <c r="W19" s="244">
        <f>IF(D19="O",IF(V19&lt;0,V19,0),0)</f>
        <v>0</v>
      </c>
      <c r="X19" s="244">
        <f>IF(B19="COM",N19,0)</f>
        <v>0</v>
      </c>
      <c r="Y19" s="244">
        <f>IF(D19="O",IF(X19&lt;0,X19,0),0)</f>
        <v>0</v>
      </c>
      <c r="Z19" s="244">
        <f>IF(B19="IND",N19,0)</f>
        <v>-1.03</v>
      </c>
      <c r="AA19" s="240">
        <f>IF(D19="O",IF(Z19&lt;0,Z19,0),0)</f>
        <v>0</v>
      </c>
      <c r="AB19" s="244">
        <f>IF(B19="CRYPTO",N19,0)</f>
        <v>0</v>
      </c>
      <c r="AC19" s="240">
        <f>IF(D19="O",IF(AB19&lt;0,AB19,0),0)</f>
        <v>0</v>
      </c>
      <c r="AD19" s="245">
        <f>IF(K19&lt;&gt;"",K19-E19,0)</f>
        <v>5.5555555591126904E-3</v>
      </c>
      <c r="AE19" s="245">
        <f>IF(N19&gt;0,AD19,0)</f>
        <v>0</v>
      </c>
      <c r="AF19" s="245">
        <f>IF(N19&lt;0,AD19,0)</f>
        <v>5.5555555591126904E-3</v>
      </c>
      <c r="AG19" s="245">
        <f>IF(N19=0,AD19,0)</f>
        <v>0</v>
      </c>
      <c r="AH19" s="176"/>
      <c r="AI19" s="109"/>
    </row>
    <row r="20" spans="1:35" s="112" customFormat="1" x14ac:dyDescent="0.3">
      <c r="A20" s="140"/>
      <c r="B20" s="232" t="s">
        <v>5</v>
      </c>
      <c r="C20" s="197" t="s">
        <v>15</v>
      </c>
      <c r="D20" s="233" t="str">
        <f>IF(E20&lt;&gt;"",IF(K20&lt;&gt;"","C","O"),"")</f>
        <v>C</v>
      </c>
      <c r="E20" s="234">
        <v>44873.729166666664</v>
      </c>
      <c r="F20" s="200" t="s">
        <v>93</v>
      </c>
      <c r="G20" s="235">
        <v>3827.1</v>
      </c>
      <c r="H20" s="236">
        <v>3818.68</v>
      </c>
      <c r="I20" s="237">
        <f>ABS(G20-H20)</f>
        <v>8.4200000000000728</v>
      </c>
      <c r="J20" s="235">
        <v>3916.92</v>
      </c>
      <c r="K20" s="199">
        <v>44873.849305555559</v>
      </c>
      <c r="L20" s="235">
        <v>3836.07</v>
      </c>
      <c r="M20" s="238">
        <f>ROUND(IF(C20="L",(L20-G20),(G20-L20)),4)</f>
        <v>8.9700000000000006</v>
      </c>
      <c r="N20" s="239">
        <f>IFERROR(ROUND((M20/I20),2),"")</f>
        <v>1.07</v>
      </c>
      <c r="O20" s="240">
        <f>IF(D20="O",IF(N20&lt;0,N20,0),0)</f>
        <v>0</v>
      </c>
      <c r="P20" s="241">
        <f>IF(N20&gt;= 0,N20,0)</f>
        <v>1.07</v>
      </c>
      <c r="Q20" s="241">
        <f>IF(N20&lt;0,N20,0)</f>
        <v>0</v>
      </c>
      <c r="R20" s="241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" s="242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16698</v>
      </c>
      <c r="T20" s="242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0" s="243">
        <f ca="1">IF(Tabla336106734812[[#This Row],[Equity]]&lt;Tabla336106734812[[#This Row],[Equity Peak]],(Tabla336106734812[[#This Row],[Equity Peak]]-Tabla336106734812[[#This Row],[Equity]])/Tabla336106734812[[#This Row],[Equity Peak]],"")</f>
        <v>3.3232978230662347E-2</v>
      </c>
      <c r="V20" s="244">
        <f>IF(B20="FX",N20,0)</f>
        <v>0</v>
      </c>
      <c r="W20" s="244">
        <f>IF(D20="O",IF(V20&lt;0,V20,0),0)</f>
        <v>0</v>
      </c>
      <c r="X20" s="244">
        <f>IF(B20="COM",N20,0)</f>
        <v>0</v>
      </c>
      <c r="Y20" s="244">
        <f>IF(D20="O",IF(X20&lt;0,X20,0),0)</f>
        <v>0</v>
      </c>
      <c r="Z20" s="244">
        <f>IF(B20="IND",N20,0)</f>
        <v>1.07</v>
      </c>
      <c r="AA20" s="240">
        <f>IF(D20="O",IF(Z20&lt;0,Z20,0),0)</f>
        <v>0</v>
      </c>
      <c r="AB20" s="244">
        <f>IF(B20="CRYPTO",N20,0)</f>
        <v>0</v>
      </c>
      <c r="AC20" s="240">
        <f>IF(D20="O",IF(AB20&lt;0,AB20,0),0)</f>
        <v>0</v>
      </c>
      <c r="AD20" s="245">
        <f>IF(K20&lt;&gt;"",K20-E20,0)</f>
        <v>0.12013888889487134</v>
      </c>
      <c r="AE20" s="245">
        <f>IF(N20&gt;0,AD20,0)</f>
        <v>0.12013888889487134</v>
      </c>
      <c r="AF20" s="245">
        <f>IF(N20&lt;0,AD20,0)</f>
        <v>0</v>
      </c>
      <c r="AG20" s="245">
        <f>IF(N20=0,AD20,0)</f>
        <v>0</v>
      </c>
      <c r="AH20" s="176"/>
      <c r="AI20" s="109"/>
    </row>
    <row r="21" spans="1:35" s="112" customFormat="1" x14ac:dyDescent="0.3">
      <c r="A21" s="140"/>
      <c r="B21" s="232" t="s">
        <v>5</v>
      </c>
      <c r="C21" s="197" t="s">
        <v>15</v>
      </c>
      <c r="D21" s="233" t="str">
        <f>IF(E21&lt;&gt;"",IF(K21&lt;&gt;"","C","O"),"")</f>
        <v>C</v>
      </c>
      <c r="E21" s="234">
        <v>44873.583333333336</v>
      </c>
      <c r="F21" s="200" t="s">
        <v>93</v>
      </c>
      <c r="G21" s="235">
        <v>3821.6</v>
      </c>
      <c r="H21" s="236">
        <v>3812.55</v>
      </c>
      <c r="I21" s="237">
        <f>ABS(G21-H21)</f>
        <v>9.0499999999997272</v>
      </c>
      <c r="J21" s="235">
        <v>3918.18</v>
      </c>
      <c r="K21" s="199">
        <v>44873.594444444447</v>
      </c>
      <c r="L21" s="235">
        <v>3812.07</v>
      </c>
      <c r="M21" s="238">
        <f>ROUND(IF(C21="L",(L21-G21),(G21-L21)),4)</f>
        <v>-9.5299999999999994</v>
      </c>
      <c r="N21" s="239">
        <f>IFERROR(ROUND((M21/I21),2),"")</f>
        <v>-1.05</v>
      </c>
      <c r="O21" s="240">
        <f>IF(D21="O",IF(N21&lt;0,N21,0),0)</f>
        <v>0</v>
      </c>
      <c r="P21" s="241">
        <f>IF(N21&gt;= 0,N21,0)</f>
        <v>0</v>
      </c>
      <c r="Q21" s="241">
        <f>IF(N21&lt;0,N21,0)</f>
        <v>-1.05</v>
      </c>
      <c r="R21" s="241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" s="242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16591</v>
      </c>
      <c r="T21" s="242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1" s="243">
        <f ca="1">IF(Tabla336106734812[[#This Row],[Equity]]&lt;Tabla336106734812[[#This Row],[Equity Peak]],(Tabla336106734812[[#This Row],[Equity Peak]]-Tabla336106734812[[#This Row],[Equity]])/Tabla336106734812[[#This Row],[Equity Peak]],"")</f>
        <v>3.9427975914775357E-2</v>
      </c>
      <c r="V21" s="244">
        <f>IF(B21="FX",N21,0)</f>
        <v>0</v>
      </c>
      <c r="W21" s="244">
        <f>IF(D21="O",IF(V21&lt;0,V21,0),0)</f>
        <v>0</v>
      </c>
      <c r="X21" s="244">
        <f>IF(B21="COM",N21,0)</f>
        <v>0</v>
      </c>
      <c r="Y21" s="244">
        <f>IF(D21="O",IF(X21&lt;0,X21,0),0)</f>
        <v>0</v>
      </c>
      <c r="Z21" s="244">
        <f>IF(B21="IND",N21,0)</f>
        <v>-1.05</v>
      </c>
      <c r="AA21" s="240">
        <f>IF(D21="O",IF(Z21&lt;0,Z21,0),0)</f>
        <v>0</v>
      </c>
      <c r="AB21" s="244">
        <f>IF(B21="CRYPTO",N21,0)</f>
        <v>0</v>
      </c>
      <c r="AC21" s="240">
        <f>IF(D21="O",IF(AB21&lt;0,AB21,0),0)</f>
        <v>0</v>
      </c>
      <c r="AD21" s="245">
        <f>IF(K21&lt;&gt;"",K21-E21,0)</f>
        <v>1.1111111110949423E-2</v>
      </c>
      <c r="AE21" s="245">
        <f>IF(N21&gt;0,AD21,0)</f>
        <v>0</v>
      </c>
      <c r="AF21" s="245">
        <f>IF(N21&lt;0,AD21,0)</f>
        <v>1.1111111110949423E-2</v>
      </c>
      <c r="AG21" s="245">
        <f>IF(N21=0,AD21,0)</f>
        <v>0</v>
      </c>
      <c r="AH21" s="176"/>
      <c r="AI21" s="109"/>
    </row>
    <row r="22" spans="1:35" s="112" customFormat="1" x14ac:dyDescent="0.3">
      <c r="A22" s="140"/>
      <c r="B22" s="232" t="s">
        <v>5</v>
      </c>
      <c r="C22" s="197" t="s">
        <v>15</v>
      </c>
      <c r="D22" s="233" t="str">
        <f>IF(E22&lt;&gt;"",IF(K22&lt;&gt;"","C","O"),"")</f>
        <v>C</v>
      </c>
      <c r="E22" s="234">
        <v>44872.895833333336</v>
      </c>
      <c r="F22" s="200" t="s">
        <v>93</v>
      </c>
      <c r="G22" s="235">
        <v>3802.61</v>
      </c>
      <c r="H22" s="236">
        <v>3791.39</v>
      </c>
      <c r="I22" s="237">
        <f>ABS(G22-H22)</f>
        <v>11.220000000000255</v>
      </c>
      <c r="J22" s="235">
        <v>3922.3</v>
      </c>
      <c r="K22" s="199">
        <v>44873.417361111111</v>
      </c>
      <c r="L22" s="235">
        <v>3794.32</v>
      </c>
      <c r="M22" s="238">
        <f>ROUND(IF(C22="L",(L22-G22),(G22-L22)),4)</f>
        <v>-8.2899999999999991</v>
      </c>
      <c r="N22" s="239">
        <f>IFERROR(ROUND((M22/I22),2),"")</f>
        <v>-0.74</v>
      </c>
      <c r="O22" s="240">
        <f>IF(D22="O",IF(N22&lt;0,N22,0),0)</f>
        <v>0</v>
      </c>
      <c r="P22" s="241">
        <f>IF(N22&gt;= 0,N22,0)</f>
        <v>0</v>
      </c>
      <c r="Q22" s="241">
        <f>IF(N22&lt;0,N22,0)</f>
        <v>-0.74</v>
      </c>
      <c r="R22" s="241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2" s="242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16696</v>
      </c>
      <c r="T22" s="242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2" s="243">
        <f ca="1">IF(Tabla336106734812[[#This Row],[Equity]]&lt;Tabla336106734812[[#This Row],[Equity Peak]],(Tabla336106734812[[#This Row],[Equity Peak]]-Tabla336106734812[[#This Row],[Equity]])/Tabla336106734812[[#This Row],[Equity Peak]],"")</f>
        <v>3.3348772579898101E-2</v>
      </c>
      <c r="V22" s="244">
        <f>IF(B22="FX",N22,0)</f>
        <v>0</v>
      </c>
      <c r="W22" s="244">
        <f>IF(D22="O",IF(V22&lt;0,V22,0),0)</f>
        <v>0</v>
      </c>
      <c r="X22" s="244">
        <f>IF(B22="COM",N22,0)</f>
        <v>0</v>
      </c>
      <c r="Y22" s="244">
        <f>IF(D22="O",IF(X22&lt;0,X22,0),0)</f>
        <v>0</v>
      </c>
      <c r="Z22" s="244">
        <f>IF(B22="IND",N22,0)</f>
        <v>-0.74</v>
      </c>
      <c r="AA22" s="240">
        <f>IF(D22="O",IF(Z22&lt;0,Z22,0),0)</f>
        <v>0</v>
      </c>
      <c r="AB22" s="244">
        <f>IF(B22="CRYPTO",N22,0)</f>
        <v>0</v>
      </c>
      <c r="AC22" s="240">
        <f>IF(D22="O",IF(AB22&lt;0,AB22,0),0)</f>
        <v>0</v>
      </c>
      <c r="AD22" s="245">
        <f>IF(K22&lt;&gt;"",K22-E22,0)</f>
        <v>0.52152777777519077</v>
      </c>
      <c r="AE22" s="245">
        <f>IF(N22&gt;0,AD22,0)</f>
        <v>0</v>
      </c>
      <c r="AF22" s="245">
        <f>IF(N22&lt;0,AD22,0)</f>
        <v>0.52152777777519077</v>
      </c>
      <c r="AG22" s="245">
        <f>IF(N22=0,AD22,0)</f>
        <v>0</v>
      </c>
      <c r="AH22" s="176"/>
      <c r="AI22" s="109"/>
    </row>
    <row r="23" spans="1:35" s="112" customFormat="1" x14ac:dyDescent="0.3">
      <c r="A23" s="140"/>
      <c r="B23" s="196" t="s">
        <v>5</v>
      </c>
      <c r="C23" s="197" t="s">
        <v>13</v>
      </c>
      <c r="D23" s="198" t="str">
        <f t="shared" ref="D23:D54" si="0">IF(E23&lt;&gt;"",IF(K23&lt;&gt;"","C","O"),"")</f>
        <v>C</v>
      </c>
      <c r="E23" s="199">
        <v>44867.9375</v>
      </c>
      <c r="F23" s="200" t="s">
        <v>93</v>
      </c>
      <c r="G23" s="201">
        <v>10977.43</v>
      </c>
      <c r="H23" s="201">
        <v>11021.4</v>
      </c>
      <c r="I23" s="202">
        <f t="shared" ref="I23:I54" si="1">ABS(G23-H23)</f>
        <v>43.969999999999345</v>
      </c>
      <c r="J23" s="201">
        <v>10508.41</v>
      </c>
      <c r="K23" s="199">
        <v>44868.727777777778</v>
      </c>
      <c r="L23" s="201">
        <v>10803.89</v>
      </c>
      <c r="M23" s="203">
        <f t="shared" ref="M23:M54" si="2">ROUND(IF(C23="L",(L23-G23),(G23-L23)),4)</f>
        <v>173.54</v>
      </c>
      <c r="N23" s="204">
        <f t="shared" ref="N23:N54" si="3">IFERROR(ROUND((M23/I23),2),"")</f>
        <v>3.95</v>
      </c>
      <c r="O23" s="205">
        <f t="shared" ref="O23:O54" si="4">IF(D23="O",IF(N23&lt;0,N23,0),0)</f>
        <v>0</v>
      </c>
      <c r="P23" s="206">
        <f t="shared" ref="P23:P54" si="5">IF(N23&gt;= 0,N23,0)</f>
        <v>3.95</v>
      </c>
      <c r="Q23" s="206">
        <f t="shared" ref="Q23:Q54" si="6">IF(N23&lt;0,N23,0)</f>
        <v>0</v>
      </c>
      <c r="R2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16770</v>
      </c>
      <c r="T2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3" s="208">
        <f ca="1">IF(Tabla336106734812[[#This Row],[Equity]]&lt;Tabla336106734812[[#This Row],[Equity Peak]],(Tabla336106734812[[#This Row],[Equity Peak]]-Tabla336106734812[[#This Row],[Equity]])/Tabla336106734812[[#This Row],[Equity Peak]],"")</f>
        <v>2.9064381658175081E-2</v>
      </c>
      <c r="V23" s="209">
        <f t="shared" ref="V23:V54" si="7">IF(B23="FX",N23,0)</f>
        <v>0</v>
      </c>
      <c r="W23" s="209">
        <f t="shared" ref="W23:W54" si="8">IF(D23="O",IF(V23&lt;0,V23,0),0)</f>
        <v>0</v>
      </c>
      <c r="X23" s="209">
        <f t="shared" ref="X23:X54" si="9">IF(B23="COM",N23,0)</f>
        <v>0</v>
      </c>
      <c r="Y23" s="209">
        <f t="shared" ref="Y23:Y54" si="10">IF(D23="O",IF(X23&lt;0,X23,0),0)</f>
        <v>0</v>
      </c>
      <c r="Z23" s="209">
        <f t="shared" ref="Z23:Z54" si="11">IF(B23="IND",N23,0)</f>
        <v>3.95</v>
      </c>
      <c r="AA23" s="205">
        <f t="shared" ref="AA23:AA54" si="12">IF(D23="O",IF(Z23&lt;0,Z23,0),0)</f>
        <v>0</v>
      </c>
      <c r="AB23" s="209">
        <f t="shared" ref="AB23:AB54" si="13">IF(B23="CRYPTO",N23,0)</f>
        <v>0</v>
      </c>
      <c r="AC23" s="205">
        <f t="shared" ref="AC23:AC54" si="14">IF(D23="O",IF(AB23&lt;0,AB23,0),0)</f>
        <v>0</v>
      </c>
      <c r="AD23" s="210">
        <f t="shared" ref="AD23:AD54" si="15">IF(K23&lt;&gt;"",K23-E23,0)</f>
        <v>0.79027777777810115</v>
      </c>
      <c r="AE23" s="210">
        <f t="shared" ref="AE23:AE54" si="16">IF(N23&gt;0,AD23,0)</f>
        <v>0.79027777777810115</v>
      </c>
      <c r="AF23" s="210">
        <f t="shared" ref="AF23:AF54" si="17">IF(N23&lt;0,AD23,0)</f>
        <v>0</v>
      </c>
      <c r="AG23" s="210">
        <f t="shared" ref="AG23:AG54" si="18">IF(N23=0,AD23,0)</f>
        <v>0</v>
      </c>
      <c r="AH23" s="176"/>
      <c r="AI23" s="109"/>
    </row>
    <row r="24" spans="1:35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44867.916666666664</v>
      </c>
      <c r="F24" s="200" t="s">
        <v>93</v>
      </c>
      <c r="G24" s="201">
        <v>11116.58</v>
      </c>
      <c r="H24" s="201">
        <v>11156.71</v>
      </c>
      <c r="I24" s="202">
        <f t="shared" si="1"/>
        <v>40.1299999999992</v>
      </c>
      <c r="J24" s="201">
        <v>10688.49</v>
      </c>
      <c r="K24" s="199">
        <v>44867.920138888891</v>
      </c>
      <c r="L24" s="201">
        <v>11156.71</v>
      </c>
      <c r="M24" s="203">
        <f t="shared" si="2"/>
        <v>-40.130000000000003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16375</v>
      </c>
      <c r="T2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4" s="208">
        <f ca="1">IF(Tabla336106734812[[#This Row],[Equity]]&lt;Tabla336106734812[[#This Row],[Equity Peak]],(Tabla336106734812[[#This Row],[Equity Peak]]-Tabla336106734812[[#This Row],[Equity]])/Tabla336106734812[[#This Row],[Equity Peak]],"")</f>
        <v>5.1933765632237144E-2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3.4722222262644209E-3</v>
      </c>
      <c r="AE24" s="210">
        <f t="shared" si="16"/>
        <v>0</v>
      </c>
      <c r="AF24" s="210">
        <f t="shared" si="17"/>
        <v>3.4722222262644209E-3</v>
      </c>
      <c r="AG24" s="210">
        <f t="shared" si="18"/>
        <v>0</v>
      </c>
    </row>
    <row r="25" spans="1:35" ht="15" customHeight="1" x14ac:dyDescent="0.3">
      <c r="B25" s="196" t="s">
        <v>5</v>
      </c>
      <c r="C25" s="197" t="s">
        <v>13</v>
      </c>
      <c r="D25" s="198" t="str">
        <f t="shared" si="0"/>
        <v>C</v>
      </c>
      <c r="E25" s="199">
        <v>44867.71875</v>
      </c>
      <c r="F25" s="200" t="s">
        <v>93</v>
      </c>
      <c r="G25" s="201">
        <v>11223.43</v>
      </c>
      <c r="H25" s="201">
        <v>11254.79</v>
      </c>
      <c r="I25" s="202">
        <f t="shared" si="1"/>
        <v>31.360000000000582</v>
      </c>
      <c r="J25" s="201">
        <v>10888.88</v>
      </c>
      <c r="K25" s="199">
        <v>44867.868750000001</v>
      </c>
      <c r="L25" s="201">
        <v>11227.26</v>
      </c>
      <c r="M25" s="203">
        <f t="shared" si="2"/>
        <v>-3.83</v>
      </c>
      <c r="N25" s="204">
        <f t="shared" si="3"/>
        <v>-0.12</v>
      </c>
      <c r="O25" s="205">
        <f t="shared" si="4"/>
        <v>0</v>
      </c>
      <c r="P25" s="206">
        <f t="shared" si="5"/>
        <v>0</v>
      </c>
      <c r="Q25" s="206">
        <f t="shared" si="6"/>
        <v>-0.12</v>
      </c>
      <c r="R2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16475</v>
      </c>
      <c r="T2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5" s="208">
        <f ca="1">IF(Tabla336106734812[[#This Row],[Equity]]&lt;Tabla336106734812[[#This Row],[Equity Peak]],(Tabla336106734812[[#This Row],[Equity Peak]]-Tabla336106734812[[#This Row],[Equity]])/Tabla336106734812[[#This Row],[Equity Peak]],"")</f>
        <v>4.614404817044928E-2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-0.12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0.15000000000145519</v>
      </c>
      <c r="AE25" s="210">
        <f t="shared" si="16"/>
        <v>0</v>
      </c>
      <c r="AF25" s="210">
        <f t="shared" si="17"/>
        <v>0.15000000000145519</v>
      </c>
      <c r="AG25" s="210">
        <f t="shared" si="18"/>
        <v>0</v>
      </c>
    </row>
    <row r="26" spans="1:35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44866.96875</v>
      </c>
      <c r="F26" s="200" t="s">
        <v>93</v>
      </c>
      <c r="G26" s="201">
        <v>11256.66</v>
      </c>
      <c r="H26" s="201">
        <v>11290.99</v>
      </c>
      <c r="I26" s="202">
        <f t="shared" si="1"/>
        <v>34.329999999999927</v>
      </c>
      <c r="J26" s="201">
        <v>10890.44</v>
      </c>
      <c r="K26" s="199">
        <v>44867.041666666664</v>
      </c>
      <c r="L26" s="201">
        <v>11290.99</v>
      </c>
      <c r="M26" s="203">
        <f t="shared" si="2"/>
        <v>-34.33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16487</v>
      </c>
      <c r="T2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6" s="208">
        <f ca="1">IF(Tabla336106734812[[#This Row],[Equity]]&lt;Tabla336106734812[[#This Row],[Equity Peak]],(Tabla336106734812[[#This Row],[Equity Peak]]-Tabla336106734812[[#This Row],[Equity]])/Tabla336106734812[[#This Row],[Equity Peak]],"")</f>
        <v>4.5449282075034736E-2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-1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7.2916666664241347E-2</v>
      </c>
      <c r="AE26" s="210">
        <f t="shared" si="16"/>
        <v>0</v>
      </c>
      <c r="AF26" s="210">
        <f t="shared" si="17"/>
        <v>7.2916666664241347E-2</v>
      </c>
      <c r="AG26" s="210">
        <f t="shared" si="18"/>
        <v>0</v>
      </c>
    </row>
    <row r="27" spans="1:35" ht="15" customHeight="1" x14ac:dyDescent="0.3">
      <c r="B27" s="196" t="s">
        <v>5</v>
      </c>
      <c r="C27" s="197" t="s">
        <v>13</v>
      </c>
      <c r="D27" s="198" t="str">
        <f t="shared" si="0"/>
        <v>C</v>
      </c>
      <c r="E27" s="199">
        <v>44861.885416666664</v>
      </c>
      <c r="F27" s="200" t="s">
        <v>93</v>
      </c>
      <c r="G27" s="201">
        <v>11192.19</v>
      </c>
      <c r="H27" s="201">
        <v>11242.26</v>
      </c>
      <c r="I27" s="202">
        <f t="shared" si="1"/>
        <v>50.069999999999709</v>
      </c>
      <c r="J27" s="201">
        <v>10658.16</v>
      </c>
      <c r="K27" s="199">
        <v>44862.041666666664</v>
      </c>
      <c r="L27" s="201">
        <v>11088.28</v>
      </c>
      <c r="M27" s="203">
        <f t="shared" si="2"/>
        <v>103.91</v>
      </c>
      <c r="N27" s="204">
        <f t="shared" si="3"/>
        <v>2.08</v>
      </c>
      <c r="O27" s="205">
        <f t="shared" si="4"/>
        <v>0</v>
      </c>
      <c r="P27" s="206">
        <f t="shared" si="5"/>
        <v>2.08</v>
      </c>
      <c r="Q27" s="206">
        <f t="shared" si="6"/>
        <v>0</v>
      </c>
      <c r="R2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16587</v>
      </c>
      <c r="T2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7" s="208">
        <f ca="1">IF(Tabla336106734812[[#This Row],[Equity]]&lt;Tabla336106734812[[#This Row],[Equity Peak]],(Tabla336106734812[[#This Row],[Equity Peak]]-Tabla336106734812[[#This Row],[Equity]])/Tabla336106734812[[#This Row],[Equity Peak]],"")</f>
        <v>3.9659564613246871E-2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2.08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0.15625</v>
      </c>
      <c r="AE27" s="210">
        <f t="shared" si="16"/>
        <v>0.15625</v>
      </c>
      <c r="AF27" s="210">
        <f t="shared" si="17"/>
        <v>0</v>
      </c>
      <c r="AG27" s="210">
        <f t="shared" si="18"/>
        <v>0</v>
      </c>
    </row>
    <row r="28" spans="1:35" ht="15" customHeight="1" x14ac:dyDescent="0.3">
      <c r="B28" s="196" t="s">
        <v>5</v>
      </c>
      <c r="C28" s="197" t="s">
        <v>13</v>
      </c>
      <c r="D28" s="198" t="str">
        <f t="shared" si="0"/>
        <v>C</v>
      </c>
      <c r="E28" s="199">
        <v>44861.8125</v>
      </c>
      <c r="F28" s="200" t="s">
        <v>93</v>
      </c>
      <c r="G28" s="201">
        <v>11200.19</v>
      </c>
      <c r="H28" s="201">
        <v>11250.06</v>
      </c>
      <c r="I28" s="202">
        <f t="shared" si="1"/>
        <v>49.869999999998981</v>
      </c>
      <c r="J28" s="201">
        <v>10668.21</v>
      </c>
      <c r="K28" s="199">
        <v>44861.824999999997</v>
      </c>
      <c r="L28" s="201">
        <v>11250.06</v>
      </c>
      <c r="M28" s="203">
        <f t="shared" si="2"/>
        <v>-49.87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16379</v>
      </c>
      <c r="T2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8" s="208">
        <f ca="1">IF(Tabla336106734812[[#This Row],[Equity]]&lt;Tabla336106734812[[#This Row],[Equity Peak]],(Tabla336106734812[[#This Row],[Equity Peak]]-Tabla336106734812[[#This Row],[Equity]])/Tabla336106734812[[#This Row],[Equity Peak]],"")</f>
        <v>5.170217693376563E-2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-1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1.2499999997089617E-2</v>
      </c>
      <c r="AE28" s="210">
        <f t="shared" si="16"/>
        <v>0</v>
      </c>
      <c r="AF28" s="210">
        <f t="shared" si="17"/>
        <v>1.2499999997089617E-2</v>
      </c>
      <c r="AG28" s="210">
        <f t="shared" si="18"/>
        <v>0</v>
      </c>
    </row>
    <row r="29" spans="1:35" ht="15" customHeight="1" x14ac:dyDescent="0.3">
      <c r="B29" s="196" t="s">
        <v>5</v>
      </c>
      <c r="C29" s="197" t="s">
        <v>13</v>
      </c>
      <c r="D29" s="198" t="str">
        <f t="shared" si="0"/>
        <v>C</v>
      </c>
      <c r="E29" s="199">
        <v>44861.708333333336</v>
      </c>
      <c r="F29" s="200" t="s">
        <v>93</v>
      </c>
      <c r="G29" s="201">
        <v>11242.69</v>
      </c>
      <c r="H29" s="201">
        <v>11288.99</v>
      </c>
      <c r="I29" s="202">
        <f t="shared" si="1"/>
        <v>46.299999999999272</v>
      </c>
      <c r="J29" s="201">
        <v>10748.8</v>
      </c>
      <c r="K29" s="199">
        <v>44861.711805555555</v>
      </c>
      <c r="L29" s="201">
        <v>11288.99</v>
      </c>
      <c r="M29" s="203">
        <f t="shared" si="2"/>
        <v>-46.3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16479</v>
      </c>
      <c r="T2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29" s="208">
        <f ca="1">IF(Tabla336106734812[[#This Row],[Equity]]&lt;Tabla336106734812[[#This Row],[Equity Peak]],(Tabla336106734812[[#This Row],[Equity Peak]]-Tabla336106734812[[#This Row],[Equity]])/Tabla336106734812[[#This Row],[Equity Peak]],"")</f>
        <v>4.5912459471977765E-2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-1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3.4722222189884633E-3</v>
      </c>
      <c r="AE29" s="210">
        <f t="shared" si="16"/>
        <v>0</v>
      </c>
      <c r="AF29" s="210">
        <f t="shared" si="17"/>
        <v>3.4722222189884633E-3</v>
      </c>
      <c r="AG29" s="210">
        <f t="shared" si="18"/>
        <v>0</v>
      </c>
    </row>
    <row r="30" spans="1:35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44859.697916666664</v>
      </c>
      <c r="F30" s="200" t="s">
        <v>93</v>
      </c>
      <c r="G30" s="201">
        <v>11508.47</v>
      </c>
      <c r="H30" s="201">
        <v>11471.43</v>
      </c>
      <c r="I30" s="202">
        <f t="shared" si="1"/>
        <v>37.039999999999054</v>
      </c>
      <c r="J30" s="201">
        <v>11903.54</v>
      </c>
      <c r="K30" s="199">
        <v>44859.959027777775</v>
      </c>
      <c r="L30" s="201">
        <v>11583.4</v>
      </c>
      <c r="M30" s="203">
        <f t="shared" si="2"/>
        <v>74.930000000000007</v>
      </c>
      <c r="N30" s="204">
        <f t="shared" si="3"/>
        <v>2.02</v>
      </c>
      <c r="O30" s="205">
        <f t="shared" si="4"/>
        <v>0</v>
      </c>
      <c r="P30" s="206">
        <f t="shared" si="5"/>
        <v>2.02</v>
      </c>
      <c r="Q30" s="206">
        <f t="shared" si="6"/>
        <v>0</v>
      </c>
      <c r="R3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16579</v>
      </c>
      <c r="T3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0" s="208">
        <f ca="1">IF(Tabla336106734812[[#This Row],[Equity]]&lt;Tabla336106734812[[#This Row],[Equity Peak]],(Tabla336106734812[[#This Row],[Equity Peak]]-Tabla336106734812[[#This Row],[Equity]])/Tabla336106734812[[#This Row],[Equity Peak]],"")</f>
        <v>4.01227420101899E-2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2.02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0.26111111111094942</v>
      </c>
      <c r="AE30" s="210">
        <f t="shared" si="16"/>
        <v>0.26111111111094942</v>
      </c>
      <c r="AF30" s="210">
        <f t="shared" si="17"/>
        <v>0</v>
      </c>
      <c r="AG30" s="210">
        <f t="shared" si="18"/>
        <v>0</v>
      </c>
    </row>
    <row r="31" spans="1:35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44855.927083333336</v>
      </c>
      <c r="F31" s="200" t="s">
        <v>93</v>
      </c>
      <c r="G31" s="201">
        <v>11279.68</v>
      </c>
      <c r="H31" s="201">
        <v>11231.02</v>
      </c>
      <c r="I31" s="202">
        <f t="shared" si="1"/>
        <v>48.659999999999854</v>
      </c>
      <c r="J31" s="201">
        <v>11798.75</v>
      </c>
      <c r="K31" s="199">
        <v>44858.256249999999</v>
      </c>
      <c r="L31" s="201">
        <v>11331.01</v>
      </c>
      <c r="M31" s="203">
        <f t="shared" si="2"/>
        <v>51.33</v>
      </c>
      <c r="N31" s="204">
        <f t="shared" si="3"/>
        <v>1.05</v>
      </c>
      <c r="O31" s="205">
        <f t="shared" si="4"/>
        <v>0</v>
      </c>
      <c r="P31" s="206">
        <f t="shared" si="5"/>
        <v>1.05</v>
      </c>
      <c r="Q31" s="206">
        <f t="shared" si="6"/>
        <v>0</v>
      </c>
      <c r="R3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16377</v>
      </c>
      <c r="T3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1" s="208">
        <f ca="1">IF(Tabla336106734812[[#This Row],[Equity]]&lt;Tabla336106734812[[#This Row],[Equity Peak]],(Tabla336106734812[[#This Row],[Equity Peak]]-Tabla336106734812[[#This Row],[Equity]])/Tabla336106734812[[#This Row],[Equity Peak]],"")</f>
        <v>5.1817971283001391E-2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1.05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2.3291666666627862</v>
      </c>
      <c r="AE31" s="210">
        <f t="shared" si="16"/>
        <v>2.3291666666627862</v>
      </c>
      <c r="AF31" s="210">
        <f t="shared" si="17"/>
        <v>0</v>
      </c>
      <c r="AG31" s="210">
        <f t="shared" si="18"/>
        <v>0</v>
      </c>
    </row>
    <row r="32" spans="1:35" ht="15" customHeight="1" x14ac:dyDescent="0.3">
      <c r="B32" s="196" t="s">
        <v>5</v>
      </c>
      <c r="C32" s="197" t="s">
        <v>13</v>
      </c>
      <c r="D32" s="198" t="str">
        <f t="shared" si="0"/>
        <v>C</v>
      </c>
      <c r="E32" s="199">
        <v>44855.489583333336</v>
      </c>
      <c r="F32" s="200" t="s">
        <v>93</v>
      </c>
      <c r="G32" s="201">
        <v>10928.31</v>
      </c>
      <c r="H32" s="201">
        <v>10978.97</v>
      </c>
      <c r="I32" s="202">
        <f t="shared" si="1"/>
        <v>50.659999999999854</v>
      </c>
      <c r="J32" s="201">
        <v>10387.9</v>
      </c>
      <c r="K32" s="199">
        <v>44855.667361111111</v>
      </c>
      <c r="L32" s="201">
        <v>10978.97</v>
      </c>
      <c r="M32" s="203">
        <f t="shared" si="2"/>
        <v>-50.66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16272</v>
      </c>
      <c r="T3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2" s="208">
        <f ca="1">IF(Tabla336106734812[[#This Row],[Equity]]&lt;Tabla336106734812[[#This Row],[Equity Peak]],(Tabla336106734812[[#This Row],[Equity Peak]]-Tabla336106734812[[#This Row],[Equity]])/Tabla336106734812[[#This Row],[Equity Peak]],"")</f>
        <v>5.7897174617878647E-2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-1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0.17777777777519077</v>
      </c>
      <c r="AE32" s="210">
        <f t="shared" si="16"/>
        <v>0</v>
      </c>
      <c r="AF32" s="210">
        <f t="shared" si="17"/>
        <v>0.17777777777519077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13</v>
      </c>
      <c r="D33" s="198" t="str">
        <f t="shared" si="0"/>
        <v>C</v>
      </c>
      <c r="E33" s="199">
        <v>44855.09375</v>
      </c>
      <c r="F33" s="200" t="s">
        <v>93</v>
      </c>
      <c r="G33" s="201">
        <v>10944.58</v>
      </c>
      <c r="H33" s="201">
        <v>11000.51</v>
      </c>
      <c r="I33" s="202">
        <f t="shared" si="1"/>
        <v>55.930000000000291</v>
      </c>
      <c r="J33" s="201">
        <v>10348.02</v>
      </c>
      <c r="K33" s="199">
        <v>44855.252083333333</v>
      </c>
      <c r="L33" s="201">
        <v>11000.51</v>
      </c>
      <c r="M33" s="203">
        <f t="shared" si="2"/>
        <v>-55.93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16372</v>
      </c>
      <c r="T3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3" s="208">
        <f ca="1">IF(Tabla336106734812[[#This Row],[Equity]]&lt;Tabla336106734812[[#This Row],[Equity Peak]],(Tabla336106734812[[#This Row],[Equity Peak]]-Tabla336106734812[[#This Row],[Equity]])/Tabla336106734812[[#This Row],[Equity Peak]],"")</f>
        <v>5.2107457156090782E-2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-1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0.15833333333284827</v>
      </c>
      <c r="AE33" s="210">
        <f t="shared" si="16"/>
        <v>0</v>
      </c>
      <c r="AF33" s="210">
        <f t="shared" si="17"/>
        <v>0.15833333333284827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0"/>
        <v>C</v>
      </c>
      <c r="E34" s="199">
        <v>44854.15625</v>
      </c>
      <c r="F34" s="200" t="s">
        <v>93</v>
      </c>
      <c r="G34" s="201">
        <v>10995.24</v>
      </c>
      <c r="H34" s="201">
        <v>11047.65</v>
      </c>
      <c r="I34" s="202">
        <f t="shared" si="1"/>
        <v>52.409999999999854</v>
      </c>
      <c r="J34" s="201">
        <v>10436.16</v>
      </c>
      <c r="K34" s="199">
        <v>44854.34097222222</v>
      </c>
      <c r="L34" s="201">
        <v>11047.65</v>
      </c>
      <c r="M34" s="203">
        <f t="shared" si="2"/>
        <v>-52.41</v>
      </c>
      <c r="N34" s="204">
        <f t="shared" si="3"/>
        <v>-1</v>
      </c>
      <c r="O34" s="205">
        <f t="shared" si="4"/>
        <v>0</v>
      </c>
      <c r="P34" s="206">
        <f t="shared" si="5"/>
        <v>0</v>
      </c>
      <c r="Q34" s="206">
        <f t="shared" si="6"/>
        <v>-1</v>
      </c>
      <c r="R3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16472</v>
      </c>
      <c r="T3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4" s="208">
        <f ca="1">IF(Tabla336106734812[[#This Row],[Equity]]&lt;Tabla336106734812[[#This Row],[Equity Peak]],(Tabla336106734812[[#This Row],[Equity Peak]]-Tabla336106734812[[#This Row],[Equity]])/Tabla336106734812[[#This Row],[Equity Peak]],"")</f>
        <v>4.6317739694302917E-2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-1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0.18472222222044365</v>
      </c>
      <c r="AE34" s="210">
        <f t="shared" si="16"/>
        <v>0</v>
      </c>
      <c r="AF34" s="210">
        <f t="shared" si="17"/>
        <v>0.18472222222044365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0"/>
        <v>C</v>
      </c>
      <c r="E35" s="199">
        <v>44852.635416666664</v>
      </c>
      <c r="F35" s="200" t="s">
        <v>93</v>
      </c>
      <c r="G35" s="201">
        <v>11312.42</v>
      </c>
      <c r="H35" s="201">
        <v>11267.44</v>
      </c>
      <c r="I35" s="202">
        <f t="shared" si="1"/>
        <v>44.979999999999563</v>
      </c>
      <c r="J35" s="201">
        <v>11792.19</v>
      </c>
      <c r="K35" s="199">
        <v>44852.703472222223</v>
      </c>
      <c r="L35" s="201">
        <v>11267.44</v>
      </c>
      <c r="M35" s="203">
        <f t="shared" si="2"/>
        <v>-44.98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16572</v>
      </c>
      <c r="T3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5" s="208">
        <f ca="1">IF(Tabla336106734812[[#This Row],[Equity]]&lt;Tabla336106734812[[#This Row],[Equity Peak]],(Tabla336106734812[[#This Row],[Equity Peak]]-Tabla336106734812[[#This Row],[Equity]])/Tabla336106734812[[#This Row],[Equity Peak]],"")</f>
        <v>4.0528022232515053E-2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-1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6.805555555911269E-2</v>
      </c>
      <c r="AE35" s="210">
        <f t="shared" si="16"/>
        <v>0</v>
      </c>
      <c r="AF35" s="210">
        <f t="shared" si="17"/>
        <v>6.805555555911269E-2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0"/>
        <v>C</v>
      </c>
      <c r="E36" s="199">
        <v>44852.28125</v>
      </c>
      <c r="F36" s="200" t="s">
        <v>93</v>
      </c>
      <c r="G36" s="201">
        <v>11239.19</v>
      </c>
      <c r="H36" s="201">
        <v>11196.55</v>
      </c>
      <c r="I36" s="202">
        <f t="shared" si="1"/>
        <v>42.640000000001237</v>
      </c>
      <c r="J36" s="201">
        <v>11694</v>
      </c>
      <c r="K36" s="199">
        <v>44852.5</v>
      </c>
      <c r="L36" s="201">
        <v>11196.55</v>
      </c>
      <c r="M36" s="203">
        <f t="shared" si="2"/>
        <v>-42.64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16672</v>
      </c>
      <c r="T3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6" s="208">
        <f ca="1">IF(Tabla336106734812[[#This Row],[Equity]]&lt;Tabla336106734812[[#This Row],[Equity Peak]],(Tabla336106734812[[#This Row],[Equity Peak]]-Tabla336106734812[[#This Row],[Equity]])/Tabla336106734812[[#This Row],[Equity Peak]],"")</f>
        <v>3.4738304770727188E-2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-1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0.21875</v>
      </c>
      <c r="AE36" s="210">
        <f t="shared" si="16"/>
        <v>0</v>
      </c>
      <c r="AF36" s="210">
        <f t="shared" si="17"/>
        <v>0.21875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0"/>
        <v>C</v>
      </c>
      <c r="E37" s="199">
        <v>44848.666666666664</v>
      </c>
      <c r="F37" s="200" t="s">
        <v>93</v>
      </c>
      <c r="G37" s="201">
        <v>11160.09</v>
      </c>
      <c r="H37" s="201">
        <v>11093.49</v>
      </c>
      <c r="I37" s="202">
        <f t="shared" si="1"/>
        <v>66.600000000000364</v>
      </c>
      <c r="J37" s="201">
        <v>11870.52</v>
      </c>
      <c r="K37" s="199">
        <v>44848.688888888886</v>
      </c>
      <c r="L37" s="201">
        <v>11093.49</v>
      </c>
      <c r="M37" s="203">
        <f t="shared" si="2"/>
        <v>-66.599999999999994</v>
      </c>
      <c r="N37" s="204">
        <f t="shared" si="3"/>
        <v>-1</v>
      </c>
      <c r="O37" s="205">
        <f t="shared" si="4"/>
        <v>0</v>
      </c>
      <c r="P37" s="206">
        <f t="shared" si="5"/>
        <v>0</v>
      </c>
      <c r="Q37" s="206">
        <f t="shared" si="6"/>
        <v>-1</v>
      </c>
      <c r="R3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16772</v>
      </c>
      <c r="T3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7" s="208">
        <f ca="1">IF(Tabla336106734812[[#This Row],[Equity]]&lt;Tabla336106734812[[#This Row],[Equity Peak]],(Tabla336106734812[[#This Row],[Equity Peak]]-Tabla336106734812[[#This Row],[Equity]])/Tabla336106734812[[#This Row],[Equity Peak]],"")</f>
        <v>2.8948587308939323E-2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-1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2.2222222221898846E-2</v>
      </c>
      <c r="AE37" s="210">
        <f t="shared" si="16"/>
        <v>0</v>
      </c>
      <c r="AF37" s="210">
        <f t="shared" si="17"/>
        <v>2.2222222221898846E-2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13</v>
      </c>
      <c r="D38" s="198" t="str">
        <f t="shared" si="0"/>
        <v>C</v>
      </c>
      <c r="E38" s="199">
        <v>44847.65625</v>
      </c>
      <c r="F38" s="200" t="s">
        <v>93</v>
      </c>
      <c r="G38" s="201">
        <v>10473.549999999999</v>
      </c>
      <c r="H38" s="201">
        <v>10517.16</v>
      </c>
      <c r="I38" s="202">
        <f t="shared" si="1"/>
        <v>43.610000000000582</v>
      </c>
      <c r="J38" s="201">
        <v>10008.39</v>
      </c>
      <c r="K38" s="199">
        <v>44847.700694444444</v>
      </c>
      <c r="L38" s="201">
        <v>10517.16</v>
      </c>
      <c r="M38" s="203">
        <f t="shared" si="2"/>
        <v>-43.61</v>
      </c>
      <c r="N38" s="204">
        <f t="shared" si="3"/>
        <v>-1</v>
      </c>
      <c r="O38" s="205">
        <f t="shared" si="4"/>
        <v>0</v>
      </c>
      <c r="P38" s="206">
        <f t="shared" si="5"/>
        <v>0</v>
      </c>
      <c r="Q38" s="206">
        <f t="shared" si="6"/>
        <v>-1</v>
      </c>
      <c r="R3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16872</v>
      </c>
      <c r="T3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8" s="208">
        <f ca="1">IF(Tabla336106734812[[#This Row],[Equity]]&lt;Tabla336106734812[[#This Row],[Equity Peak]],(Tabla336106734812[[#This Row],[Equity Peak]]-Tabla336106734812[[#This Row],[Equity]])/Tabla336106734812[[#This Row],[Equity Peak]],"")</f>
        <v>2.3158869847151459E-2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-1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4.4444444443797693E-2</v>
      </c>
      <c r="AE38" s="210">
        <f t="shared" si="16"/>
        <v>0</v>
      </c>
      <c r="AF38" s="210">
        <f t="shared" si="17"/>
        <v>4.4444444443797693E-2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13</v>
      </c>
      <c r="D39" s="198" t="str">
        <f t="shared" si="0"/>
        <v>C</v>
      </c>
      <c r="E39" s="199">
        <v>44845.708333333336</v>
      </c>
      <c r="F39" s="200" t="s">
        <v>93</v>
      </c>
      <c r="G39" s="201">
        <v>10762.04</v>
      </c>
      <c r="H39" s="201">
        <v>10808.38</v>
      </c>
      <c r="I39" s="202">
        <f t="shared" si="1"/>
        <v>46.339999999998327</v>
      </c>
      <c r="J39" s="201">
        <v>10267.75</v>
      </c>
      <c r="K39" s="199">
        <v>44845.73541666667</v>
      </c>
      <c r="L39" s="201">
        <v>10808.38</v>
      </c>
      <c r="M39" s="203">
        <f t="shared" si="2"/>
        <v>-46.34</v>
      </c>
      <c r="N39" s="204">
        <f t="shared" si="3"/>
        <v>-1</v>
      </c>
      <c r="O39" s="205">
        <f t="shared" si="4"/>
        <v>0</v>
      </c>
      <c r="P39" s="206">
        <f t="shared" si="5"/>
        <v>0</v>
      </c>
      <c r="Q39" s="206">
        <f t="shared" si="6"/>
        <v>-1</v>
      </c>
      <c r="R3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16972</v>
      </c>
      <c r="T3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39" s="208">
        <f ca="1">IF(Tabla336106734812[[#This Row],[Equity]]&lt;Tabla336106734812[[#This Row],[Equity Peak]],(Tabla336106734812[[#This Row],[Equity Peak]]-Tabla336106734812[[#This Row],[Equity]])/Tabla336106734812[[#This Row],[Equity Peak]],"")</f>
        <v>1.7369152385363594E-2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-1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2.7083333334303461E-2</v>
      </c>
      <c r="AE39" s="210">
        <f t="shared" si="16"/>
        <v>0</v>
      </c>
      <c r="AF39" s="210">
        <f t="shared" si="17"/>
        <v>2.7083333334303461E-2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13</v>
      </c>
      <c r="D40" s="198" t="str">
        <f t="shared" si="0"/>
        <v>C</v>
      </c>
      <c r="E40" s="199">
        <v>44844.8125</v>
      </c>
      <c r="F40" s="200" t="s">
        <v>93</v>
      </c>
      <c r="G40" s="201">
        <v>10857.63</v>
      </c>
      <c r="H40" s="201">
        <v>10902.07</v>
      </c>
      <c r="I40" s="202">
        <f t="shared" si="1"/>
        <v>44.440000000000509</v>
      </c>
      <c r="J40" s="201">
        <v>10383.620000000001</v>
      </c>
      <c r="K40" s="199">
        <v>44844.856249999997</v>
      </c>
      <c r="L40" s="201">
        <v>10902.07</v>
      </c>
      <c r="M40" s="203">
        <f t="shared" si="2"/>
        <v>-44.44</v>
      </c>
      <c r="N40" s="204">
        <f t="shared" si="3"/>
        <v>-1</v>
      </c>
      <c r="O40" s="205">
        <f t="shared" si="4"/>
        <v>0</v>
      </c>
      <c r="P40" s="206">
        <f t="shared" si="5"/>
        <v>0</v>
      </c>
      <c r="Q40" s="206">
        <f t="shared" si="6"/>
        <v>-1</v>
      </c>
      <c r="R4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17072</v>
      </c>
      <c r="T4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40" s="208">
        <f ca="1">IF(Tabla336106734812[[#This Row],[Equity]]&lt;Tabla336106734812[[#This Row],[Equity Peak]],(Tabla336106734812[[#This Row],[Equity Peak]]-Tabla336106734812[[#This Row],[Equity]])/Tabla336106734812[[#This Row],[Equity Peak]],"")</f>
        <v>1.1579434923575729E-2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-1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4.3749999997089617E-2</v>
      </c>
      <c r="AE40" s="210">
        <f t="shared" si="16"/>
        <v>0</v>
      </c>
      <c r="AF40" s="210">
        <f t="shared" si="17"/>
        <v>4.3749999997089617E-2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13</v>
      </c>
      <c r="D41" s="198" t="str">
        <f t="shared" si="0"/>
        <v>C</v>
      </c>
      <c r="E41" s="199">
        <v>44844.739583333336</v>
      </c>
      <c r="F41" s="200" t="s">
        <v>93</v>
      </c>
      <c r="G41" s="201">
        <v>10900.01</v>
      </c>
      <c r="H41" s="201">
        <v>10943.32</v>
      </c>
      <c r="I41" s="202">
        <f t="shared" si="1"/>
        <v>43.309999999999491</v>
      </c>
      <c r="J41" s="201">
        <v>10438</v>
      </c>
      <c r="K41" s="199">
        <v>44844.784722222219</v>
      </c>
      <c r="L41" s="201">
        <v>10943.32</v>
      </c>
      <c r="M41" s="203">
        <f t="shared" si="2"/>
        <v>-43.31</v>
      </c>
      <c r="N41" s="204">
        <f t="shared" si="3"/>
        <v>-1</v>
      </c>
      <c r="O41" s="205">
        <f t="shared" si="4"/>
        <v>0</v>
      </c>
      <c r="P41" s="206">
        <f t="shared" si="5"/>
        <v>0</v>
      </c>
      <c r="Q41" s="206">
        <f t="shared" si="6"/>
        <v>-1</v>
      </c>
      <c r="R4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17172</v>
      </c>
      <c r="T4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41" s="208">
        <f ca="1">IF(Tabla336106734812[[#This Row],[Equity]]&lt;Tabla336106734812[[#This Row],[Equity Peak]],(Tabla336106734812[[#This Row],[Equity Peak]]-Tabla336106734812[[#This Row],[Equity]])/Tabla336106734812[[#This Row],[Equity Peak]],"")</f>
        <v>5.7897174617878647E-3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-1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4.5138888883229811E-2</v>
      </c>
      <c r="AE41" s="210">
        <f t="shared" si="16"/>
        <v>0</v>
      </c>
      <c r="AF41" s="210">
        <f t="shared" si="17"/>
        <v>4.5138888883229811E-2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13</v>
      </c>
      <c r="D42" s="198" t="str">
        <f t="shared" si="0"/>
        <v>C</v>
      </c>
      <c r="E42" s="199">
        <v>44841.65625</v>
      </c>
      <c r="F42" s="200" t="s">
        <v>93</v>
      </c>
      <c r="G42" s="201">
        <v>11293.9</v>
      </c>
      <c r="H42" s="201">
        <v>11340</v>
      </c>
      <c r="I42" s="202">
        <f t="shared" si="1"/>
        <v>46.100000000000364</v>
      </c>
      <c r="J42" s="201">
        <v>10802.15</v>
      </c>
      <c r="K42" s="199">
        <v>44844.657638888886</v>
      </c>
      <c r="L42" s="201">
        <v>11037.72</v>
      </c>
      <c r="M42" s="203">
        <f t="shared" si="2"/>
        <v>256.18</v>
      </c>
      <c r="N42" s="204">
        <f t="shared" si="3"/>
        <v>5.56</v>
      </c>
      <c r="O42" s="205">
        <f t="shared" si="4"/>
        <v>0</v>
      </c>
      <c r="P42" s="206">
        <f t="shared" si="5"/>
        <v>5.56</v>
      </c>
      <c r="Q42" s="206">
        <f t="shared" si="6"/>
        <v>0</v>
      </c>
      <c r="R4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17272</v>
      </c>
      <c r="T4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17272</v>
      </c>
      <c r="U42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5.56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3.0013888888861402</v>
      </c>
      <c r="AE42" s="210">
        <f t="shared" si="16"/>
        <v>3.0013888888861402</v>
      </c>
      <c r="AF42" s="210">
        <f t="shared" si="17"/>
        <v>0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15</v>
      </c>
      <c r="D43" s="198" t="str">
        <f t="shared" si="0"/>
        <v>C</v>
      </c>
      <c r="E43" s="199">
        <v>44840.135416666664</v>
      </c>
      <c r="F43" s="200" t="s">
        <v>93</v>
      </c>
      <c r="G43" s="201">
        <v>11644.25</v>
      </c>
      <c r="H43" s="201">
        <v>11603.18</v>
      </c>
      <c r="I43" s="202">
        <f t="shared" si="1"/>
        <v>41.069999999999709</v>
      </c>
      <c r="J43" s="201">
        <v>12082.35</v>
      </c>
      <c r="K43" s="199">
        <v>44840.1875</v>
      </c>
      <c r="L43" s="201">
        <v>11603.18</v>
      </c>
      <c r="M43" s="203">
        <f t="shared" si="2"/>
        <v>-41.07</v>
      </c>
      <c r="N43" s="204">
        <f t="shared" si="3"/>
        <v>-1</v>
      </c>
      <c r="O43" s="205">
        <f t="shared" si="4"/>
        <v>0</v>
      </c>
      <c r="P43" s="206">
        <f t="shared" si="5"/>
        <v>0</v>
      </c>
      <c r="Q43" s="206">
        <f t="shared" si="6"/>
        <v>-1</v>
      </c>
      <c r="R4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16716</v>
      </c>
      <c r="T4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3" s="208">
        <f ca="1">IF(Tabla336106734812[[#This Row],[Equity]]&lt;Tabla336106734812[[#This Row],[Equity Peak]],(Tabla336106734812[[#This Row],[Equity Peak]]-Tabla336106734812[[#This Row],[Equity]])/Tabla336106734812[[#This Row],[Equity Peak]],"")</f>
        <v>2.6328052190121156E-2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-1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5.2083333335758653E-2</v>
      </c>
      <c r="AE43" s="210">
        <f t="shared" si="16"/>
        <v>0</v>
      </c>
      <c r="AF43" s="210">
        <f t="shared" si="17"/>
        <v>5.2083333335758653E-2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15</v>
      </c>
      <c r="D44" s="198" t="str">
        <f t="shared" si="0"/>
        <v>C</v>
      </c>
      <c r="E44" s="199">
        <v>44839.927083333336</v>
      </c>
      <c r="F44" s="200" t="s">
        <v>93</v>
      </c>
      <c r="G44" s="201">
        <v>11618.68</v>
      </c>
      <c r="H44" s="201">
        <v>11579.45</v>
      </c>
      <c r="I44" s="202">
        <f t="shared" si="1"/>
        <v>39.229999999999563</v>
      </c>
      <c r="J44" s="201">
        <v>12037.18</v>
      </c>
      <c r="K44" s="199">
        <v>44839.951388888891</v>
      </c>
      <c r="L44" s="201">
        <v>11579.45</v>
      </c>
      <c r="M44" s="203">
        <f t="shared" si="2"/>
        <v>-39.229999999999997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16816</v>
      </c>
      <c r="T4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4" s="208">
        <f ca="1">IF(Tabla336106734812[[#This Row],[Equity]]&lt;Tabla336106734812[[#This Row],[Equity Peak]],(Tabla336106734812[[#This Row],[Equity Peak]]-Tabla336106734812[[#This Row],[Equity]])/Tabla336106734812[[#This Row],[Equity Peak]],"")</f>
        <v>2.0503261882572229E-2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-1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2.4305555554747116E-2</v>
      </c>
      <c r="AE44" s="210">
        <f t="shared" si="16"/>
        <v>0</v>
      </c>
      <c r="AF44" s="210">
        <f t="shared" si="17"/>
        <v>2.4305555554747116E-2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15</v>
      </c>
      <c r="D45" s="198" t="str">
        <f t="shared" si="0"/>
        <v>C</v>
      </c>
      <c r="E45" s="199">
        <v>44838.541666666664</v>
      </c>
      <c r="F45" s="200" t="s">
        <v>93</v>
      </c>
      <c r="G45" s="201">
        <v>11442.11</v>
      </c>
      <c r="H45" s="201">
        <v>11401.26</v>
      </c>
      <c r="I45" s="202">
        <f t="shared" si="1"/>
        <v>40.850000000000364</v>
      </c>
      <c r="J45" s="201">
        <v>11877.83</v>
      </c>
      <c r="K45" s="199">
        <v>44838.836805555555</v>
      </c>
      <c r="L45" s="201">
        <v>11515.27</v>
      </c>
      <c r="M45" s="203">
        <f t="shared" si="2"/>
        <v>73.16</v>
      </c>
      <c r="N45" s="204">
        <f t="shared" si="3"/>
        <v>1.79</v>
      </c>
      <c r="O45" s="205">
        <f t="shared" si="4"/>
        <v>0</v>
      </c>
      <c r="P45" s="206">
        <f t="shared" si="5"/>
        <v>1.79</v>
      </c>
      <c r="Q45" s="206">
        <f t="shared" si="6"/>
        <v>0</v>
      </c>
      <c r="R4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16916</v>
      </c>
      <c r="T4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5" s="208">
        <f ca="1">IF(Tabla336106734812[[#This Row],[Equity]]&lt;Tabla336106734812[[#This Row],[Equity Peak]],(Tabla336106734812[[#This Row],[Equity Peak]]-Tabla336106734812[[#This Row],[Equity]])/Tabla336106734812[[#This Row],[Equity Peak]],"")</f>
        <v>1.4678471575023298E-2</v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1.79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0.29513888889050577</v>
      </c>
      <c r="AE45" s="210">
        <f t="shared" si="16"/>
        <v>0.29513888889050577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13</v>
      </c>
      <c r="D46" s="198" t="str">
        <f t="shared" si="0"/>
        <v>C</v>
      </c>
      <c r="E46" s="199">
        <v>44834.958333333336</v>
      </c>
      <c r="F46" s="200" t="s">
        <v>93</v>
      </c>
      <c r="G46" s="201">
        <v>10961.7</v>
      </c>
      <c r="H46" s="201">
        <v>11015.85</v>
      </c>
      <c r="I46" s="202">
        <f t="shared" si="1"/>
        <v>54.149999999999636</v>
      </c>
      <c r="J46" s="201">
        <v>10384.09</v>
      </c>
      <c r="K46" s="199">
        <v>44837.379861111112</v>
      </c>
      <c r="L46" s="201">
        <v>10978.26</v>
      </c>
      <c r="M46" s="203">
        <f t="shared" si="2"/>
        <v>-16.559999999999999</v>
      </c>
      <c r="N46" s="204">
        <f t="shared" si="3"/>
        <v>-0.31</v>
      </c>
      <c r="O46" s="205">
        <f t="shared" si="4"/>
        <v>0</v>
      </c>
      <c r="P46" s="206">
        <f t="shared" si="5"/>
        <v>0</v>
      </c>
      <c r="Q46" s="206">
        <f t="shared" si="6"/>
        <v>-0.31</v>
      </c>
      <c r="R4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16737</v>
      </c>
      <c r="T4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6" s="208">
        <f ca="1">IF(Tabla336106734812[[#This Row],[Equity]]&lt;Tabla336106734812[[#This Row],[Equity Peak]],(Tabla336106734812[[#This Row],[Equity Peak]]-Tabla336106734812[[#This Row],[Equity]])/Tabla336106734812[[#This Row],[Equity Peak]],"")</f>
        <v>2.5104846225535882E-2</v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-0.31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2.421527777776646</v>
      </c>
      <c r="AE46" s="210">
        <f t="shared" si="16"/>
        <v>0</v>
      </c>
      <c r="AF46" s="210">
        <f t="shared" si="17"/>
        <v>2.421527777776646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13</v>
      </c>
      <c r="D47" s="198" t="str">
        <f t="shared" si="0"/>
        <v>C</v>
      </c>
      <c r="E47" s="199">
        <v>44833.875</v>
      </c>
      <c r="F47" s="200" t="s">
        <v>93</v>
      </c>
      <c r="G47" s="201">
        <v>11051.25</v>
      </c>
      <c r="H47" s="201">
        <v>11099.34</v>
      </c>
      <c r="I47" s="202">
        <f t="shared" si="1"/>
        <v>48.090000000000146</v>
      </c>
      <c r="J47" s="201">
        <v>10538.34</v>
      </c>
      <c r="K47" s="199">
        <v>44833.927777777775</v>
      </c>
      <c r="L47" s="201">
        <v>11099.34</v>
      </c>
      <c r="M47" s="203">
        <f t="shared" si="2"/>
        <v>-48.09</v>
      </c>
      <c r="N47" s="204">
        <f t="shared" si="3"/>
        <v>-1</v>
      </c>
      <c r="O47" s="205">
        <f t="shared" si="4"/>
        <v>0</v>
      </c>
      <c r="P47" s="206">
        <f t="shared" si="5"/>
        <v>0</v>
      </c>
      <c r="Q47" s="206">
        <f t="shared" si="6"/>
        <v>-1</v>
      </c>
      <c r="R4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16768</v>
      </c>
      <c r="T4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7" s="208">
        <f ca="1">IF(Tabla336106734812[[#This Row],[Equity]]&lt;Tabla336106734812[[#This Row],[Equity Peak]],(Tabla336106734812[[#This Row],[Equity Peak]]-Tabla336106734812[[#This Row],[Equity]])/Tabla336106734812[[#This Row],[Equity Peak]],"")</f>
        <v>2.3299161230195712E-2</v>
      </c>
      <c r="V47" s="209">
        <f t="shared" si="7"/>
        <v>0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-1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5.2777777775190771E-2</v>
      </c>
      <c r="AE47" s="210">
        <f t="shared" si="16"/>
        <v>0</v>
      </c>
      <c r="AF47" s="210">
        <f t="shared" si="17"/>
        <v>5.2777777775190771E-2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0"/>
        <v>C</v>
      </c>
      <c r="E48" s="199">
        <v>44832.520833333336</v>
      </c>
      <c r="F48" s="200" t="s">
        <v>93</v>
      </c>
      <c r="G48" s="201">
        <v>11098.19</v>
      </c>
      <c r="H48" s="201">
        <v>11153.69</v>
      </c>
      <c r="I48" s="202">
        <f t="shared" si="1"/>
        <v>55.5</v>
      </c>
      <c r="J48" s="201">
        <v>10506.18</v>
      </c>
      <c r="K48" s="199">
        <v>44832.543055555558</v>
      </c>
      <c r="L48" s="201">
        <v>11153.69</v>
      </c>
      <c r="M48" s="203">
        <f t="shared" si="2"/>
        <v>-55.5</v>
      </c>
      <c r="N48" s="204">
        <f t="shared" si="3"/>
        <v>-1</v>
      </c>
      <c r="O48" s="205">
        <f t="shared" si="4"/>
        <v>0</v>
      </c>
      <c r="P48" s="206">
        <f t="shared" si="5"/>
        <v>0</v>
      </c>
      <c r="Q48" s="206">
        <f t="shared" si="6"/>
        <v>-1</v>
      </c>
      <c r="R4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16868</v>
      </c>
      <c r="T4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8" s="208">
        <f ca="1">IF(Tabla336106734812[[#This Row],[Equity]]&lt;Tabla336106734812[[#This Row],[Equity Peak]],(Tabla336106734812[[#This Row],[Equity Peak]]-Tabla336106734812[[#This Row],[Equity]])/Tabla336106734812[[#This Row],[Equity Peak]],"")</f>
        <v>1.7474370922646785E-2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-1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2.2222222221898846E-2</v>
      </c>
      <c r="AE48" s="210">
        <f t="shared" si="16"/>
        <v>0</v>
      </c>
      <c r="AF48" s="210">
        <f t="shared" si="17"/>
        <v>2.2222222221898846E-2</v>
      </c>
      <c r="AG48" s="210">
        <f t="shared" si="18"/>
        <v>0</v>
      </c>
    </row>
    <row r="49" spans="2:33" ht="15" customHeight="1" x14ac:dyDescent="0.3">
      <c r="B49" s="196" t="s">
        <v>5</v>
      </c>
      <c r="C49" s="197" t="s">
        <v>13</v>
      </c>
      <c r="D49" s="198" t="str">
        <f t="shared" si="0"/>
        <v>C</v>
      </c>
      <c r="E49" s="199">
        <v>44832.427083333336</v>
      </c>
      <c r="F49" s="200" t="s">
        <v>93</v>
      </c>
      <c r="G49" s="201">
        <v>11105.07</v>
      </c>
      <c r="H49" s="201">
        <v>11158.43</v>
      </c>
      <c r="I49" s="202">
        <f t="shared" si="1"/>
        <v>53.360000000000582</v>
      </c>
      <c r="J49" s="201">
        <v>10535.91</v>
      </c>
      <c r="K49" s="199">
        <v>44832.44027777778</v>
      </c>
      <c r="L49" s="201">
        <v>11158.43</v>
      </c>
      <c r="M49" s="203">
        <f t="shared" si="2"/>
        <v>-53.36</v>
      </c>
      <c r="N49" s="204">
        <f t="shared" si="3"/>
        <v>-1</v>
      </c>
      <c r="O49" s="205">
        <f t="shared" si="4"/>
        <v>0</v>
      </c>
      <c r="P49" s="206">
        <f t="shared" si="5"/>
        <v>0</v>
      </c>
      <c r="Q49" s="206">
        <f t="shared" si="6"/>
        <v>-1</v>
      </c>
      <c r="R4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16968</v>
      </c>
      <c r="T4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49" s="208">
        <f ca="1">IF(Tabla336106734812[[#This Row],[Equity]]&lt;Tabla336106734812[[#This Row],[Equity Peak]],(Tabla336106734812[[#This Row],[Equity Peak]]-Tabla336106734812[[#This Row],[Equity]])/Tabla336106734812[[#This Row],[Equity Peak]],"")</f>
        <v>1.1649580615097856E-2</v>
      </c>
      <c r="V49" s="209">
        <f t="shared" si="7"/>
        <v>0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-1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1.3194444443797693E-2</v>
      </c>
      <c r="AE49" s="210">
        <f t="shared" si="16"/>
        <v>0</v>
      </c>
      <c r="AF49" s="210">
        <f t="shared" si="17"/>
        <v>1.3194444443797693E-2</v>
      </c>
      <c r="AG49" s="210">
        <f t="shared" si="18"/>
        <v>0</v>
      </c>
    </row>
    <row r="50" spans="2:33" ht="15" customHeight="1" x14ac:dyDescent="0.3">
      <c r="B50" s="196" t="s">
        <v>5</v>
      </c>
      <c r="C50" s="197" t="s">
        <v>13</v>
      </c>
      <c r="D50" s="198" t="str">
        <f t="shared" si="0"/>
        <v>C</v>
      </c>
      <c r="E50" s="199">
        <v>44832.21875</v>
      </c>
      <c r="F50" s="200" t="s">
        <v>93</v>
      </c>
      <c r="G50" s="201">
        <v>11135.97</v>
      </c>
      <c r="H50" s="201">
        <v>11186.64</v>
      </c>
      <c r="I50" s="202">
        <f t="shared" si="1"/>
        <v>50.670000000000073</v>
      </c>
      <c r="J50" s="201">
        <v>10595.51</v>
      </c>
      <c r="K50" s="199">
        <v>44832.313194444447</v>
      </c>
      <c r="L50" s="201">
        <v>11186.64</v>
      </c>
      <c r="M50" s="203">
        <f t="shared" si="2"/>
        <v>-50.67</v>
      </c>
      <c r="N50" s="204">
        <f t="shared" si="3"/>
        <v>-1</v>
      </c>
      <c r="O50" s="205">
        <f t="shared" si="4"/>
        <v>0</v>
      </c>
      <c r="P50" s="206">
        <f t="shared" si="5"/>
        <v>0</v>
      </c>
      <c r="Q50" s="206">
        <f t="shared" si="6"/>
        <v>-1</v>
      </c>
      <c r="R5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17068</v>
      </c>
      <c r="T5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50" s="208">
        <f ca="1">IF(Tabla336106734812[[#This Row],[Equity]]&lt;Tabla336106734812[[#This Row],[Equity Peak]],(Tabla336106734812[[#This Row],[Equity Peak]]-Tabla336106734812[[#This Row],[Equity]])/Tabla336106734812[[#This Row],[Equity Peak]],"")</f>
        <v>5.824790307548928E-3</v>
      </c>
      <c r="V50" s="209">
        <f t="shared" si="7"/>
        <v>0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-1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9.4444444446708076E-2</v>
      </c>
      <c r="AE50" s="210">
        <f t="shared" si="16"/>
        <v>0</v>
      </c>
      <c r="AF50" s="210">
        <f t="shared" si="17"/>
        <v>9.4444444446708076E-2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13</v>
      </c>
      <c r="D51" s="198" t="str">
        <f t="shared" si="0"/>
        <v>C</v>
      </c>
      <c r="E51" s="199">
        <v>44827.5</v>
      </c>
      <c r="F51" s="200" t="s">
        <v>93</v>
      </c>
      <c r="G51" s="201">
        <v>11394.57</v>
      </c>
      <c r="H51" s="201">
        <v>11442.77</v>
      </c>
      <c r="I51" s="202">
        <f t="shared" si="1"/>
        <v>48.200000000000728</v>
      </c>
      <c r="J51" s="201">
        <v>10880.48</v>
      </c>
      <c r="K51" s="199">
        <v>44827.9375</v>
      </c>
      <c r="L51" s="201">
        <v>11258.87</v>
      </c>
      <c r="M51" s="203">
        <f t="shared" si="2"/>
        <v>135.69999999999999</v>
      </c>
      <c r="N51" s="204">
        <f t="shared" si="3"/>
        <v>2.82</v>
      </c>
      <c r="O51" s="205">
        <f t="shared" si="4"/>
        <v>0</v>
      </c>
      <c r="P51" s="206">
        <f t="shared" si="5"/>
        <v>2.82</v>
      </c>
      <c r="Q51" s="206">
        <f t="shared" si="6"/>
        <v>0</v>
      </c>
      <c r="R5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17168</v>
      </c>
      <c r="T5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17168</v>
      </c>
      <c r="U51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2.82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0.4375</v>
      </c>
      <c r="AE51" s="210">
        <f t="shared" si="16"/>
        <v>0.4375</v>
      </c>
      <c r="AF51" s="210">
        <f t="shared" si="17"/>
        <v>0</v>
      </c>
      <c r="AG51" s="210">
        <f t="shared" si="18"/>
        <v>0</v>
      </c>
    </row>
    <row r="52" spans="2:33" ht="15" customHeight="1" x14ac:dyDescent="0.3">
      <c r="B52" s="196" t="s">
        <v>5</v>
      </c>
      <c r="C52" s="197" t="s">
        <v>13</v>
      </c>
      <c r="D52" s="198" t="str">
        <f t="shared" si="0"/>
        <v>C</v>
      </c>
      <c r="E52" s="199">
        <v>44826.75</v>
      </c>
      <c r="F52" s="200" t="s">
        <v>93</v>
      </c>
      <c r="G52" s="201">
        <v>11464.41</v>
      </c>
      <c r="H52" s="201">
        <v>11528.11</v>
      </c>
      <c r="I52" s="202">
        <f t="shared" si="1"/>
        <v>63.700000000000728</v>
      </c>
      <c r="J52" s="201">
        <v>10784.93</v>
      </c>
      <c r="K52" s="199">
        <v>44826.830555555556</v>
      </c>
      <c r="L52" s="201">
        <v>11528.11</v>
      </c>
      <c r="M52" s="203">
        <f t="shared" si="2"/>
        <v>-63.7</v>
      </c>
      <c r="N52" s="204">
        <f t="shared" si="3"/>
        <v>-1</v>
      </c>
      <c r="O52" s="205">
        <f t="shared" si="4"/>
        <v>0</v>
      </c>
      <c r="P52" s="206">
        <f t="shared" si="5"/>
        <v>0</v>
      </c>
      <c r="Q52" s="206">
        <f t="shared" si="6"/>
        <v>-1</v>
      </c>
      <c r="R5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16886</v>
      </c>
      <c r="T5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2" s="208">
        <f ca="1">IF(Tabla336106734812[[#This Row],[Equity]]&lt;Tabla336106734812[[#This Row],[Equity Peak]],(Tabla336106734812[[#This Row],[Equity Peak]]-Tabla336106734812[[#This Row],[Equity]])/Tabla336106734812[[#This Row],[Equity Peak]],"")</f>
        <v>1.0083245398053699E-2</v>
      </c>
      <c r="V52" s="209">
        <f t="shared" si="7"/>
        <v>0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-1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8.0555555556202307E-2</v>
      </c>
      <c r="AE52" s="210">
        <f t="shared" si="16"/>
        <v>0</v>
      </c>
      <c r="AF52" s="210">
        <f t="shared" si="17"/>
        <v>8.0555555556202307E-2</v>
      </c>
      <c r="AG52" s="210">
        <f t="shared" si="18"/>
        <v>0</v>
      </c>
    </row>
    <row r="53" spans="2:33" ht="15" customHeight="1" x14ac:dyDescent="0.3">
      <c r="B53" s="196" t="s">
        <v>5</v>
      </c>
      <c r="C53" s="197" t="s">
        <v>13</v>
      </c>
      <c r="D53" s="198" t="str">
        <f t="shared" si="0"/>
        <v>C</v>
      </c>
      <c r="E53" s="199">
        <v>44825.947916666664</v>
      </c>
      <c r="F53" s="200" t="s">
        <v>93</v>
      </c>
      <c r="G53" s="201">
        <v>11673.28</v>
      </c>
      <c r="H53" s="201">
        <v>11722.36</v>
      </c>
      <c r="I53" s="202">
        <f t="shared" si="1"/>
        <v>49.079999999999927</v>
      </c>
      <c r="J53" s="201">
        <v>11149.81</v>
      </c>
      <c r="K53" s="199">
        <v>44826.448611111111</v>
      </c>
      <c r="L53" s="201">
        <v>11600.8</v>
      </c>
      <c r="M53" s="203">
        <f t="shared" si="2"/>
        <v>72.48</v>
      </c>
      <c r="N53" s="204">
        <f t="shared" si="3"/>
        <v>1.48</v>
      </c>
      <c r="O53" s="205">
        <f t="shared" si="4"/>
        <v>0</v>
      </c>
      <c r="P53" s="206">
        <f t="shared" si="5"/>
        <v>1.48</v>
      </c>
      <c r="Q53" s="206">
        <f t="shared" si="6"/>
        <v>0</v>
      </c>
      <c r="R5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16986</v>
      </c>
      <c r="T5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3" s="208">
        <f ca="1">IF(Tabla336106734812[[#This Row],[Equity]]&lt;Tabla336106734812[[#This Row],[Equity Peak]],(Tabla336106734812[[#This Row],[Equity Peak]]-Tabla336106734812[[#This Row],[Equity]])/Tabla336106734812[[#This Row],[Equity Peak]],"")</f>
        <v>4.2208934224410837E-3</v>
      </c>
      <c r="V53" s="209">
        <f t="shared" si="7"/>
        <v>0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1.48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0.50069444444670808</v>
      </c>
      <c r="AE53" s="210">
        <f t="shared" si="16"/>
        <v>0.50069444444670808</v>
      </c>
      <c r="AF53" s="210">
        <f t="shared" si="17"/>
        <v>0</v>
      </c>
      <c r="AG53" s="210">
        <f t="shared" si="18"/>
        <v>0</v>
      </c>
    </row>
    <row r="54" spans="2:33" ht="15" customHeight="1" x14ac:dyDescent="0.3">
      <c r="B54" s="196" t="s">
        <v>5</v>
      </c>
      <c r="C54" s="197" t="s">
        <v>13</v>
      </c>
      <c r="D54" s="198" t="str">
        <f t="shared" si="0"/>
        <v>C</v>
      </c>
      <c r="E54" s="199">
        <v>44825.885416666664</v>
      </c>
      <c r="F54" s="200" t="s">
        <v>93</v>
      </c>
      <c r="G54" s="201">
        <v>11717.28</v>
      </c>
      <c r="H54" s="201">
        <v>11753.93</v>
      </c>
      <c r="I54" s="202">
        <f t="shared" si="1"/>
        <v>36.649999999999636</v>
      </c>
      <c r="J54" s="201">
        <v>11326.31</v>
      </c>
      <c r="K54" s="199">
        <v>44825.888888888891</v>
      </c>
      <c r="L54" s="201">
        <v>11753.93</v>
      </c>
      <c r="M54" s="203">
        <f t="shared" si="2"/>
        <v>-36.65</v>
      </c>
      <c r="N54" s="204">
        <f t="shared" si="3"/>
        <v>-1</v>
      </c>
      <c r="O54" s="205">
        <f t="shared" si="4"/>
        <v>0</v>
      </c>
      <c r="P54" s="206">
        <f t="shared" si="5"/>
        <v>0</v>
      </c>
      <c r="Q54" s="206">
        <f t="shared" si="6"/>
        <v>-1</v>
      </c>
      <c r="R5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16838</v>
      </c>
      <c r="T5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4" s="208">
        <f ca="1">IF(Tabla336106734812[[#This Row],[Equity]]&lt;Tabla336106734812[[#This Row],[Equity Peak]],(Tabla336106734812[[#This Row],[Equity Peak]]-Tabla336106734812[[#This Row],[Equity]])/Tabla336106734812[[#This Row],[Equity Peak]],"")</f>
        <v>1.2897174346347755E-2</v>
      </c>
      <c r="V54" s="209">
        <f t="shared" si="7"/>
        <v>0</v>
      </c>
      <c r="W54" s="209">
        <f t="shared" si="8"/>
        <v>0</v>
      </c>
      <c r="X54" s="209">
        <f t="shared" si="9"/>
        <v>0</v>
      </c>
      <c r="Y54" s="209">
        <f t="shared" si="10"/>
        <v>0</v>
      </c>
      <c r="Z54" s="209">
        <f t="shared" si="11"/>
        <v>-1</v>
      </c>
      <c r="AA54" s="205">
        <f t="shared" si="12"/>
        <v>0</v>
      </c>
      <c r="AB54" s="209">
        <f t="shared" si="13"/>
        <v>0</v>
      </c>
      <c r="AC54" s="205">
        <f t="shared" si="14"/>
        <v>0</v>
      </c>
      <c r="AD54" s="210">
        <f t="shared" si="15"/>
        <v>3.4722222262644209E-3</v>
      </c>
      <c r="AE54" s="210">
        <f t="shared" si="16"/>
        <v>0</v>
      </c>
      <c r="AF54" s="210">
        <f t="shared" si="17"/>
        <v>3.4722222262644209E-3</v>
      </c>
      <c r="AG54" s="210">
        <f t="shared" si="18"/>
        <v>0</v>
      </c>
    </row>
    <row r="55" spans="2:33" ht="15" customHeight="1" x14ac:dyDescent="0.3">
      <c r="B55" s="196" t="s">
        <v>5</v>
      </c>
      <c r="C55" s="197" t="s">
        <v>13</v>
      </c>
      <c r="D55" s="198" t="str">
        <f t="shared" ref="D55:D86" si="19">IF(E55&lt;&gt;"",IF(K55&lt;&gt;"","C","O"),"")</f>
        <v>C</v>
      </c>
      <c r="E55" s="199">
        <v>44820.052083333336</v>
      </c>
      <c r="F55" s="200" t="s">
        <v>93</v>
      </c>
      <c r="G55" s="201">
        <v>11833.4</v>
      </c>
      <c r="H55" s="201">
        <v>11876.68</v>
      </c>
      <c r="I55" s="202">
        <f t="shared" ref="I55:I86" si="20">ABS(G55-H55)</f>
        <v>43.280000000000655</v>
      </c>
      <c r="J55" s="201">
        <v>11371.73</v>
      </c>
      <c r="K55" s="199">
        <v>44820.717361111114</v>
      </c>
      <c r="L55" s="201">
        <v>11798.75</v>
      </c>
      <c r="M55" s="203">
        <f t="shared" ref="M55:M86" si="21">ROUND(IF(C55="L",(L55-G55),(G55-L55)),4)</f>
        <v>34.65</v>
      </c>
      <c r="N55" s="204">
        <f t="shared" ref="N55:N86" si="22">IFERROR(ROUND((M55/I55),2),"")</f>
        <v>0.8</v>
      </c>
      <c r="O55" s="205">
        <f t="shared" ref="O55:O86" si="23">IF(D55="O",IF(N55&lt;0,N55,0),0)</f>
        <v>0</v>
      </c>
      <c r="P55" s="206">
        <f t="shared" ref="P55:P86" si="24">IF(N55&gt;= 0,N55,0)</f>
        <v>0.8</v>
      </c>
      <c r="Q55" s="206">
        <f t="shared" ref="Q55:Q86" si="25">IF(N55&lt;0,N55,0)</f>
        <v>0</v>
      </c>
      <c r="R5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16938</v>
      </c>
      <c r="T5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5" s="208">
        <f ca="1">IF(Tabla336106734812[[#This Row],[Equity]]&lt;Tabla336106734812[[#This Row],[Equity Peak]],(Tabla336106734812[[#This Row],[Equity Peak]]-Tabla336106734812[[#This Row],[Equity]])/Tabla336106734812[[#This Row],[Equity Peak]],"")</f>
        <v>7.0348223707351392E-3</v>
      </c>
      <c r="V55" s="209">
        <f t="shared" ref="V55:V86" si="26">IF(B55="FX",N55,0)</f>
        <v>0</v>
      </c>
      <c r="W55" s="209">
        <f t="shared" ref="W55:W86" si="27">IF(D55="O",IF(V55&lt;0,V55,0),0)</f>
        <v>0</v>
      </c>
      <c r="X55" s="209">
        <f t="shared" ref="X55:X86" si="28">IF(B55="COM",N55,0)</f>
        <v>0</v>
      </c>
      <c r="Y55" s="209">
        <f t="shared" ref="Y55:Y86" si="29">IF(D55="O",IF(X55&lt;0,X55,0),0)</f>
        <v>0</v>
      </c>
      <c r="Z55" s="209">
        <f t="shared" ref="Z55:Z86" si="30">IF(B55="IND",N55,0)</f>
        <v>0.8</v>
      </c>
      <c r="AA55" s="205">
        <f t="shared" ref="AA55:AA86" si="31">IF(D55="O",IF(Z55&lt;0,Z55,0),0)</f>
        <v>0</v>
      </c>
      <c r="AB55" s="209">
        <f t="shared" ref="AB55:AB86" si="32">IF(B55="CRYPTO",N55,0)</f>
        <v>0</v>
      </c>
      <c r="AC55" s="205">
        <f t="shared" ref="AC55:AC86" si="33">IF(D55="O",IF(AB55&lt;0,AB55,0),0)</f>
        <v>0</v>
      </c>
      <c r="AD55" s="210">
        <f t="shared" ref="AD55:AD86" si="34">IF(K55&lt;&gt;"",K55-E55,0)</f>
        <v>0.66527777777810115</v>
      </c>
      <c r="AE55" s="210">
        <f t="shared" ref="AE55:AE86" si="35">IF(N55&gt;0,AD55,0)</f>
        <v>0.66527777777810115</v>
      </c>
      <c r="AF55" s="210">
        <f t="shared" ref="AF55:AF86" si="36">IF(N55&lt;0,AD55,0)</f>
        <v>0</v>
      </c>
      <c r="AG55" s="210">
        <f t="shared" ref="AG55:AG86" si="37">IF(N55=0,AD55,0)</f>
        <v>0</v>
      </c>
    </row>
    <row r="56" spans="2:33" ht="15" customHeight="1" x14ac:dyDescent="0.3">
      <c r="B56" s="196" t="s">
        <v>5</v>
      </c>
      <c r="C56" s="197" t="s">
        <v>13</v>
      </c>
      <c r="D56" s="198" t="str">
        <f t="shared" si="19"/>
        <v>C</v>
      </c>
      <c r="E56" s="199">
        <v>44819.927083333336</v>
      </c>
      <c r="F56" s="200" t="s">
        <v>93</v>
      </c>
      <c r="G56" s="201">
        <v>11889.52</v>
      </c>
      <c r="H56" s="201">
        <v>11930.54</v>
      </c>
      <c r="I56" s="202">
        <f t="shared" si="20"/>
        <v>41.020000000000437</v>
      </c>
      <c r="J56" s="201">
        <v>11451.95</v>
      </c>
      <c r="K56" s="199">
        <v>44819.951388888891</v>
      </c>
      <c r="L56" s="201">
        <v>11930.54</v>
      </c>
      <c r="M56" s="203">
        <f t="shared" si="21"/>
        <v>-41.02</v>
      </c>
      <c r="N56" s="204">
        <f t="shared" si="22"/>
        <v>-1</v>
      </c>
      <c r="O56" s="205">
        <f t="shared" si="23"/>
        <v>0</v>
      </c>
      <c r="P56" s="206">
        <f t="shared" si="24"/>
        <v>0</v>
      </c>
      <c r="Q56" s="206">
        <f t="shared" si="25"/>
        <v>-1</v>
      </c>
      <c r="R5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16858</v>
      </c>
      <c r="T5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6" s="208">
        <f ca="1">IF(Tabla336106734812[[#This Row],[Equity]]&lt;Tabla336106734812[[#This Row],[Equity Peak]],(Tabla336106734812[[#This Row],[Equity Peak]]-Tabla336106734812[[#This Row],[Equity]])/Tabla336106734812[[#This Row],[Equity Peak]],"")</f>
        <v>1.1724703951225232E-2</v>
      </c>
      <c r="V56" s="209">
        <f t="shared" si="26"/>
        <v>0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-1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2.4305555554747116E-2</v>
      </c>
      <c r="AE56" s="210">
        <f t="shared" si="35"/>
        <v>0</v>
      </c>
      <c r="AF56" s="210">
        <f t="shared" si="36"/>
        <v>2.4305555554747116E-2</v>
      </c>
      <c r="AG56" s="210">
        <f t="shared" si="37"/>
        <v>0</v>
      </c>
    </row>
    <row r="57" spans="2:33" ht="15" customHeight="1" x14ac:dyDescent="0.3">
      <c r="B57" s="196" t="s">
        <v>5</v>
      </c>
      <c r="C57" s="197" t="s">
        <v>13</v>
      </c>
      <c r="D57" s="198" t="str">
        <f t="shared" si="19"/>
        <v>C</v>
      </c>
      <c r="E57" s="199">
        <v>44819.75</v>
      </c>
      <c r="F57" s="200" t="s">
        <v>93</v>
      </c>
      <c r="G57" s="201">
        <v>11927.02</v>
      </c>
      <c r="H57" s="201">
        <v>11966.8</v>
      </c>
      <c r="I57" s="202">
        <f t="shared" si="20"/>
        <v>39.779999999998836</v>
      </c>
      <c r="J57" s="201">
        <v>11502.66</v>
      </c>
      <c r="K57" s="199">
        <v>44819.76666666667</v>
      </c>
      <c r="L57" s="201">
        <v>11966.8</v>
      </c>
      <c r="M57" s="203">
        <f t="shared" si="21"/>
        <v>-39.78</v>
      </c>
      <c r="N57" s="204">
        <f t="shared" si="22"/>
        <v>-1</v>
      </c>
      <c r="O57" s="205">
        <f t="shared" si="23"/>
        <v>0</v>
      </c>
      <c r="P57" s="206">
        <f t="shared" si="24"/>
        <v>0</v>
      </c>
      <c r="Q57" s="206">
        <f t="shared" si="25"/>
        <v>-1</v>
      </c>
      <c r="R5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16958</v>
      </c>
      <c r="T5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7" s="208">
        <f ca="1">IF(Tabla336106734812[[#This Row],[Equity]]&lt;Tabla336106734812[[#This Row],[Equity Peak]],(Tabla336106734812[[#This Row],[Equity Peak]]-Tabla336106734812[[#This Row],[Equity]])/Tabla336106734812[[#This Row],[Equity Peak]],"")</f>
        <v>5.8623519756126159E-3</v>
      </c>
      <c r="V57" s="209">
        <f t="shared" si="26"/>
        <v>0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-1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1.6666666670062114E-2</v>
      </c>
      <c r="AE57" s="210">
        <f t="shared" si="35"/>
        <v>0</v>
      </c>
      <c r="AF57" s="210">
        <f t="shared" si="36"/>
        <v>1.6666666670062114E-2</v>
      </c>
      <c r="AG57" s="210">
        <f t="shared" si="37"/>
        <v>0</v>
      </c>
    </row>
    <row r="58" spans="2:33" ht="15" customHeight="1" x14ac:dyDescent="0.3">
      <c r="B58" s="196" t="s">
        <v>5</v>
      </c>
      <c r="C58" s="197" t="s">
        <v>13</v>
      </c>
      <c r="D58" s="198" t="str">
        <f t="shared" si="19"/>
        <v>C</v>
      </c>
      <c r="E58" s="199">
        <v>44817.697916666664</v>
      </c>
      <c r="F58" s="200" t="s">
        <v>93</v>
      </c>
      <c r="G58" s="201">
        <v>12336.97</v>
      </c>
      <c r="H58" s="201">
        <v>12375.81</v>
      </c>
      <c r="I58" s="202">
        <f t="shared" si="20"/>
        <v>38.840000000000146</v>
      </c>
      <c r="J58" s="201">
        <v>11922.64</v>
      </c>
      <c r="K58" s="199">
        <v>44818.479861111111</v>
      </c>
      <c r="L58" s="201">
        <v>12120.05</v>
      </c>
      <c r="M58" s="203">
        <f t="shared" si="21"/>
        <v>216.92</v>
      </c>
      <c r="N58" s="204">
        <f t="shared" si="22"/>
        <v>5.58</v>
      </c>
      <c r="O58" s="205">
        <f t="shared" si="23"/>
        <v>0</v>
      </c>
      <c r="P58" s="206">
        <f t="shared" si="24"/>
        <v>5.58</v>
      </c>
      <c r="Q58" s="206">
        <f t="shared" si="25"/>
        <v>0</v>
      </c>
      <c r="R5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17058</v>
      </c>
      <c r="T5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17058</v>
      </c>
      <c r="U58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58" s="209">
        <f t="shared" si="26"/>
        <v>0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5.58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0.78194444444670808</v>
      </c>
      <c r="AE58" s="210">
        <f t="shared" si="35"/>
        <v>0.78194444444670808</v>
      </c>
      <c r="AF58" s="210">
        <f t="shared" si="36"/>
        <v>0</v>
      </c>
      <c r="AG58" s="210">
        <f t="shared" si="37"/>
        <v>0</v>
      </c>
    </row>
    <row r="59" spans="2:33" ht="15" customHeight="1" x14ac:dyDescent="0.3">
      <c r="B59" s="196" t="s">
        <v>5</v>
      </c>
      <c r="C59" s="197" t="s">
        <v>13</v>
      </c>
      <c r="D59" s="198" t="str">
        <f t="shared" si="19"/>
        <v>C</v>
      </c>
      <c r="E59" s="199">
        <v>44817.666666666664</v>
      </c>
      <c r="F59" s="200" t="s">
        <v>93</v>
      </c>
      <c r="G59" s="201">
        <v>12373.62</v>
      </c>
      <c r="H59" s="201">
        <v>12411.71</v>
      </c>
      <c r="I59" s="202">
        <f t="shared" si="20"/>
        <v>38.089999999998327</v>
      </c>
      <c r="J59" s="201">
        <v>11967.28</v>
      </c>
      <c r="K59" s="199">
        <v>44817.688194444447</v>
      </c>
      <c r="L59" s="201">
        <v>12411.71</v>
      </c>
      <c r="M59" s="203">
        <f t="shared" si="21"/>
        <v>-38.090000000000003</v>
      </c>
      <c r="N59" s="204">
        <f t="shared" si="22"/>
        <v>-1</v>
      </c>
      <c r="O59" s="205">
        <f t="shared" si="23"/>
        <v>0</v>
      </c>
      <c r="P59" s="206">
        <f t="shared" si="24"/>
        <v>0</v>
      </c>
      <c r="Q59" s="206">
        <f t="shared" si="25"/>
        <v>-1</v>
      </c>
      <c r="R5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16500</v>
      </c>
      <c r="T5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16600</v>
      </c>
      <c r="U59" s="208">
        <f ca="1">IF(Tabla336106734812[[#This Row],[Equity]]&lt;Tabla336106734812[[#This Row],[Equity Peak]],(Tabla336106734812[[#This Row],[Equity Peak]]-Tabla336106734812[[#This Row],[Equity]])/Tabla336106734812[[#This Row],[Equity Peak]],"")</f>
        <v>6.024096385542169E-3</v>
      </c>
      <c r="V59" s="209">
        <f t="shared" si="26"/>
        <v>0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-1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2.1527777782466728E-2</v>
      </c>
      <c r="AE59" s="210">
        <f t="shared" si="35"/>
        <v>0</v>
      </c>
      <c r="AF59" s="210">
        <f t="shared" si="36"/>
        <v>2.1527777782466728E-2</v>
      </c>
      <c r="AG59" s="210">
        <f t="shared" si="37"/>
        <v>0</v>
      </c>
    </row>
    <row r="60" spans="2:33" ht="15" customHeight="1" x14ac:dyDescent="0.3">
      <c r="B60" s="196" t="s">
        <v>5</v>
      </c>
      <c r="C60" s="197" t="s">
        <v>15</v>
      </c>
      <c r="D60" s="198" t="str">
        <f t="shared" si="19"/>
        <v>C</v>
      </c>
      <c r="E60" s="199">
        <v>44813.427083333336</v>
      </c>
      <c r="F60" s="200" t="s">
        <v>93</v>
      </c>
      <c r="G60" s="201">
        <v>12431</v>
      </c>
      <c r="H60" s="201">
        <v>12389.02</v>
      </c>
      <c r="I60" s="202">
        <f t="shared" si="20"/>
        <v>41.979999999999563</v>
      </c>
      <c r="J60" s="201">
        <v>12878.74</v>
      </c>
      <c r="K60" s="199">
        <v>44816.788888888892</v>
      </c>
      <c r="L60" s="201">
        <v>12666.16</v>
      </c>
      <c r="M60" s="203">
        <f t="shared" si="21"/>
        <v>235.16</v>
      </c>
      <c r="N60" s="204">
        <f t="shared" si="22"/>
        <v>5.6</v>
      </c>
      <c r="O60" s="205">
        <f t="shared" si="23"/>
        <v>0</v>
      </c>
      <c r="P60" s="206">
        <f t="shared" si="24"/>
        <v>5.6</v>
      </c>
      <c r="Q60" s="206">
        <f t="shared" si="25"/>
        <v>0</v>
      </c>
      <c r="R6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16600</v>
      </c>
      <c r="T6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16600</v>
      </c>
      <c r="U60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0" s="209">
        <f t="shared" si="26"/>
        <v>0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5.6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3.3618055555562023</v>
      </c>
      <c r="AE60" s="210">
        <f t="shared" si="35"/>
        <v>3.3618055555562023</v>
      </c>
      <c r="AF60" s="210">
        <f t="shared" si="36"/>
        <v>0</v>
      </c>
      <c r="AG60" s="210">
        <f t="shared" si="37"/>
        <v>0</v>
      </c>
    </row>
    <row r="61" spans="2:33" ht="15" customHeight="1" x14ac:dyDescent="0.3">
      <c r="B61" s="196" t="s">
        <v>5</v>
      </c>
      <c r="C61" s="197" t="s">
        <v>13</v>
      </c>
      <c r="D61" s="198" t="str">
        <f t="shared" si="19"/>
        <v>C</v>
      </c>
      <c r="E61" s="199">
        <v>44810.71875</v>
      </c>
      <c r="F61" s="200" t="s">
        <v>93</v>
      </c>
      <c r="G61" s="201">
        <v>11957.41</v>
      </c>
      <c r="H61" s="201">
        <v>11992.45</v>
      </c>
      <c r="I61" s="202">
        <f t="shared" si="20"/>
        <v>35.040000000000873</v>
      </c>
      <c r="J61" s="201">
        <v>11583.61</v>
      </c>
      <c r="K61" s="199">
        <v>44810.728472222225</v>
      </c>
      <c r="L61" s="201">
        <v>11992.45</v>
      </c>
      <c r="M61" s="203">
        <f t="shared" si="21"/>
        <v>-35.04</v>
      </c>
      <c r="N61" s="204">
        <f t="shared" si="22"/>
        <v>-1</v>
      </c>
      <c r="O61" s="205">
        <f t="shared" si="23"/>
        <v>0</v>
      </c>
      <c r="P61" s="206">
        <f t="shared" si="24"/>
        <v>0</v>
      </c>
      <c r="Q61" s="206">
        <f t="shared" si="25"/>
        <v>-1</v>
      </c>
      <c r="R6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16040</v>
      </c>
      <c r="T6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16155</v>
      </c>
      <c r="U61" s="208">
        <f ca="1">IF(Tabla336106734812[[#This Row],[Equity]]&lt;Tabla336106734812[[#This Row],[Equity Peak]],(Tabla336106734812[[#This Row],[Equity Peak]]-Tabla336106734812[[#This Row],[Equity]])/Tabla336106734812[[#This Row],[Equity Peak]],"")</f>
        <v>7.1185391519653354E-3</v>
      </c>
      <c r="V61" s="209">
        <f t="shared" si="26"/>
        <v>0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-1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9.7222222248092294E-3</v>
      </c>
      <c r="AE61" s="210">
        <f t="shared" si="35"/>
        <v>0</v>
      </c>
      <c r="AF61" s="210">
        <f t="shared" si="36"/>
        <v>9.7222222248092294E-3</v>
      </c>
      <c r="AG61" s="210">
        <f t="shared" si="37"/>
        <v>0</v>
      </c>
    </row>
    <row r="62" spans="2:33" ht="15" customHeight="1" x14ac:dyDescent="0.3">
      <c r="B62" s="196" t="s">
        <v>5</v>
      </c>
      <c r="C62" s="197" t="s">
        <v>13</v>
      </c>
      <c r="D62" s="198" t="str">
        <f t="shared" si="19"/>
        <v>C</v>
      </c>
      <c r="E62" s="199">
        <v>44805.0625</v>
      </c>
      <c r="F62" s="200" t="s">
        <v>93</v>
      </c>
      <c r="G62" s="201">
        <v>12210.98</v>
      </c>
      <c r="H62" s="201">
        <v>12257.27</v>
      </c>
      <c r="I62" s="202">
        <f t="shared" si="20"/>
        <v>46.290000000000873</v>
      </c>
      <c r="J62" s="201">
        <v>11717.25</v>
      </c>
      <c r="K62" s="199">
        <v>44805.88958333333</v>
      </c>
      <c r="L62" s="201">
        <v>12125.14</v>
      </c>
      <c r="M62" s="203">
        <f t="shared" si="21"/>
        <v>85.84</v>
      </c>
      <c r="N62" s="204">
        <f t="shared" si="22"/>
        <v>1.85</v>
      </c>
      <c r="O62" s="205">
        <f t="shared" si="23"/>
        <v>0</v>
      </c>
      <c r="P62" s="206">
        <f t="shared" si="24"/>
        <v>1.85</v>
      </c>
      <c r="Q62" s="206">
        <f t="shared" si="25"/>
        <v>0</v>
      </c>
      <c r="R6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16140</v>
      </c>
      <c r="T6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16155</v>
      </c>
      <c r="U62" s="208">
        <f ca="1">IF(Tabla336106734812[[#This Row],[Equity]]&lt;Tabla336106734812[[#This Row],[Equity Peak]],(Tabla336106734812[[#This Row],[Equity Peak]]-Tabla336106734812[[#This Row],[Equity]])/Tabla336106734812[[#This Row],[Equity Peak]],"")</f>
        <v>9.2850510677808728E-4</v>
      </c>
      <c r="V62" s="209">
        <f t="shared" si="26"/>
        <v>0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1.85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0.82708333332993789</v>
      </c>
      <c r="AE62" s="210">
        <f t="shared" si="35"/>
        <v>0.82708333332993789</v>
      </c>
      <c r="AF62" s="210">
        <f t="shared" si="36"/>
        <v>0</v>
      </c>
      <c r="AG62" s="210">
        <f t="shared" si="37"/>
        <v>0</v>
      </c>
    </row>
    <row r="63" spans="2:33" ht="15" customHeight="1" x14ac:dyDescent="0.3">
      <c r="B63" s="196" t="s">
        <v>5</v>
      </c>
      <c r="C63" s="197" t="s">
        <v>13</v>
      </c>
      <c r="D63" s="198" t="str">
        <f t="shared" si="19"/>
        <v>C</v>
      </c>
      <c r="E63" s="199">
        <v>44803.864583333336</v>
      </c>
      <c r="F63" s="200" t="s">
        <v>93</v>
      </c>
      <c r="G63" s="201">
        <v>12238.27</v>
      </c>
      <c r="H63" s="201">
        <v>12283.47</v>
      </c>
      <c r="I63" s="202">
        <f t="shared" si="20"/>
        <v>45.199999999998909</v>
      </c>
      <c r="J63" s="201">
        <v>11756.13</v>
      </c>
      <c r="K63" s="199">
        <v>44803.868750000001</v>
      </c>
      <c r="L63" s="201">
        <v>12283.47</v>
      </c>
      <c r="M63" s="203">
        <f t="shared" si="21"/>
        <v>-45.2</v>
      </c>
      <c r="N63" s="204">
        <f t="shared" si="22"/>
        <v>-1</v>
      </c>
      <c r="O63" s="205">
        <f t="shared" si="23"/>
        <v>0</v>
      </c>
      <c r="P63" s="206">
        <f t="shared" si="24"/>
        <v>0</v>
      </c>
      <c r="Q63" s="206">
        <f t="shared" si="25"/>
        <v>-1</v>
      </c>
      <c r="R6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15955</v>
      </c>
      <c r="T6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16155</v>
      </c>
      <c r="U63" s="208">
        <f ca="1">IF(Tabla336106734812[[#This Row],[Equity]]&lt;Tabla336106734812[[#This Row],[Equity Peak]],(Tabla336106734812[[#This Row],[Equity Peak]]-Tabla336106734812[[#This Row],[Equity]])/Tabla336106734812[[#This Row],[Equity Peak]],"")</f>
        <v>1.2380068090374497E-2</v>
      </c>
      <c r="V63" s="209">
        <f t="shared" si="26"/>
        <v>0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-1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4.166666665696539E-3</v>
      </c>
      <c r="AE63" s="210">
        <f t="shared" si="35"/>
        <v>0</v>
      </c>
      <c r="AF63" s="210">
        <f t="shared" si="36"/>
        <v>4.166666665696539E-3</v>
      </c>
      <c r="AG63" s="210">
        <f t="shared" si="37"/>
        <v>0</v>
      </c>
    </row>
    <row r="64" spans="2:33" ht="15" customHeight="1" x14ac:dyDescent="0.3">
      <c r="B64" s="196" t="s">
        <v>5</v>
      </c>
      <c r="C64" s="197" t="s">
        <v>13</v>
      </c>
      <c r="D64" s="198" t="str">
        <f t="shared" si="19"/>
        <v>C</v>
      </c>
      <c r="E64" s="199">
        <v>44803.739583333336</v>
      </c>
      <c r="F64" s="200" t="s">
        <v>93</v>
      </c>
      <c r="G64" s="201">
        <v>12290.15</v>
      </c>
      <c r="H64" s="201">
        <v>12337.54</v>
      </c>
      <c r="I64" s="202">
        <f t="shared" si="20"/>
        <v>47.390000000001237</v>
      </c>
      <c r="J64" s="201">
        <v>11784.7</v>
      </c>
      <c r="K64" s="199">
        <v>44803.75</v>
      </c>
      <c r="L64" s="201">
        <v>12337.54</v>
      </c>
      <c r="M64" s="203">
        <f t="shared" si="21"/>
        <v>-47.39</v>
      </c>
      <c r="N64" s="204">
        <f t="shared" si="22"/>
        <v>-1</v>
      </c>
      <c r="O64" s="205">
        <f t="shared" si="23"/>
        <v>0</v>
      </c>
      <c r="P64" s="206">
        <f t="shared" si="24"/>
        <v>0</v>
      </c>
      <c r="Q64" s="206">
        <f t="shared" si="25"/>
        <v>-1</v>
      </c>
      <c r="R6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16055</v>
      </c>
      <c r="T6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16155</v>
      </c>
      <c r="U64" s="208">
        <f ca="1">IF(Tabla336106734812[[#This Row],[Equity]]&lt;Tabla336106734812[[#This Row],[Equity Peak]],(Tabla336106734812[[#This Row],[Equity Peak]]-Tabla336106734812[[#This Row],[Equity]])/Tabla336106734812[[#This Row],[Equity Peak]],"")</f>
        <v>6.1900340451872485E-3</v>
      </c>
      <c r="V64" s="209">
        <f t="shared" si="26"/>
        <v>0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-1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1.0416666664241347E-2</v>
      </c>
      <c r="AE64" s="210">
        <f t="shared" si="35"/>
        <v>0</v>
      </c>
      <c r="AF64" s="210">
        <f t="shared" si="36"/>
        <v>1.0416666664241347E-2</v>
      </c>
      <c r="AG64" s="210">
        <f t="shared" si="37"/>
        <v>0</v>
      </c>
    </row>
    <row r="65" spans="2:33" ht="15" customHeight="1" x14ac:dyDescent="0.3">
      <c r="B65" s="196" t="s">
        <v>5</v>
      </c>
      <c r="C65" s="197" t="s">
        <v>13</v>
      </c>
      <c r="D65" s="198" t="str">
        <f t="shared" si="19"/>
        <v>C</v>
      </c>
      <c r="E65" s="199">
        <v>44799.760416666664</v>
      </c>
      <c r="F65" s="200" t="s">
        <v>93</v>
      </c>
      <c r="G65" s="201">
        <v>12813.56</v>
      </c>
      <c r="H65" s="201">
        <v>12850.47</v>
      </c>
      <c r="I65" s="202">
        <f t="shared" si="20"/>
        <v>36.909999999999854</v>
      </c>
      <c r="J65" s="201">
        <v>12419.86</v>
      </c>
      <c r="K65" s="199">
        <v>44802.106249999997</v>
      </c>
      <c r="L65" s="201">
        <v>12419.86</v>
      </c>
      <c r="M65" s="203">
        <f t="shared" si="21"/>
        <v>393.7</v>
      </c>
      <c r="N65" s="204">
        <f t="shared" si="22"/>
        <v>10.67</v>
      </c>
      <c r="O65" s="205">
        <f t="shared" si="23"/>
        <v>0</v>
      </c>
      <c r="P65" s="206">
        <f t="shared" si="24"/>
        <v>10.67</v>
      </c>
      <c r="Q65" s="206">
        <f t="shared" si="25"/>
        <v>0</v>
      </c>
      <c r="R6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16155</v>
      </c>
      <c r="T6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16155</v>
      </c>
      <c r="U65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5" s="209">
        <f t="shared" si="26"/>
        <v>0</v>
      </c>
      <c r="W65" s="209">
        <f t="shared" si="27"/>
        <v>0</v>
      </c>
      <c r="X65" s="209">
        <f t="shared" si="28"/>
        <v>0</v>
      </c>
      <c r="Y65" s="209">
        <f t="shared" si="29"/>
        <v>0</v>
      </c>
      <c r="Z65" s="209">
        <f t="shared" si="30"/>
        <v>10.67</v>
      </c>
      <c r="AA65" s="205">
        <f t="shared" si="31"/>
        <v>0</v>
      </c>
      <c r="AB65" s="209">
        <f t="shared" si="32"/>
        <v>0</v>
      </c>
      <c r="AC65" s="205">
        <f t="shared" si="33"/>
        <v>0</v>
      </c>
      <c r="AD65" s="210">
        <f t="shared" si="34"/>
        <v>2.3458333333328483</v>
      </c>
      <c r="AE65" s="210">
        <f t="shared" si="35"/>
        <v>2.3458333333328483</v>
      </c>
      <c r="AF65" s="210">
        <f t="shared" si="36"/>
        <v>0</v>
      </c>
      <c r="AG65" s="210">
        <f t="shared" si="37"/>
        <v>0</v>
      </c>
    </row>
    <row r="66" spans="2:33" ht="15" customHeight="1" x14ac:dyDescent="0.3">
      <c r="B66" s="196" t="s">
        <v>5</v>
      </c>
      <c r="C66" s="197" t="s">
        <v>15</v>
      </c>
      <c r="D66" s="198" t="str">
        <f t="shared" si="19"/>
        <v>C</v>
      </c>
      <c r="E66" s="199">
        <v>44799.677083333336</v>
      </c>
      <c r="F66" s="200" t="s">
        <v>93</v>
      </c>
      <c r="G66" s="201">
        <v>13180.35</v>
      </c>
      <c r="H66" s="201">
        <v>13151.21</v>
      </c>
      <c r="I66" s="202">
        <f t="shared" si="20"/>
        <v>29.140000000001237</v>
      </c>
      <c r="J66" s="201">
        <v>13491.21</v>
      </c>
      <c r="K66" s="199">
        <v>44799.681250000001</v>
      </c>
      <c r="L66" s="201">
        <v>13151.21</v>
      </c>
      <c r="M66" s="203">
        <f t="shared" si="21"/>
        <v>-29.14</v>
      </c>
      <c r="N66" s="204">
        <f t="shared" si="22"/>
        <v>-1</v>
      </c>
      <c r="O66" s="205">
        <f t="shared" si="23"/>
        <v>0</v>
      </c>
      <c r="P66" s="206">
        <f t="shared" si="24"/>
        <v>0</v>
      </c>
      <c r="Q66" s="206">
        <f t="shared" si="25"/>
        <v>-1</v>
      </c>
      <c r="R6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15088</v>
      </c>
      <c r="T6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15288</v>
      </c>
      <c r="U66" s="208">
        <f ca="1">IF(Tabla336106734812[[#This Row],[Equity]]&lt;Tabla336106734812[[#This Row],[Equity Peak]],(Tabla336106734812[[#This Row],[Equity Peak]]-Tabla336106734812[[#This Row],[Equity]])/Tabla336106734812[[#This Row],[Equity Peak]],"")</f>
        <v>1.3082155939298797E-2</v>
      </c>
      <c r="V66" s="209">
        <f t="shared" si="26"/>
        <v>0</v>
      </c>
      <c r="W66" s="209">
        <f t="shared" si="27"/>
        <v>0</v>
      </c>
      <c r="X66" s="209">
        <f t="shared" si="28"/>
        <v>0</v>
      </c>
      <c r="Y66" s="209">
        <f t="shared" si="29"/>
        <v>0</v>
      </c>
      <c r="Z66" s="209">
        <f t="shared" si="30"/>
        <v>-1</v>
      </c>
      <c r="AA66" s="205">
        <f t="shared" si="31"/>
        <v>0</v>
      </c>
      <c r="AB66" s="209">
        <f t="shared" si="32"/>
        <v>0</v>
      </c>
      <c r="AC66" s="205">
        <f t="shared" si="33"/>
        <v>0</v>
      </c>
      <c r="AD66" s="210">
        <f t="shared" si="34"/>
        <v>4.166666665696539E-3</v>
      </c>
      <c r="AE66" s="210">
        <f t="shared" si="35"/>
        <v>0</v>
      </c>
      <c r="AF66" s="210">
        <f t="shared" si="36"/>
        <v>4.166666665696539E-3</v>
      </c>
      <c r="AG66" s="210">
        <f t="shared" si="37"/>
        <v>0</v>
      </c>
    </row>
    <row r="67" spans="2:33" ht="15" customHeight="1" x14ac:dyDescent="0.3">
      <c r="B67" s="196" t="s">
        <v>5</v>
      </c>
      <c r="C67" s="197" t="s">
        <v>15</v>
      </c>
      <c r="D67" s="198" t="str">
        <f t="shared" si="19"/>
        <v>C</v>
      </c>
      <c r="E67" s="199">
        <v>44798.958333333336</v>
      </c>
      <c r="F67" s="200" t="s">
        <v>93</v>
      </c>
      <c r="G67" s="201">
        <v>13138.89</v>
      </c>
      <c r="H67" s="201">
        <v>13108.17</v>
      </c>
      <c r="I67" s="202">
        <f t="shared" si="20"/>
        <v>30.719999999999345</v>
      </c>
      <c r="J67" s="201">
        <v>13466.55</v>
      </c>
      <c r="K67" s="199">
        <v>44799.359722222223</v>
      </c>
      <c r="L67" s="201">
        <v>13108.17</v>
      </c>
      <c r="M67" s="203">
        <f t="shared" si="21"/>
        <v>-30.72</v>
      </c>
      <c r="N67" s="204">
        <f t="shared" si="22"/>
        <v>-1</v>
      </c>
      <c r="O67" s="205">
        <f t="shared" si="23"/>
        <v>0</v>
      </c>
      <c r="P67" s="206">
        <f t="shared" si="24"/>
        <v>0</v>
      </c>
      <c r="Q67" s="206">
        <f t="shared" si="25"/>
        <v>-1</v>
      </c>
      <c r="R6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15188</v>
      </c>
      <c r="T6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15288</v>
      </c>
      <c r="U67" s="208">
        <f ca="1">IF(Tabla336106734812[[#This Row],[Equity]]&lt;Tabla336106734812[[#This Row],[Equity Peak]],(Tabla336106734812[[#This Row],[Equity Peak]]-Tabla336106734812[[#This Row],[Equity]])/Tabla336106734812[[#This Row],[Equity Peak]],"")</f>
        <v>6.5410779696493983E-3</v>
      </c>
      <c r="V67" s="209">
        <f t="shared" si="26"/>
        <v>0</v>
      </c>
      <c r="W67" s="209">
        <f t="shared" si="27"/>
        <v>0</v>
      </c>
      <c r="X67" s="209">
        <f t="shared" si="28"/>
        <v>0</v>
      </c>
      <c r="Y67" s="209">
        <f t="shared" si="29"/>
        <v>0</v>
      </c>
      <c r="Z67" s="209">
        <f t="shared" si="30"/>
        <v>-1</v>
      </c>
      <c r="AA67" s="205">
        <f t="shared" si="31"/>
        <v>0</v>
      </c>
      <c r="AB67" s="209">
        <f t="shared" si="32"/>
        <v>0</v>
      </c>
      <c r="AC67" s="205">
        <f t="shared" si="33"/>
        <v>0</v>
      </c>
      <c r="AD67" s="210">
        <f t="shared" si="34"/>
        <v>0.40138888888759539</v>
      </c>
      <c r="AE67" s="210">
        <f t="shared" si="35"/>
        <v>0</v>
      </c>
      <c r="AF67" s="210">
        <f t="shared" si="36"/>
        <v>0.40138888888759539</v>
      </c>
      <c r="AG67" s="210">
        <f t="shared" si="37"/>
        <v>0</v>
      </c>
    </row>
    <row r="68" spans="2:33" ht="15" customHeight="1" x14ac:dyDescent="0.3">
      <c r="B68" s="196" t="s">
        <v>5</v>
      </c>
      <c r="C68" s="197" t="s">
        <v>13</v>
      </c>
      <c r="D68" s="198" t="str">
        <f t="shared" si="19"/>
        <v>C</v>
      </c>
      <c r="E68" s="199">
        <v>44792.708333333336</v>
      </c>
      <c r="F68" s="200" t="s">
        <v>93</v>
      </c>
      <c r="G68" s="201">
        <v>13281.82</v>
      </c>
      <c r="H68" s="201">
        <v>13311.89</v>
      </c>
      <c r="I68" s="202">
        <f t="shared" si="20"/>
        <v>30.069999999999709</v>
      </c>
      <c r="J68" s="201">
        <v>12961.05</v>
      </c>
      <c r="K68" s="199">
        <v>44795.72152777778</v>
      </c>
      <c r="L68" s="201">
        <v>12961.05</v>
      </c>
      <c r="M68" s="203">
        <f t="shared" si="21"/>
        <v>320.77</v>
      </c>
      <c r="N68" s="204">
        <f t="shared" si="22"/>
        <v>10.67</v>
      </c>
      <c r="O68" s="205">
        <f t="shared" si="23"/>
        <v>0</v>
      </c>
      <c r="P68" s="206">
        <f t="shared" si="24"/>
        <v>10.67</v>
      </c>
      <c r="Q68" s="206">
        <f t="shared" si="25"/>
        <v>0</v>
      </c>
      <c r="R6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15288</v>
      </c>
      <c r="T6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15288</v>
      </c>
      <c r="U68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8" s="209">
        <f t="shared" si="26"/>
        <v>0</v>
      </c>
      <c r="W68" s="209">
        <f t="shared" si="27"/>
        <v>0</v>
      </c>
      <c r="X68" s="209">
        <f t="shared" si="28"/>
        <v>0</v>
      </c>
      <c r="Y68" s="209">
        <f t="shared" si="29"/>
        <v>0</v>
      </c>
      <c r="Z68" s="209">
        <f t="shared" si="30"/>
        <v>10.67</v>
      </c>
      <c r="AA68" s="205">
        <f t="shared" si="31"/>
        <v>0</v>
      </c>
      <c r="AB68" s="209">
        <f t="shared" si="32"/>
        <v>0</v>
      </c>
      <c r="AC68" s="205">
        <f t="shared" si="33"/>
        <v>0</v>
      </c>
      <c r="AD68" s="210">
        <f t="shared" si="34"/>
        <v>3.0131944444437977</v>
      </c>
      <c r="AE68" s="210">
        <f t="shared" si="35"/>
        <v>3.0131944444437977</v>
      </c>
      <c r="AF68" s="210">
        <f t="shared" si="36"/>
        <v>0</v>
      </c>
      <c r="AG68" s="210">
        <f t="shared" si="37"/>
        <v>0</v>
      </c>
    </row>
    <row r="69" spans="2:33" ht="15" customHeight="1" x14ac:dyDescent="0.3">
      <c r="B69" s="196" t="s">
        <v>5</v>
      </c>
      <c r="C69" s="197" t="s">
        <v>15</v>
      </c>
      <c r="D69" s="198" t="str">
        <f t="shared" si="19"/>
        <v>C</v>
      </c>
      <c r="E69" s="199">
        <v>44789.885416666664</v>
      </c>
      <c r="F69" s="200" t="s">
        <v>93</v>
      </c>
      <c r="G69" s="201">
        <v>13708.62</v>
      </c>
      <c r="H69" s="201">
        <v>13683.31</v>
      </c>
      <c r="I69" s="202">
        <f t="shared" si="20"/>
        <v>25.31000000000131</v>
      </c>
      <c r="J69" s="201">
        <v>13978.64</v>
      </c>
      <c r="K69" s="199">
        <v>44789.895138888889</v>
      </c>
      <c r="L69" s="201">
        <v>13683.31</v>
      </c>
      <c r="M69" s="203">
        <f t="shared" si="21"/>
        <v>-25.31</v>
      </c>
      <c r="N69" s="204">
        <f t="shared" si="22"/>
        <v>-1</v>
      </c>
      <c r="O69" s="205">
        <f t="shared" si="23"/>
        <v>0</v>
      </c>
      <c r="P69" s="206">
        <f t="shared" si="24"/>
        <v>0</v>
      </c>
      <c r="Q69" s="206">
        <f t="shared" si="25"/>
        <v>-1</v>
      </c>
      <c r="R6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14221</v>
      </c>
      <c r="T6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69" s="208">
        <f ca="1">IF(Tabla336106734812[[#This Row],[Equity]]&lt;Tabla336106734812[[#This Row],[Equity Peak]],(Tabla336106734812[[#This Row],[Equity Peak]]-Tabla336106734812[[#This Row],[Equity]])/Tabla336106734812[[#This Row],[Equity Peak]],"")</f>
        <v>4.5890640724589066E-2</v>
      </c>
      <c r="V69" s="209">
        <f t="shared" si="26"/>
        <v>0</v>
      </c>
      <c r="W69" s="209">
        <f t="shared" si="27"/>
        <v>0</v>
      </c>
      <c r="X69" s="209">
        <f t="shared" si="28"/>
        <v>0</v>
      </c>
      <c r="Y69" s="209">
        <f t="shared" si="29"/>
        <v>0</v>
      </c>
      <c r="Z69" s="209">
        <f t="shared" si="30"/>
        <v>-1</v>
      </c>
      <c r="AA69" s="205">
        <f t="shared" si="31"/>
        <v>0</v>
      </c>
      <c r="AB69" s="209">
        <f t="shared" si="32"/>
        <v>0</v>
      </c>
      <c r="AC69" s="205">
        <f t="shared" si="33"/>
        <v>0</v>
      </c>
      <c r="AD69" s="210">
        <f t="shared" si="34"/>
        <v>9.7222222248092294E-3</v>
      </c>
      <c r="AE69" s="210">
        <f t="shared" si="35"/>
        <v>0</v>
      </c>
      <c r="AF69" s="210">
        <f t="shared" si="36"/>
        <v>9.7222222248092294E-3</v>
      </c>
      <c r="AG69" s="210">
        <f t="shared" si="37"/>
        <v>0</v>
      </c>
    </row>
    <row r="70" spans="2:33" ht="15" customHeight="1" x14ac:dyDescent="0.3">
      <c r="B70" s="196" t="s">
        <v>5</v>
      </c>
      <c r="C70" s="197" t="s">
        <v>15</v>
      </c>
      <c r="D70" s="198" t="str">
        <f t="shared" si="19"/>
        <v>C</v>
      </c>
      <c r="E70" s="199">
        <v>44788.78125</v>
      </c>
      <c r="F70" s="200" t="s">
        <v>93</v>
      </c>
      <c r="G70" s="201">
        <v>13611.85</v>
      </c>
      <c r="H70" s="201">
        <v>13586.71</v>
      </c>
      <c r="I70" s="202">
        <f t="shared" si="20"/>
        <v>25.140000000001237</v>
      </c>
      <c r="J70" s="201">
        <v>13879.98</v>
      </c>
      <c r="K70" s="199">
        <v>44789.417361111111</v>
      </c>
      <c r="L70" s="201">
        <v>13615.35</v>
      </c>
      <c r="M70" s="203">
        <f t="shared" si="21"/>
        <v>3.5</v>
      </c>
      <c r="N70" s="204">
        <f t="shared" si="22"/>
        <v>0.14000000000000001</v>
      </c>
      <c r="O70" s="205">
        <f t="shared" si="23"/>
        <v>0</v>
      </c>
      <c r="P70" s="206">
        <f t="shared" si="24"/>
        <v>0.14000000000000001</v>
      </c>
      <c r="Q70" s="206">
        <f t="shared" si="25"/>
        <v>0</v>
      </c>
      <c r="R7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14321</v>
      </c>
      <c r="T7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0" s="208">
        <f ca="1">IF(Tabla336106734812[[#This Row],[Equity]]&lt;Tabla336106734812[[#This Row],[Equity Peak]],(Tabla336106734812[[#This Row],[Equity Peak]]-Tabla336106734812[[#This Row],[Equity]])/Tabla336106734812[[#This Row],[Equity Peak]],"")</f>
        <v>3.9181482723918151E-2</v>
      </c>
      <c r="V70" s="209">
        <f t="shared" si="26"/>
        <v>0</v>
      </c>
      <c r="W70" s="209">
        <f t="shared" si="27"/>
        <v>0</v>
      </c>
      <c r="X70" s="209">
        <f t="shared" si="28"/>
        <v>0</v>
      </c>
      <c r="Y70" s="209">
        <f t="shared" si="29"/>
        <v>0</v>
      </c>
      <c r="Z70" s="209">
        <f t="shared" si="30"/>
        <v>0.14000000000000001</v>
      </c>
      <c r="AA70" s="205">
        <f t="shared" si="31"/>
        <v>0</v>
      </c>
      <c r="AB70" s="209">
        <f t="shared" si="32"/>
        <v>0</v>
      </c>
      <c r="AC70" s="205">
        <f t="shared" si="33"/>
        <v>0</v>
      </c>
      <c r="AD70" s="210">
        <f t="shared" si="34"/>
        <v>0.63611111111094942</v>
      </c>
      <c r="AE70" s="210">
        <f t="shared" si="35"/>
        <v>0.63611111111094942</v>
      </c>
      <c r="AF70" s="210">
        <f t="shared" si="36"/>
        <v>0</v>
      </c>
      <c r="AG70" s="210">
        <f t="shared" si="37"/>
        <v>0</v>
      </c>
    </row>
    <row r="71" spans="2:33" ht="15" customHeight="1" x14ac:dyDescent="0.3">
      <c r="B71" s="196" t="s">
        <v>5</v>
      </c>
      <c r="C71" s="197" t="s">
        <v>15</v>
      </c>
      <c r="D71" s="198" t="str">
        <f t="shared" si="19"/>
        <v>C</v>
      </c>
      <c r="E71" s="199">
        <v>44788.708333333336</v>
      </c>
      <c r="F71" s="200" t="s">
        <v>93</v>
      </c>
      <c r="G71" s="201">
        <v>13593.35</v>
      </c>
      <c r="H71" s="201">
        <v>13568.62</v>
      </c>
      <c r="I71" s="202">
        <f t="shared" si="20"/>
        <v>24.729999999999563</v>
      </c>
      <c r="J71" s="201">
        <v>13857.14</v>
      </c>
      <c r="K71" s="199">
        <v>44788.709722222222</v>
      </c>
      <c r="L71" s="201">
        <v>13568.62</v>
      </c>
      <c r="M71" s="203">
        <f t="shared" si="21"/>
        <v>-24.73</v>
      </c>
      <c r="N71" s="204">
        <f t="shared" si="22"/>
        <v>-1</v>
      </c>
      <c r="O71" s="205">
        <f t="shared" si="23"/>
        <v>0</v>
      </c>
      <c r="P71" s="206">
        <f t="shared" si="24"/>
        <v>0</v>
      </c>
      <c r="Q71" s="206">
        <f t="shared" si="25"/>
        <v>-1</v>
      </c>
      <c r="R7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14307</v>
      </c>
      <c r="T7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1" s="208">
        <f ca="1">IF(Tabla336106734812[[#This Row],[Equity]]&lt;Tabla336106734812[[#This Row],[Equity Peak]],(Tabla336106734812[[#This Row],[Equity Peak]]-Tabla336106734812[[#This Row],[Equity]])/Tabla336106734812[[#This Row],[Equity Peak]],"")</f>
        <v>4.0120764844012079E-2</v>
      </c>
      <c r="V71" s="209">
        <f t="shared" si="26"/>
        <v>0</v>
      </c>
      <c r="W71" s="209">
        <f t="shared" si="27"/>
        <v>0</v>
      </c>
      <c r="X71" s="209">
        <f t="shared" si="28"/>
        <v>0</v>
      </c>
      <c r="Y71" s="209">
        <f t="shared" si="29"/>
        <v>0</v>
      </c>
      <c r="Z71" s="209">
        <f t="shared" si="30"/>
        <v>-1</v>
      </c>
      <c r="AA71" s="205">
        <f t="shared" si="31"/>
        <v>0</v>
      </c>
      <c r="AB71" s="209">
        <f t="shared" si="32"/>
        <v>0</v>
      </c>
      <c r="AC71" s="205">
        <f t="shared" si="33"/>
        <v>0</v>
      </c>
      <c r="AD71" s="210">
        <f t="shared" si="34"/>
        <v>1.3888888861401938E-3</v>
      </c>
      <c r="AE71" s="210">
        <f t="shared" si="35"/>
        <v>0</v>
      </c>
      <c r="AF71" s="210">
        <f t="shared" si="36"/>
        <v>1.3888888861401938E-3</v>
      </c>
      <c r="AG71" s="210">
        <f t="shared" si="37"/>
        <v>0</v>
      </c>
    </row>
    <row r="72" spans="2:33" ht="15" customHeight="1" x14ac:dyDescent="0.3">
      <c r="B72" s="196" t="s">
        <v>5</v>
      </c>
      <c r="C72" s="197" t="s">
        <v>15</v>
      </c>
      <c r="D72" s="198" t="str">
        <f t="shared" si="19"/>
        <v>C</v>
      </c>
      <c r="E72" s="199">
        <v>44785.958333333336</v>
      </c>
      <c r="F72" s="200" t="s">
        <v>93</v>
      </c>
      <c r="G72" s="201">
        <v>13552.12</v>
      </c>
      <c r="H72" s="201">
        <v>13524.58</v>
      </c>
      <c r="I72" s="202">
        <f t="shared" si="20"/>
        <v>27.540000000000873</v>
      </c>
      <c r="J72" s="201">
        <v>13845.89</v>
      </c>
      <c r="K72" s="199">
        <v>44788.045138888891</v>
      </c>
      <c r="L72" s="201">
        <v>13524.58</v>
      </c>
      <c r="M72" s="203">
        <f t="shared" si="21"/>
        <v>-27.54</v>
      </c>
      <c r="N72" s="204">
        <f t="shared" si="22"/>
        <v>-1</v>
      </c>
      <c r="O72" s="205">
        <f t="shared" si="23"/>
        <v>0</v>
      </c>
      <c r="P72" s="206">
        <f t="shared" si="24"/>
        <v>0</v>
      </c>
      <c r="Q72" s="206">
        <f t="shared" si="25"/>
        <v>-1</v>
      </c>
      <c r="R7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14407</v>
      </c>
      <c r="T7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2" s="208">
        <f ca="1">IF(Tabla336106734812[[#This Row],[Equity]]&lt;Tabla336106734812[[#This Row],[Equity Peak]],(Tabla336106734812[[#This Row],[Equity Peak]]-Tabla336106734812[[#This Row],[Equity]])/Tabla336106734812[[#This Row],[Equity Peak]],"")</f>
        <v>3.3411606843341157E-2</v>
      </c>
      <c r="V72" s="209">
        <f t="shared" si="26"/>
        <v>0</v>
      </c>
      <c r="W72" s="209">
        <f t="shared" si="27"/>
        <v>0</v>
      </c>
      <c r="X72" s="209">
        <f t="shared" si="28"/>
        <v>0</v>
      </c>
      <c r="Y72" s="209">
        <f t="shared" si="29"/>
        <v>0</v>
      </c>
      <c r="Z72" s="209">
        <f t="shared" si="30"/>
        <v>-1</v>
      </c>
      <c r="AA72" s="205">
        <f t="shared" si="31"/>
        <v>0</v>
      </c>
      <c r="AB72" s="209">
        <f t="shared" si="32"/>
        <v>0</v>
      </c>
      <c r="AC72" s="205">
        <f t="shared" si="33"/>
        <v>0</v>
      </c>
      <c r="AD72" s="210">
        <f t="shared" si="34"/>
        <v>2.0868055555547471</v>
      </c>
      <c r="AE72" s="210">
        <f t="shared" si="35"/>
        <v>0</v>
      </c>
      <c r="AF72" s="210">
        <f t="shared" si="36"/>
        <v>2.0868055555547471</v>
      </c>
      <c r="AG72" s="210">
        <f t="shared" si="37"/>
        <v>0</v>
      </c>
    </row>
    <row r="73" spans="2:33" ht="15" customHeight="1" x14ac:dyDescent="0.3">
      <c r="B73" s="196" t="s">
        <v>5</v>
      </c>
      <c r="C73" s="197" t="s">
        <v>15</v>
      </c>
      <c r="D73" s="198" t="str">
        <f t="shared" si="19"/>
        <v>C</v>
      </c>
      <c r="E73" s="199">
        <v>44783.947916666664</v>
      </c>
      <c r="F73" s="200" t="s">
        <v>93</v>
      </c>
      <c r="G73" s="201">
        <v>13371.43</v>
      </c>
      <c r="H73" s="201">
        <v>13336.57</v>
      </c>
      <c r="I73" s="202">
        <f t="shared" si="20"/>
        <v>34.860000000000582</v>
      </c>
      <c r="J73" s="201">
        <v>13743.23</v>
      </c>
      <c r="K73" s="199">
        <v>44784.740972222222</v>
      </c>
      <c r="L73" s="201">
        <v>13455.18</v>
      </c>
      <c r="M73" s="203">
        <f t="shared" si="21"/>
        <v>83.75</v>
      </c>
      <c r="N73" s="204">
        <f t="shared" si="22"/>
        <v>2.4</v>
      </c>
      <c r="O73" s="205">
        <f t="shared" si="23"/>
        <v>0</v>
      </c>
      <c r="P73" s="206">
        <f t="shared" si="24"/>
        <v>2.4</v>
      </c>
      <c r="Q73" s="206">
        <f t="shared" si="25"/>
        <v>0</v>
      </c>
      <c r="R7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14507</v>
      </c>
      <c r="T7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3" s="208">
        <f ca="1">IF(Tabla336106734812[[#This Row],[Equity]]&lt;Tabla336106734812[[#This Row],[Equity Peak]],(Tabla336106734812[[#This Row],[Equity Peak]]-Tabla336106734812[[#This Row],[Equity]])/Tabla336106734812[[#This Row],[Equity Peak]],"")</f>
        <v>2.6702448842670246E-2</v>
      </c>
      <c r="V73" s="209">
        <f t="shared" si="26"/>
        <v>0</v>
      </c>
      <c r="W73" s="209">
        <f t="shared" si="27"/>
        <v>0</v>
      </c>
      <c r="X73" s="209">
        <f t="shared" si="28"/>
        <v>0</v>
      </c>
      <c r="Y73" s="209">
        <f t="shared" si="29"/>
        <v>0</v>
      </c>
      <c r="Z73" s="209">
        <f t="shared" si="30"/>
        <v>2.4</v>
      </c>
      <c r="AA73" s="205">
        <f t="shared" si="31"/>
        <v>0</v>
      </c>
      <c r="AB73" s="209">
        <f t="shared" si="32"/>
        <v>0</v>
      </c>
      <c r="AC73" s="205">
        <f t="shared" si="33"/>
        <v>0</v>
      </c>
      <c r="AD73" s="210">
        <f t="shared" si="34"/>
        <v>0.7930555555576575</v>
      </c>
      <c r="AE73" s="210">
        <f t="shared" si="35"/>
        <v>0.7930555555576575</v>
      </c>
      <c r="AF73" s="210">
        <f t="shared" si="36"/>
        <v>0</v>
      </c>
      <c r="AG73" s="210">
        <f t="shared" si="37"/>
        <v>0</v>
      </c>
    </row>
    <row r="74" spans="2:33" ht="15" customHeight="1" x14ac:dyDescent="0.3">
      <c r="B74" s="196" t="s">
        <v>5</v>
      </c>
      <c r="C74" s="197" t="s">
        <v>15</v>
      </c>
      <c r="D74" s="198" t="str">
        <f t="shared" si="19"/>
        <v>C</v>
      </c>
      <c r="E74" s="199">
        <v>44781.708333333336</v>
      </c>
      <c r="F74" s="200" t="s">
        <v>93</v>
      </c>
      <c r="G74" s="201">
        <v>13364.25</v>
      </c>
      <c r="H74" s="201">
        <v>13327.59</v>
      </c>
      <c r="I74" s="202">
        <f t="shared" si="20"/>
        <v>36.659999999999854</v>
      </c>
      <c r="J74" s="201">
        <v>13755.33</v>
      </c>
      <c r="K74" s="199">
        <v>44781.727083333331</v>
      </c>
      <c r="L74" s="201">
        <v>13327.59</v>
      </c>
      <c r="M74" s="203">
        <f t="shared" si="21"/>
        <v>-36.659999999999997</v>
      </c>
      <c r="N74" s="204">
        <f t="shared" si="22"/>
        <v>-1</v>
      </c>
      <c r="O74" s="205">
        <f t="shared" si="23"/>
        <v>0</v>
      </c>
      <c r="P74" s="206">
        <f t="shared" si="24"/>
        <v>0</v>
      </c>
      <c r="Q74" s="206">
        <f t="shared" si="25"/>
        <v>-1</v>
      </c>
      <c r="R7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14267</v>
      </c>
      <c r="T7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4" s="208">
        <f ca="1">IF(Tabla336106734812[[#This Row],[Equity]]&lt;Tabla336106734812[[#This Row],[Equity Peak]],(Tabla336106734812[[#This Row],[Equity Peak]]-Tabla336106734812[[#This Row],[Equity]])/Tabla336106734812[[#This Row],[Equity Peak]],"")</f>
        <v>4.2804428044280446E-2</v>
      </c>
      <c r="V74" s="209">
        <f t="shared" si="26"/>
        <v>0</v>
      </c>
      <c r="W74" s="209">
        <f t="shared" si="27"/>
        <v>0</v>
      </c>
      <c r="X74" s="209">
        <f t="shared" si="28"/>
        <v>0</v>
      </c>
      <c r="Y74" s="209">
        <f t="shared" si="29"/>
        <v>0</v>
      </c>
      <c r="Z74" s="209">
        <f t="shared" si="30"/>
        <v>-1</v>
      </c>
      <c r="AA74" s="205">
        <f t="shared" si="31"/>
        <v>0</v>
      </c>
      <c r="AB74" s="209">
        <f t="shared" si="32"/>
        <v>0</v>
      </c>
      <c r="AC74" s="205">
        <f t="shared" si="33"/>
        <v>0</v>
      </c>
      <c r="AD74" s="210">
        <f t="shared" si="34"/>
        <v>1.8749999995634425E-2</v>
      </c>
      <c r="AE74" s="210">
        <f t="shared" si="35"/>
        <v>0</v>
      </c>
      <c r="AF74" s="210">
        <f t="shared" si="36"/>
        <v>1.8749999995634425E-2</v>
      </c>
      <c r="AG74" s="210">
        <f t="shared" si="37"/>
        <v>0</v>
      </c>
    </row>
    <row r="75" spans="2:33" ht="15" customHeight="1" x14ac:dyDescent="0.3">
      <c r="B75" s="196" t="s">
        <v>5</v>
      </c>
      <c r="C75" s="197" t="s">
        <v>15</v>
      </c>
      <c r="D75" s="198" t="str">
        <f t="shared" si="19"/>
        <v>C</v>
      </c>
      <c r="E75" s="199">
        <v>44778.177083333336</v>
      </c>
      <c r="F75" s="200" t="s">
        <v>93</v>
      </c>
      <c r="G75" s="201">
        <v>13330.05</v>
      </c>
      <c r="H75" s="201">
        <v>13294.72</v>
      </c>
      <c r="I75" s="202">
        <f t="shared" si="20"/>
        <v>35.329999999999927</v>
      </c>
      <c r="J75" s="201">
        <v>13706.92</v>
      </c>
      <c r="K75" s="199">
        <v>44778.487500000003</v>
      </c>
      <c r="L75" s="201">
        <v>13294.72</v>
      </c>
      <c r="M75" s="203">
        <f t="shared" si="21"/>
        <v>-35.33</v>
      </c>
      <c r="N75" s="204">
        <f t="shared" si="22"/>
        <v>-1</v>
      </c>
      <c r="O75" s="205">
        <f t="shared" si="23"/>
        <v>0</v>
      </c>
      <c r="P75" s="206">
        <f t="shared" si="24"/>
        <v>0</v>
      </c>
      <c r="Q75" s="206">
        <f t="shared" si="25"/>
        <v>-1</v>
      </c>
      <c r="R7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14367</v>
      </c>
      <c r="T7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5" s="208">
        <f ca="1">IF(Tabla336106734812[[#This Row],[Equity]]&lt;Tabla336106734812[[#This Row],[Equity Peak]],(Tabla336106734812[[#This Row],[Equity Peak]]-Tabla336106734812[[#This Row],[Equity]])/Tabla336106734812[[#This Row],[Equity Peak]],"")</f>
        <v>3.6095270043609524E-2</v>
      </c>
      <c r="V75" s="209">
        <f t="shared" si="26"/>
        <v>0</v>
      </c>
      <c r="W75" s="209">
        <f t="shared" si="27"/>
        <v>0</v>
      </c>
      <c r="X75" s="209">
        <f t="shared" si="28"/>
        <v>0</v>
      </c>
      <c r="Y75" s="209">
        <f t="shared" si="29"/>
        <v>0</v>
      </c>
      <c r="Z75" s="209">
        <f t="shared" si="30"/>
        <v>-1</v>
      </c>
      <c r="AA75" s="205">
        <f t="shared" si="31"/>
        <v>0</v>
      </c>
      <c r="AB75" s="209">
        <f t="shared" si="32"/>
        <v>0</v>
      </c>
      <c r="AC75" s="205">
        <f t="shared" si="33"/>
        <v>0</v>
      </c>
      <c r="AD75" s="210">
        <f t="shared" si="34"/>
        <v>0.31041666666715173</v>
      </c>
      <c r="AE75" s="210">
        <f t="shared" si="35"/>
        <v>0</v>
      </c>
      <c r="AF75" s="210">
        <f t="shared" si="36"/>
        <v>0.31041666666715173</v>
      </c>
      <c r="AG75" s="210">
        <f t="shared" si="37"/>
        <v>0</v>
      </c>
    </row>
    <row r="76" spans="2:33" ht="15" customHeight="1" x14ac:dyDescent="0.3">
      <c r="B76" s="196" t="s">
        <v>5</v>
      </c>
      <c r="C76" s="197" t="s">
        <v>15</v>
      </c>
      <c r="D76" s="198" t="str">
        <f t="shared" si="19"/>
        <v>C</v>
      </c>
      <c r="E76" s="199">
        <v>44776.760416666664</v>
      </c>
      <c r="F76" s="200" t="s">
        <v>93</v>
      </c>
      <c r="G76" s="201">
        <v>13149.04</v>
      </c>
      <c r="H76" s="201">
        <v>13108.81</v>
      </c>
      <c r="I76" s="202">
        <f t="shared" si="20"/>
        <v>40.230000000001382</v>
      </c>
      <c r="J76" s="201">
        <v>13578.13</v>
      </c>
      <c r="K76" s="199">
        <v>44777.6875</v>
      </c>
      <c r="L76" s="201">
        <v>13235.94</v>
      </c>
      <c r="M76" s="203">
        <f t="shared" si="21"/>
        <v>86.9</v>
      </c>
      <c r="N76" s="204">
        <f t="shared" si="22"/>
        <v>2.16</v>
      </c>
      <c r="O76" s="205">
        <f t="shared" si="23"/>
        <v>0</v>
      </c>
      <c r="P76" s="206">
        <f t="shared" si="24"/>
        <v>2.16</v>
      </c>
      <c r="Q76" s="206">
        <f t="shared" si="25"/>
        <v>0</v>
      </c>
      <c r="R7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14467</v>
      </c>
      <c r="T7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6" s="208">
        <f ca="1">IF(Tabla336106734812[[#This Row],[Equity]]&lt;Tabla336106734812[[#This Row],[Equity Peak]],(Tabla336106734812[[#This Row],[Equity Peak]]-Tabla336106734812[[#This Row],[Equity]])/Tabla336106734812[[#This Row],[Equity Peak]],"")</f>
        <v>2.938611204293861E-2</v>
      </c>
      <c r="V76" s="209">
        <f t="shared" si="26"/>
        <v>0</v>
      </c>
      <c r="W76" s="209">
        <f t="shared" si="27"/>
        <v>0</v>
      </c>
      <c r="X76" s="209">
        <f t="shared" si="28"/>
        <v>0</v>
      </c>
      <c r="Y76" s="209">
        <f t="shared" si="29"/>
        <v>0</v>
      </c>
      <c r="Z76" s="209">
        <f t="shared" si="30"/>
        <v>2.16</v>
      </c>
      <c r="AA76" s="205">
        <f t="shared" si="31"/>
        <v>0</v>
      </c>
      <c r="AB76" s="209">
        <f t="shared" si="32"/>
        <v>0</v>
      </c>
      <c r="AC76" s="205">
        <f t="shared" si="33"/>
        <v>0</v>
      </c>
      <c r="AD76" s="210">
        <f t="shared" si="34"/>
        <v>0.92708333333575865</v>
      </c>
      <c r="AE76" s="210">
        <f t="shared" si="35"/>
        <v>0.92708333333575865</v>
      </c>
      <c r="AF76" s="210">
        <f t="shared" si="36"/>
        <v>0</v>
      </c>
      <c r="AG76" s="210">
        <f t="shared" si="37"/>
        <v>0</v>
      </c>
    </row>
    <row r="77" spans="2:33" ht="15" customHeight="1" x14ac:dyDescent="0.3">
      <c r="B77" s="196" t="s">
        <v>5</v>
      </c>
      <c r="C77" s="197" t="s">
        <v>15</v>
      </c>
      <c r="D77" s="198" t="str">
        <f t="shared" si="19"/>
        <v>C</v>
      </c>
      <c r="E77" s="199">
        <v>44776.708333333336</v>
      </c>
      <c r="F77" s="200" t="s">
        <v>93</v>
      </c>
      <c r="G77" s="201">
        <v>13090.17</v>
      </c>
      <c r="H77" s="201">
        <v>13050.1</v>
      </c>
      <c r="I77" s="202">
        <f t="shared" si="20"/>
        <v>40.069999999999709</v>
      </c>
      <c r="J77" s="201">
        <v>13517.55</v>
      </c>
      <c r="K77" s="199">
        <v>44776.732638888891</v>
      </c>
      <c r="L77" s="201">
        <v>13050.1</v>
      </c>
      <c r="M77" s="203">
        <f t="shared" si="21"/>
        <v>-40.07</v>
      </c>
      <c r="N77" s="204">
        <f t="shared" si="22"/>
        <v>-1</v>
      </c>
      <c r="O77" s="205">
        <f t="shared" si="23"/>
        <v>0</v>
      </c>
      <c r="P77" s="206">
        <f t="shared" si="24"/>
        <v>0</v>
      </c>
      <c r="Q77" s="206">
        <f t="shared" si="25"/>
        <v>-1</v>
      </c>
      <c r="R7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14251</v>
      </c>
      <c r="T7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7" s="208">
        <f ca="1">IF(Tabla336106734812[[#This Row],[Equity]]&lt;Tabla336106734812[[#This Row],[Equity Peak]],(Tabla336106734812[[#This Row],[Equity Peak]]-Tabla336106734812[[#This Row],[Equity]])/Tabla336106734812[[#This Row],[Equity Peak]],"")</f>
        <v>4.3877893324387789E-2</v>
      </c>
      <c r="V77" s="209">
        <f t="shared" si="26"/>
        <v>0</v>
      </c>
      <c r="W77" s="209">
        <f t="shared" si="27"/>
        <v>0</v>
      </c>
      <c r="X77" s="209">
        <f t="shared" si="28"/>
        <v>0</v>
      </c>
      <c r="Y77" s="209">
        <f t="shared" si="29"/>
        <v>0</v>
      </c>
      <c r="Z77" s="209">
        <f t="shared" si="30"/>
        <v>-1</v>
      </c>
      <c r="AA77" s="205">
        <f t="shared" si="31"/>
        <v>0</v>
      </c>
      <c r="AB77" s="209">
        <f t="shared" si="32"/>
        <v>0</v>
      </c>
      <c r="AC77" s="205">
        <f t="shared" si="33"/>
        <v>0</v>
      </c>
      <c r="AD77" s="210">
        <f t="shared" si="34"/>
        <v>2.4305555554747116E-2</v>
      </c>
      <c r="AE77" s="210">
        <f t="shared" si="35"/>
        <v>0</v>
      </c>
      <c r="AF77" s="210">
        <f t="shared" si="36"/>
        <v>2.4305555554747116E-2</v>
      </c>
      <c r="AG77" s="210">
        <f t="shared" si="37"/>
        <v>0</v>
      </c>
    </row>
    <row r="78" spans="2:33" ht="15" customHeight="1" x14ac:dyDescent="0.3">
      <c r="B78" s="196" t="s">
        <v>5</v>
      </c>
      <c r="C78" s="197" t="s">
        <v>15</v>
      </c>
      <c r="D78" s="198" t="str">
        <f t="shared" si="19"/>
        <v>C</v>
      </c>
      <c r="E78" s="199">
        <v>44774.75</v>
      </c>
      <c r="F78" s="200" t="s">
        <v>93</v>
      </c>
      <c r="G78" s="201">
        <v>13060.15</v>
      </c>
      <c r="H78" s="201">
        <v>13026.44</v>
      </c>
      <c r="I78" s="202">
        <f t="shared" si="20"/>
        <v>33.709999999999127</v>
      </c>
      <c r="J78" s="201">
        <v>13419.76</v>
      </c>
      <c r="K78" s="199">
        <v>44774.754166666666</v>
      </c>
      <c r="L78" s="201">
        <v>13026.44</v>
      </c>
      <c r="M78" s="203">
        <f t="shared" si="21"/>
        <v>-33.71</v>
      </c>
      <c r="N78" s="204">
        <f t="shared" si="22"/>
        <v>-1</v>
      </c>
      <c r="O78" s="205">
        <f t="shared" si="23"/>
        <v>0</v>
      </c>
      <c r="P78" s="206">
        <f t="shared" si="24"/>
        <v>0</v>
      </c>
      <c r="Q78" s="206">
        <f t="shared" si="25"/>
        <v>-1</v>
      </c>
      <c r="R7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14351</v>
      </c>
      <c r="T7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8" s="208">
        <f ca="1">IF(Tabla336106734812[[#This Row],[Equity]]&lt;Tabla336106734812[[#This Row],[Equity Peak]],(Tabla336106734812[[#This Row],[Equity Peak]]-Tabla336106734812[[#This Row],[Equity]])/Tabla336106734812[[#This Row],[Equity Peak]],"")</f>
        <v>3.7168735323716874E-2</v>
      </c>
      <c r="V78" s="209">
        <f t="shared" si="26"/>
        <v>0</v>
      </c>
      <c r="W78" s="209">
        <f t="shared" si="27"/>
        <v>0</v>
      </c>
      <c r="X78" s="209">
        <f t="shared" si="28"/>
        <v>0</v>
      </c>
      <c r="Y78" s="209">
        <f t="shared" si="29"/>
        <v>0</v>
      </c>
      <c r="Z78" s="209">
        <f t="shared" si="30"/>
        <v>-1</v>
      </c>
      <c r="AA78" s="205">
        <f t="shared" si="31"/>
        <v>0</v>
      </c>
      <c r="AB78" s="209">
        <f t="shared" si="32"/>
        <v>0</v>
      </c>
      <c r="AC78" s="205">
        <f t="shared" si="33"/>
        <v>0</v>
      </c>
      <c r="AD78" s="210">
        <f t="shared" si="34"/>
        <v>4.166666665696539E-3</v>
      </c>
      <c r="AE78" s="210">
        <f t="shared" si="35"/>
        <v>0</v>
      </c>
      <c r="AF78" s="210">
        <f t="shared" si="36"/>
        <v>4.166666665696539E-3</v>
      </c>
      <c r="AG78" s="210">
        <f t="shared" si="37"/>
        <v>0</v>
      </c>
    </row>
    <row r="79" spans="2:33" ht="15" customHeight="1" x14ac:dyDescent="0.3">
      <c r="B79" s="196" t="s">
        <v>5</v>
      </c>
      <c r="C79" s="197" t="s">
        <v>15</v>
      </c>
      <c r="D79" s="198" t="str">
        <f t="shared" si="19"/>
        <v>C</v>
      </c>
      <c r="E79" s="199">
        <v>44774.71875</v>
      </c>
      <c r="F79" s="200" t="s">
        <v>93</v>
      </c>
      <c r="G79" s="201">
        <v>13029.15</v>
      </c>
      <c r="H79" s="201">
        <v>12996.55</v>
      </c>
      <c r="I79" s="202">
        <f t="shared" si="20"/>
        <v>32.600000000000364</v>
      </c>
      <c r="J79" s="201">
        <v>13376.89</v>
      </c>
      <c r="K79" s="199">
        <v>44774.720833333333</v>
      </c>
      <c r="L79" s="201">
        <v>12996.55</v>
      </c>
      <c r="M79" s="203">
        <f t="shared" si="21"/>
        <v>-32.6</v>
      </c>
      <c r="N79" s="204">
        <f t="shared" si="22"/>
        <v>-1</v>
      </c>
      <c r="O79" s="205">
        <f t="shared" si="23"/>
        <v>0</v>
      </c>
      <c r="P79" s="206">
        <f t="shared" si="24"/>
        <v>0</v>
      </c>
      <c r="Q79" s="206">
        <f t="shared" si="25"/>
        <v>-1</v>
      </c>
      <c r="R7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14451</v>
      </c>
      <c r="T7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79" s="208">
        <f ca="1">IF(Tabla336106734812[[#This Row],[Equity]]&lt;Tabla336106734812[[#This Row],[Equity Peak]],(Tabla336106734812[[#This Row],[Equity Peak]]-Tabla336106734812[[#This Row],[Equity]])/Tabla336106734812[[#This Row],[Equity Peak]],"")</f>
        <v>3.0459577323045956E-2</v>
      </c>
      <c r="V79" s="209">
        <f t="shared" si="26"/>
        <v>0</v>
      </c>
      <c r="W79" s="209">
        <f t="shared" si="27"/>
        <v>0</v>
      </c>
      <c r="X79" s="209">
        <f t="shared" si="28"/>
        <v>0</v>
      </c>
      <c r="Y79" s="209">
        <f t="shared" si="29"/>
        <v>0</v>
      </c>
      <c r="Z79" s="209">
        <f t="shared" si="30"/>
        <v>-1</v>
      </c>
      <c r="AA79" s="205">
        <f t="shared" si="31"/>
        <v>0</v>
      </c>
      <c r="AB79" s="209">
        <f t="shared" si="32"/>
        <v>0</v>
      </c>
      <c r="AC79" s="205">
        <f t="shared" si="33"/>
        <v>0</v>
      </c>
      <c r="AD79" s="210">
        <f t="shared" si="34"/>
        <v>2.0833333328482695E-3</v>
      </c>
      <c r="AE79" s="210">
        <f t="shared" si="35"/>
        <v>0</v>
      </c>
      <c r="AF79" s="210">
        <f t="shared" si="36"/>
        <v>2.0833333328482695E-3</v>
      </c>
      <c r="AG79" s="210">
        <f t="shared" si="37"/>
        <v>0</v>
      </c>
    </row>
    <row r="80" spans="2:33" ht="15" customHeight="1" x14ac:dyDescent="0.3">
      <c r="B80" s="196" t="s">
        <v>5</v>
      </c>
      <c r="C80" s="197" t="s">
        <v>15</v>
      </c>
      <c r="D80" s="198" t="str">
        <f t="shared" si="19"/>
        <v>C</v>
      </c>
      <c r="E80" s="199">
        <v>44771.895833333336</v>
      </c>
      <c r="F80" s="200" t="s">
        <v>93</v>
      </c>
      <c r="G80" s="201">
        <v>12920.28</v>
      </c>
      <c r="H80" s="201">
        <v>12881.16</v>
      </c>
      <c r="I80" s="202">
        <f t="shared" si="20"/>
        <v>39.1200000000008</v>
      </c>
      <c r="J80" s="201">
        <v>13337.59</v>
      </c>
      <c r="K80" s="199">
        <v>44774.131944444445</v>
      </c>
      <c r="L80" s="201">
        <v>12881.16</v>
      </c>
      <c r="M80" s="203">
        <f t="shared" si="21"/>
        <v>-39.119999999999997</v>
      </c>
      <c r="N80" s="204">
        <f t="shared" si="22"/>
        <v>-1</v>
      </c>
      <c r="O80" s="205">
        <f t="shared" si="23"/>
        <v>0</v>
      </c>
      <c r="P80" s="206">
        <f t="shared" si="24"/>
        <v>0</v>
      </c>
      <c r="Q80" s="206">
        <f t="shared" si="25"/>
        <v>-1</v>
      </c>
      <c r="R8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14551</v>
      </c>
      <c r="T8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0" s="208">
        <f ca="1">IF(Tabla336106734812[[#This Row],[Equity]]&lt;Tabla336106734812[[#This Row],[Equity Peak]],(Tabla336106734812[[#This Row],[Equity Peak]]-Tabla336106734812[[#This Row],[Equity]])/Tabla336106734812[[#This Row],[Equity Peak]],"")</f>
        <v>2.3750419322375042E-2</v>
      </c>
      <c r="V80" s="209">
        <f t="shared" si="26"/>
        <v>0</v>
      </c>
      <c r="W80" s="209">
        <f t="shared" si="27"/>
        <v>0</v>
      </c>
      <c r="X80" s="209">
        <f t="shared" si="28"/>
        <v>0</v>
      </c>
      <c r="Y80" s="209">
        <f t="shared" si="29"/>
        <v>0</v>
      </c>
      <c r="Z80" s="209">
        <f t="shared" si="30"/>
        <v>-1</v>
      </c>
      <c r="AA80" s="205">
        <f t="shared" si="31"/>
        <v>0</v>
      </c>
      <c r="AB80" s="209">
        <f t="shared" si="32"/>
        <v>0</v>
      </c>
      <c r="AC80" s="205">
        <f t="shared" si="33"/>
        <v>0</v>
      </c>
      <c r="AD80" s="210">
        <f t="shared" si="34"/>
        <v>2.2361111111094942</v>
      </c>
      <c r="AE80" s="210">
        <f t="shared" si="35"/>
        <v>0</v>
      </c>
      <c r="AF80" s="210">
        <f t="shared" si="36"/>
        <v>2.2361111111094942</v>
      </c>
      <c r="AG80" s="210">
        <f t="shared" si="37"/>
        <v>0</v>
      </c>
    </row>
    <row r="81" spans="2:33" ht="15" customHeight="1" x14ac:dyDescent="0.3">
      <c r="B81" s="196" t="s">
        <v>5</v>
      </c>
      <c r="C81" s="197" t="s">
        <v>15</v>
      </c>
      <c r="D81" s="198" t="str">
        <f t="shared" si="19"/>
        <v>C</v>
      </c>
      <c r="E81" s="199">
        <v>44770.864583333336</v>
      </c>
      <c r="F81" s="200" t="s">
        <v>93</v>
      </c>
      <c r="G81" s="201">
        <v>12694.58</v>
      </c>
      <c r="H81" s="201">
        <v>12652.65</v>
      </c>
      <c r="I81" s="202">
        <f t="shared" si="20"/>
        <v>41.930000000000291</v>
      </c>
      <c r="J81" s="201">
        <v>13141.86</v>
      </c>
      <c r="K81" s="199">
        <v>44771.645833333336</v>
      </c>
      <c r="L81" s="201">
        <v>12799.07</v>
      </c>
      <c r="M81" s="203">
        <f t="shared" si="21"/>
        <v>104.49</v>
      </c>
      <c r="N81" s="204">
        <f t="shared" si="22"/>
        <v>2.4900000000000002</v>
      </c>
      <c r="O81" s="205">
        <f t="shared" si="23"/>
        <v>0</v>
      </c>
      <c r="P81" s="206">
        <f t="shared" si="24"/>
        <v>2.4900000000000002</v>
      </c>
      <c r="Q81" s="206">
        <f t="shared" si="25"/>
        <v>0</v>
      </c>
      <c r="R8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14651</v>
      </c>
      <c r="T8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1" s="208">
        <f ca="1">IF(Tabla336106734812[[#This Row],[Equity]]&lt;Tabla336106734812[[#This Row],[Equity Peak]],(Tabla336106734812[[#This Row],[Equity Peak]]-Tabla336106734812[[#This Row],[Equity]])/Tabla336106734812[[#This Row],[Equity Peak]],"")</f>
        <v>1.7041261321704127E-2</v>
      </c>
      <c r="V81" s="209">
        <f t="shared" si="26"/>
        <v>0</v>
      </c>
      <c r="W81" s="209">
        <f t="shared" si="27"/>
        <v>0</v>
      </c>
      <c r="X81" s="209">
        <f t="shared" si="28"/>
        <v>0</v>
      </c>
      <c r="Y81" s="209">
        <f t="shared" si="29"/>
        <v>0</v>
      </c>
      <c r="Z81" s="209">
        <f t="shared" si="30"/>
        <v>2.4900000000000002</v>
      </c>
      <c r="AA81" s="205">
        <f t="shared" si="31"/>
        <v>0</v>
      </c>
      <c r="AB81" s="209">
        <f t="shared" si="32"/>
        <v>0</v>
      </c>
      <c r="AC81" s="205">
        <f t="shared" si="33"/>
        <v>0</v>
      </c>
      <c r="AD81" s="210">
        <f t="shared" si="34"/>
        <v>0.78125</v>
      </c>
      <c r="AE81" s="210">
        <f t="shared" si="35"/>
        <v>0.78125</v>
      </c>
      <c r="AF81" s="210">
        <f t="shared" si="36"/>
        <v>0</v>
      </c>
      <c r="AG81" s="210">
        <f t="shared" si="37"/>
        <v>0</v>
      </c>
    </row>
    <row r="82" spans="2:33" ht="15" customHeight="1" x14ac:dyDescent="0.3">
      <c r="B82" s="196" t="s">
        <v>5</v>
      </c>
      <c r="C82" s="197" t="s">
        <v>15</v>
      </c>
      <c r="D82" s="198" t="str">
        <f t="shared" si="19"/>
        <v>C</v>
      </c>
      <c r="E82" s="199">
        <v>44769.90625</v>
      </c>
      <c r="F82" s="200" t="s">
        <v>93</v>
      </c>
      <c r="G82" s="201">
        <v>12563.34</v>
      </c>
      <c r="H82" s="201">
        <v>12528.39</v>
      </c>
      <c r="I82" s="202">
        <f t="shared" si="20"/>
        <v>34.950000000000728</v>
      </c>
      <c r="J82" s="201">
        <v>12936.09</v>
      </c>
      <c r="K82" s="199">
        <v>44769.958333333336</v>
      </c>
      <c r="L82" s="201">
        <v>12569.98</v>
      </c>
      <c r="M82" s="203">
        <f t="shared" si="21"/>
        <v>6.64</v>
      </c>
      <c r="N82" s="204">
        <f t="shared" si="22"/>
        <v>0.19</v>
      </c>
      <c r="O82" s="205">
        <f t="shared" si="23"/>
        <v>0</v>
      </c>
      <c r="P82" s="206">
        <f t="shared" si="24"/>
        <v>0.19</v>
      </c>
      <c r="Q82" s="206">
        <f t="shared" si="25"/>
        <v>0</v>
      </c>
      <c r="R8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14402</v>
      </c>
      <c r="T8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2" s="208">
        <f ca="1">IF(Tabla336106734812[[#This Row],[Equity]]&lt;Tabla336106734812[[#This Row],[Equity Peak]],(Tabla336106734812[[#This Row],[Equity Peak]]-Tabla336106734812[[#This Row],[Equity]])/Tabla336106734812[[#This Row],[Equity Peak]],"")</f>
        <v>3.3747064743374709E-2</v>
      </c>
      <c r="V82" s="209">
        <f t="shared" si="26"/>
        <v>0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0.19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5.2083333335758653E-2</v>
      </c>
      <c r="AE82" s="210">
        <f t="shared" si="35"/>
        <v>5.2083333335758653E-2</v>
      </c>
      <c r="AF82" s="210">
        <f t="shared" si="36"/>
        <v>0</v>
      </c>
      <c r="AG82" s="210">
        <f t="shared" si="37"/>
        <v>0</v>
      </c>
    </row>
    <row r="83" spans="2:33" ht="15" customHeight="1" x14ac:dyDescent="0.3">
      <c r="B83" s="196" t="s">
        <v>5</v>
      </c>
      <c r="C83" s="197" t="s">
        <v>13</v>
      </c>
      <c r="D83" s="198" t="str">
        <f t="shared" si="19"/>
        <v>C</v>
      </c>
      <c r="E83" s="199">
        <v>44768.770833333336</v>
      </c>
      <c r="F83" s="200" t="s">
        <v>93</v>
      </c>
      <c r="G83" s="201">
        <v>12115.55</v>
      </c>
      <c r="H83" s="201">
        <v>12147.26</v>
      </c>
      <c r="I83" s="202">
        <f t="shared" si="20"/>
        <v>31.710000000000946</v>
      </c>
      <c r="J83" s="201">
        <v>11777.26</v>
      </c>
      <c r="K83" s="199">
        <v>44768.959027777775</v>
      </c>
      <c r="L83" s="201">
        <v>12137.13</v>
      </c>
      <c r="M83" s="203">
        <f t="shared" si="21"/>
        <v>-21.58</v>
      </c>
      <c r="N83" s="204">
        <f t="shared" si="22"/>
        <v>-0.68</v>
      </c>
      <c r="O83" s="205">
        <f t="shared" si="23"/>
        <v>0</v>
      </c>
      <c r="P83" s="206">
        <f t="shared" si="24"/>
        <v>0</v>
      </c>
      <c r="Q83" s="206">
        <f t="shared" si="25"/>
        <v>-0.68</v>
      </c>
      <c r="R8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14383</v>
      </c>
      <c r="T8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3" s="208">
        <f ca="1">IF(Tabla336106734812[[#This Row],[Equity]]&lt;Tabla336106734812[[#This Row],[Equity Peak]],(Tabla336106734812[[#This Row],[Equity Peak]]-Tabla336106734812[[#This Row],[Equity]])/Tabla336106734812[[#This Row],[Equity Peak]],"")</f>
        <v>3.5021804763502182E-2</v>
      </c>
      <c r="V83" s="209">
        <f t="shared" si="26"/>
        <v>0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-0.68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0.18819444443943212</v>
      </c>
      <c r="AE83" s="210">
        <f t="shared" si="35"/>
        <v>0</v>
      </c>
      <c r="AF83" s="210">
        <f t="shared" si="36"/>
        <v>0.18819444443943212</v>
      </c>
      <c r="AG83" s="210">
        <f t="shared" si="37"/>
        <v>0</v>
      </c>
    </row>
    <row r="84" spans="2:33" ht="15" customHeight="1" x14ac:dyDescent="0.3">
      <c r="B84" s="196" t="s">
        <v>5</v>
      </c>
      <c r="C84" s="197" t="s">
        <v>13</v>
      </c>
      <c r="D84" s="198" t="str">
        <f t="shared" si="19"/>
        <v>C</v>
      </c>
      <c r="E84" s="199">
        <v>44768.739583333336</v>
      </c>
      <c r="F84" s="200" t="s">
        <v>93</v>
      </c>
      <c r="G84" s="201">
        <v>12140.55</v>
      </c>
      <c r="H84" s="201">
        <v>12172.27</v>
      </c>
      <c r="I84" s="202">
        <f t="shared" si="20"/>
        <v>31.720000000001164</v>
      </c>
      <c r="J84" s="201">
        <v>11802.17</v>
      </c>
      <c r="K84" s="199">
        <v>44768.75</v>
      </c>
      <c r="L84" s="201">
        <v>12172.27</v>
      </c>
      <c r="M84" s="203">
        <f t="shared" si="21"/>
        <v>-31.72</v>
      </c>
      <c r="N84" s="204">
        <f t="shared" si="22"/>
        <v>-1</v>
      </c>
      <c r="O84" s="205">
        <f t="shared" si="23"/>
        <v>0</v>
      </c>
      <c r="P84" s="206">
        <f t="shared" si="24"/>
        <v>0</v>
      </c>
      <c r="Q84" s="206">
        <f t="shared" si="25"/>
        <v>-1</v>
      </c>
      <c r="R8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14451</v>
      </c>
      <c r="T8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4" s="208">
        <f ca="1">IF(Tabla336106734812[[#This Row],[Equity]]&lt;Tabla336106734812[[#This Row],[Equity Peak]],(Tabla336106734812[[#This Row],[Equity Peak]]-Tabla336106734812[[#This Row],[Equity]])/Tabla336106734812[[#This Row],[Equity Peak]],"")</f>
        <v>3.0459577323045956E-2</v>
      </c>
      <c r="V84" s="209">
        <f t="shared" si="26"/>
        <v>0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-1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1.0416666664241347E-2</v>
      </c>
      <c r="AE84" s="210">
        <f t="shared" si="35"/>
        <v>0</v>
      </c>
      <c r="AF84" s="210">
        <f t="shared" si="36"/>
        <v>1.0416666664241347E-2</v>
      </c>
      <c r="AG84" s="210">
        <f t="shared" si="37"/>
        <v>0</v>
      </c>
    </row>
    <row r="85" spans="2:33" ht="15" customHeight="1" x14ac:dyDescent="0.3">
      <c r="B85" s="196" t="s">
        <v>5</v>
      </c>
      <c r="C85" s="197" t="s">
        <v>15</v>
      </c>
      <c r="D85" s="198" t="str">
        <f t="shared" si="19"/>
        <v>C</v>
      </c>
      <c r="E85" s="199">
        <v>44763.802083333336</v>
      </c>
      <c r="F85" s="200" t="s">
        <v>93</v>
      </c>
      <c r="G85" s="201">
        <v>12542.06</v>
      </c>
      <c r="H85" s="201">
        <v>12494.88</v>
      </c>
      <c r="I85" s="202">
        <f t="shared" si="20"/>
        <v>47.180000000000291</v>
      </c>
      <c r="J85" s="201">
        <v>13045.27</v>
      </c>
      <c r="K85" s="199">
        <v>44764.04583333333</v>
      </c>
      <c r="L85" s="201">
        <v>12508.09</v>
      </c>
      <c r="M85" s="203">
        <f t="shared" si="21"/>
        <v>-33.97</v>
      </c>
      <c r="N85" s="204">
        <f t="shared" si="22"/>
        <v>-0.72</v>
      </c>
      <c r="O85" s="205">
        <f t="shared" si="23"/>
        <v>0</v>
      </c>
      <c r="P85" s="206">
        <f t="shared" si="24"/>
        <v>0</v>
      </c>
      <c r="Q85" s="206">
        <f t="shared" si="25"/>
        <v>-0.72</v>
      </c>
      <c r="R8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14551</v>
      </c>
      <c r="T8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5" s="208">
        <f ca="1">IF(Tabla336106734812[[#This Row],[Equity]]&lt;Tabla336106734812[[#This Row],[Equity Peak]],(Tabla336106734812[[#This Row],[Equity Peak]]-Tabla336106734812[[#This Row],[Equity]])/Tabla336106734812[[#This Row],[Equity Peak]],"")</f>
        <v>2.3750419322375042E-2</v>
      </c>
      <c r="V85" s="209">
        <f t="shared" si="26"/>
        <v>0</v>
      </c>
      <c r="W85" s="209">
        <f t="shared" si="27"/>
        <v>0</v>
      </c>
      <c r="X85" s="209">
        <f t="shared" si="28"/>
        <v>0</v>
      </c>
      <c r="Y85" s="209">
        <f t="shared" si="29"/>
        <v>0</v>
      </c>
      <c r="Z85" s="209">
        <f t="shared" si="30"/>
        <v>-0.72</v>
      </c>
      <c r="AA85" s="205">
        <f t="shared" si="31"/>
        <v>0</v>
      </c>
      <c r="AB85" s="209">
        <f t="shared" si="32"/>
        <v>0</v>
      </c>
      <c r="AC85" s="205">
        <f t="shared" si="33"/>
        <v>0</v>
      </c>
      <c r="AD85" s="210">
        <f t="shared" si="34"/>
        <v>0.24374999999417923</v>
      </c>
      <c r="AE85" s="210">
        <f t="shared" si="35"/>
        <v>0</v>
      </c>
      <c r="AF85" s="210">
        <f t="shared" si="36"/>
        <v>0.24374999999417923</v>
      </c>
      <c r="AG85" s="210">
        <f t="shared" si="37"/>
        <v>0</v>
      </c>
    </row>
    <row r="86" spans="2:33" ht="15" customHeight="1" x14ac:dyDescent="0.3">
      <c r="B86" s="196" t="s">
        <v>5</v>
      </c>
      <c r="C86" s="197" t="s">
        <v>15</v>
      </c>
      <c r="D86" s="198" t="str">
        <f t="shared" si="19"/>
        <v>C</v>
      </c>
      <c r="E86" s="199">
        <v>44761.822916666664</v>
      </c>
      <c r="F86" s="200" t="s">
        <v>93</v>
      </c>
      <c r="G86" s="201">
        <v>12160.33</v>
      </c>
      <c r="H86" s="201">
        <v>12122.43</v>
      </c>
      <c r="I86" s="202">
        <f t="shared" si="20"/>
        <v>37.899999999999636</v>
      </c>
      <c r="J86" s="201">
        <v>12564.6</v>
      </c>
      <c r="K86" s="199">
        <v>44762.567361111112</v>
      </c>
      <c r="L86" s="201">
        <v>12235.98</v>
      </c>
      <c r="M86" s="203">
        <f t="shared" si="21"/>
        <v>75.650000000000006</v>
      </c>
      <c r="N86" s="204">
        <f t="shared" si="22"/>
        <v>2</v>
      </c>
      <c r="O86" s="205">
        <f t="shared" si="23"/>
        <v>0</v>
      </c>
      <c r="P86" s="206">
        <f t="shared" si="24"/>
        <v>2</v>
      </c>
      <c r="Q86" s="206">
        <f t="shared" si="25"/>
        <v>0</v>
      </c>
      <c r="R8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14623</v>
      </c>
      <c r="T8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6" s="208">
        <f ca="1">IF(Tabla336106734812[[#This Row],[Equity]]&lt;Tabla336106734812[[#This Row],[Equity Peak]],(Tabla336106734812[[#This Row],[Equity Peak]]-Tabla336106734812[[#This Row],[Equity]])/Tabla336106734812[[#This Row],[Equity Peak]],"")</f>
        <v>1.8919825561891982E-2</v>
      </c>
      <c r="V86" s="209">
        <f t="shared" si="26"/>
        <v>0</v>
      </c>
      <c r="W86" s="209">
        <f t="shared" si="27"/>
        <v>0</v>
      </c>
      <c r="X86" s="209">
        <f t="shared" si="28"/>
        <v>0</v>
      </c>
      <c r="Y86" s="209">
        <f t="shared" si="29"/>
        <v>0</v>
      </c>
      <c r="Z86" s="209">
        <f t="shared" si="30"/>
        <v>2</v>
      </c>
      <c r="AA86" s="205">
        <f t="shared" si="31"/>
        <v>0</v>
      </c>
      <c r="AB86" s="209">
        <f t="shared" si="32"/>
        <v>0</v>
      </c>
      <c r="AC86" s="205">
        <f t="shared" si="33"/>
        <v>0</v>
      </c>
      <c r="AD86" s="210">
        <f t="shared" si="34"/>
        <v>0.74444444444816327</v>
      </c>
      <c r="AE86" s="210">
        <f t="shared" si="35"/>
        <v>0.74444444444816327</v>
      </c>
      <c r="AF86" s="210">
        <f t="shared" si="36"/>
        <v>0</v>
      </c>
      <c r="AG86" s="210">
        <f t="shared" si="37"/>
        <v>0</v>
      </c>
    </row>
    <row r="87" spans="2:33" ht="15" customHeight="1" x14ac:dyDescent="0.3">
      <c r="B87" s="196" t="s">
        <v>5</v>
      </c>
      <c r="C87" s="197" t="s">
        <v>15</v>
      </c>
      <c r="D87" s="198" t="str">
        <f t="shared" ref="D87:D118" si="38">IF(E87&lt;&gt;"",IF(K87&lt;&gt;"","C","O"),"")</f>
        <v>C</v>
      </c>
      <c r="E87" s="199">
        <v>44757.958333333336</v>
      </c>
      <c r="F87" s="200" t="s">
        <v>93</v>
      </c>
      <c r="G87" s="201">
        <v>11970.87</v>
      </c>
      <c r="H87" s="201">
        <v>11933.18</v>
      </c>
      <c r="I87" s="202">
        <f t="shared" ref="I87:I118" si="39">ABS(G87-H87)</f>
        <v>37.690000000000509</v>
      </c>
      <c r="J87" s="201">
        <v>12372.87</v>
      </c>
      <c r="K87" s="199">
        <v>44760.847916666666</v>
      </c>
      <c r="L87" s="201">
        <v>12073.99</v>
      </c>
      <c r="M87" s="203">
        <f t="shared" ref="M87:M118" si="40">ROUND(IF(C87="L",(L87-G87),(G87-L87)),4)</f>
        <v>103.12</v>
      </c>
      <c r="N87" s="204">
        <f t="shared" ref="N87:N118" si="41">IFERROR(ROUND((M87/I87),2),"")</f>
        <v>2.74</v>
      </c>
      <c r="O87" s="205">
        <f t="shared" ref="O87:O118" si="42">IF(D87="O",IF(N87&lt;0,N87,0),0)</f>
        <v>0</v>
      </c>
      <c r="P87" s="206">
        <f t="shared" ref="P87:P118" si="43">IF(N87&gt;= 0,N87,0)</f>
        <v>2.74</v>
      </c>
      <c r="Q87" s="206">
        <f t="shared" ref="Q87:Q118" si="44">IF(N87&lt;0,N87,0)</f>
        <v>0</v>
      </c>
      <c r="R8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14423</v>
      </c>
      <c r="T8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7" s="208">
        <f ca="1">IF(Tabla336106734812[[#This Row],[Equity]]&lt;Tabla336106734812[[#This Row],[Equity Peak]],(Tabla336106734812[[#This Row],[Equity Peak]]-Tabla336106734812[[#This Row],[Equity]])/Tabla336106734812[[#This Row],[Equity Peak]],"")</f>
        <v>3.2338141563233815E-2</v>
      </c>
      <c r="V87" s="209">
        <f t="shared" ref="V87:V118" si="45">IF(B87="FX",N87,0)</f>
        <v>0</v>
      </c>
      <c r="W87" s="209">
        <f t="shared" ref="W87:W118" si="46">IF(D87="O",IF(V87&lt;0,V87,0),0)</f>
        <v>0</v>
      </c>
      <c r="X87" s="209">
        <f t="shared" ref="X87:X118" si="47">IF(B87="COM",N87,0)</f>
        <v>0</v>
      </c>
      <c r="Y87" s="209">
        <f t="shared" ref="Y87:Y118" si="48">IF(D87="O",IF(X87&lt;0,X87,0),0)</f>
        <v>0</v>
      </c>
      <c r="Z87" s="209">
        <f t="shared" ref="Z87:Z118" si="49">IF(B87="IND",N87,0)</f>
        <v>2.74</v>
      </c>
      <c r="AA87" s="205">
        <f t="shared" ref="AA87:AA118" si="50">IF(D87="O",IF(Z87&lt;0,Z87,0),0)</f>
        <v>0</v>
      </c>
      <c r="AB87" s="209">
        <f t="shared" ref="AB87:AB118" si="51">IF(B87="CRYPTO",N87,0)</f>
        <v>0</v>
      </c>
      <c r="AC87" s="205">
        <f t="shared" ref="AC87:AC118" si="52">IF(D87="O",IF(AB87&lt;0,AB87,0),0)</f>
        <v>0</v>
      </c>
      <c r="AD87" s="210">
        <f t="shared" ref="AD87:AD118" si="53">IF(K87&lt;&gt;"",K87-E87,0)</f>
        <v>2.8895833333299379</v>
      </c>
      <c r="AE87" s="210">
        <f t="shared" ref="AE87:AE118" si="54">IF(N87&gt;0,AD87,0)</f>
        <v>2.8895833333299379</v>
      </c>
      <c r="AF87" s="210">
        <f t="shared" ref="AF87:AF118" si="55">IF(N87&lt;0,AD87,0)</f>
        <v>0</v>
      </c>
      <c r="AG87" s="210">
        <f t="shared" ref="AG87:AG118" si="56">IF(N87=0,AD87,0)</f>
        <v>0</v>
      </c>
    </row>
    <row r="88" spans="2:33" ht="15" customHeight="1" x14ac:dyDescent="0.3">
      <c r="B88" s="196" t="s">
        <v>5</v>
      </c>
      <c r="C88" s="197" t="s">
        <v>15</v>
      </c>
      <c r="D88" s="198" t="str">
        <f t="shared" si="38"/>
        <v>C</v>
      </c>
      <c r="E88" s="199">
        <v>44757.760416666664</v>
      </c>
      <c r="F88" s="200" t="s">
        <v>93</v>
      </c>
      <c r="G88" s="201">
        <v>11949.07</v>
      </c>
      <c r="H88" s="201">
        <v>11906.67</v>
      </c>
      <c r="I88" s="202">
        <f t="shared" si="39"/>
        <v>42.399999999999636</v>
      </c>
      <c r="J88" s="201">
        <v>12401.3</v>
      </c>
      <c r="K88" s="199">
        <v>44757.792361111111</v>
      </c>
      <c r="L88" s="201">
        <v>11906.67</v>
      </c>
      <c r="M88" s="203">
        <f t="shared" si="40"/>
        <v>-42.4</v>
      </c>
      <c r="N88" s="204">
        <f t="shared" si="41"/>
        <v>-1</v>
      </c>
      <c r="O88" s="205">
        <f t="shared" si="42"/>
        <v>0</v>
      </c>
      <c r="P88" s="206">
        <f t="shared" si="43"/>
        <v>0</v>
      </c>
      <c r="Q88" s="206">
        <f t="shared" si="44"/>
        <v>-1</v>
      </c>
      <c r="R8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14149</v>
      </c>
      <c r="T8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8" s="208">
        <f ca="1">IF(Tabla336106734812[[#This Row],[Equity]]&lt;Tabla336106734812[[#This Row],[Equity Peak]],(Tabla336106734812[[#This Row],[Equity Peak]]-Tabla336106734812[[#This Row],[Equity]])/Tabla336106734812[[#This Row],[Equity Peak]],"")</f>
        <v>5.0721234485072125E-2</v>
      </c>
      <c r="V88" s="209">
        <f t="shared" si="45"/>
        <v>0</v>
      </c>
      <c r="W88" s="209">
        <f t="shared" si="46"/>
        <v>0</v>
      </c>
      <c r="X88" s="209">
        <f t="shared" si="47"/>
        <v>0</v>
      </c>
      <c r="Y88" s="209">
        <f t="shared" si="48"/>
        <v>0</v>
      </c>
      <c r="Z88" s="209">
        <f t="shared" si="49"/>
        <v>-1</v>
      </c>
      <c r="AA88" s="205">
        <f t="shared" si="50"/>
        <v>0</v>
      </c>
      <c r="AB88" s="209">
        <f t="shared" si="51"/>
        <v>0</v>
      </c>
      <c r="AC88" s="205">
        <f t="shared" si="52"/>
        <v>0</v>
      </c>
      <c r="AD88" s="210">
        <f t="shared" si="53"/>
        <v>3.1944444446708076E-2</v>
      </c>
      <c r="AE88" s="210">
        <f t="shared" si="54"/>
        <v>0</v>
      </c>
      <c r="AF88" s="210">
        <f t="shared" si="55"/>
        <v>3.1944444446708076E-2</v>
      </c>
      <c r="AG88" s="210">
        <f t="shared" si="56"/>
        <v>0</v>
      </c>
    </row>
    <row r="89" spans="2:33" ht="15" customHeight="1" x14ac:dyDescent="0.3">
      <c r="B89" s="196" t="s">
        <v>5</v>
      </c>
      <c r="C89" s="197" t="s">
        <v>13</v>
      </c>
      <c r="D89" s="198" t="str">
        <f t="shared" si="38"/>
        <v>C</v>
      </c>
      <c r="E89" s="199">
        <v>44755.65625</v>
      </c>
      <c r="F89" s="200" t="s">
        <v>93</v>
      </c>
      <c r="G89" s="201">
        <v>11480.06</v>
      </c>
      <c r="H89" s="201">
        <v>11528.29</v>
      </c>
      <c r="I89" s="202">
        <f t="shared" si="39"/>
        <v>48.230000000001382</v>
      </c>
      <c r="J89" s="201">
        <v>10965.62</v>
      </c>
      <c r="K89" s="199">
        <v>44755.665972222225</v>
      </c>
      <c r="L89" s="201">
        <v>11528.29</v>
      </c>
      <c r="M89" s="203">
        <f t="shared" si="40"/>
        <v>-48.23</v>
      </c>
      <c r="N89" s="204">
        <f t="shared" si="41"/>
        <v>-1</v>
      </c>
      <c r="O89" s="205">
        <f t="shared" si="42"/>
        <v>0</v>
      </c>
      <c r="P89" s="206">
        <f t="shared" si="43"/>
        <v>0</v>
      </c>
      <c r="Q89" s="206">
        <f t="shared" si="44"/>
        <v>-1</v>
      </c>
      <c r="R8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14249</v>
      </c>
      <c r="T8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89" s="208">
        <f ca="1">IF(Tabla336106734812[[#This Row],[Equity]]&lt;Tabla336106734812[[#This Row],[Equity Peak]],(Tabla336106734812[[#This Row],[Equity Peak]]-Tabla336106734812[[#This Row],[Equity]])/Tabla336106734812[[#This Row],[Equity Peak]],"")</f>
        <v>4.4012076484401211E-2</v>
      </c>
      <c r="V89" s="209">
        <f t="shared" si="45"/>
        <v>0</v>
      </c>
      <c r="W89" s="209">
        <f t="shared" si="46"/>
        <v>0</v>
      </c>
      <c r="X89" s="209">
        <f t="shared" si="47"/>
        <v>0</v>
      </c>
      <c r="Y89" s="209">
        <f t="shared" si="48"/>
        <v>0</v>
      </c>
      <c r="Z89" s="209">
        <f t="shared" si="49"/>
        <v>-1</v>
      </c>
      <c r="AA89" s="205">
        <f t="shared" si="50"/>
        <v>0</v>
      </c>
      <c r="AB89" s="209">
        <f t="shared" si="51"/>
        <v>0</v>
      </c>
      <c r="AC89" s="205">
        <f t="shared" si="52"/>
        <v>0</v>
      </c>
      <c r="AD89" s="210">
        <f t="shared" si="53"/>
        <v>9.7222222248092294E-3</v>
      </c>
      <c r="AE89" s="210">
        <f t="shared" si="54"/>
        <v>0</v>
      </c>
      <c r="AF89" s="210">
        <f t="shared" si="55"/>
        <v>9.7222222248092294E-3</v>
      </c>
      <c r="AG89" s="210">
        <f t="shared" si="56"/>
        <v>0</v>
      </c>
    </row>
    <row r="90" spans="2:33" ht="15" customHeight="1" x14ac:dyDescent="0.3">
      <c r="B90" s="196" t="s">
        <v>5</v>
      </c>
      <c r="C90" s="197" t="s">
        <v>13</v>
      </c>
      <c r="D90" s="198" t="str">
        <f t="shared" si="38"/>
        <v>C</v>
      </c>
      <c r="E90" s="199">
        <v>44754.9375</v>
      </c>
      <c r="F90" s="200" t="s">
        <v>93</v>
      </c>
      <c r="G90" s="201">
        <v>11713.78</v>
      </c>
      <c r="H90" s="201">
        <v>11754.72</v>
      </c>
      <c r="I90" s="202">
        <f t="shared" si="39"/>
        <v>40.93999999999869</v>
      </c>
      <c r="J90" s="201">
        <v>11277.08</v>
      </c>
      <c r="K90" s="199">
        <v>44754.95416666667</v>
      </c>
      <c r="L90" s="201">
        <v>11754.72</v>
      </c>
      <c r="M90" s="203">
        <f t="shared" si="40"/>
        <v>-40.94</v>
      </c>
      <c r="N90" s="204">
        <f t="shared" si="41"/>
        <v>-1</v>
      </c>
      <c r="O90" s="205">
        <f t="shared" si="42"/>
        <v>0</v>
      </c>
      <c r="P90" s="206">
        <f t="shared" si="43"/>
        <v>0</v>
      </c>
      <c r="Q90" s="206">
        <f t="shared" si="44"/>
        <v>-1</v>
      </c>
      <c r="R9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14349</v>
      </c>
      <c r="T9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0" s="208">
        <f ca="1">IF(Tabla336106734812[[#This Row],[Equity]]&lt;Tabla336106734812[[#This Row],[Equity Peak]],(Tabla336106734812[[#This Row],[Equity Peak]]-Tabla336106734812[[#This Row],[Equity]])/Tabla336106734812[[#This Row],[Equity Peak]],"")</f>
        <v>3.7302918483730289E-2</v>
      </c>
      <c r="V90" s="209">
        <f t="shared" si="45"/>
        <v>0</v>
      </c>
      <c r="W90" s="209">
        <f t="shared" si="46"/>
        <v>0</v>
      </c>
      <c r="X90" s="209">
        <f t="shared" si="47"/>
        <v>0</v>
      </c>
      <c r="Y90" s="209">
        <f t="shared" si="48"/>
        <v>0</v>
      </c>
      <c r="Z90" s="209">
        <f t="shared" si="49"/>
        <v>-1</v>
      </c>
      <c r="AA90" s="205">
        <f t="shared" si="50"/>
        <v>0</v>
      </c>
      <c r="AB90" s="209">
        <f t="shared" si="51"/>
        <v>0</v>
      </c>
      <c r="AC90" s="205">
        <f t="shared" si="52"/>
        <v>0</v>
      </c>
      <c r="AD90" s="210">
        <f t="shared" si="53"/>
        <v>1.6666666670062114E-2</v>
      </c>
      <c r="AE90" s="210">
        <f t="shared" si="54"/>
        <v>0</v>
      </c>
      <c r="AF90" s="210">
        <f t="shared" si="55"/>
        <v>1.6666666670062114E-2</v>
      </c>
      <c r="AG90" s="210">
        <f t="shared" si="56"/>
        <v>0</v>
      </c>
    </row>
    <row r="91" spans="2:33" ht="15" customHeight="1" x14ac:dyDescent="0.3">
      <c r="B91" s="196" t="s">
        <v>5</v>
      </c>
      <c r="C91" s="197" t="s">
        <v>13</v>
      </c>
      <c r="D91" s="198" t="str">
        <f t="shared" si="38"/>
        <v>C</v>
      </c>
      <c r="E91" s="199">
        <v>44754.166666666664</v>
      </c>
      <c r="F91" s="200" t="s">
        <v>93</v>
      </c>
      <c r="G91" s="201">
        <v>11777.71</v>
      </c>
      <c r="H91" s="201">
        <v>11815.65</v>
      </c>
      <c r="I91" s="202">
        <f t="shared" si="39"/>
        <v>37.940000000000509</v>
      </c>
      <c r="J91" s="201">
        <v>11373.07</v>
      </c>
      <c r="K91" s="199">
        <v>44754.59652777778</v>
      </c>
      <c r="L91" s="201">
        <v>11815.65</v>
      </c>
      <c r="M91" s="203">
        <f t="shared" si="40"/>
        <v>-37.94</v>
      </c>
      <c r="N91" s="204">
        <f t="shared" si="41"/>
        <v>-1</v>
      </c>
      <c r="O91" s="205">
        <f t="shared" si="42"/>
        <v>0</v>
      </c>
      <c r="P91" s="206">
        <f t="shared" si="43"/>
        <v>0</v>
      </c>
      <c r="Q91" s="206">
        <f t="shared" si="44"/>
        <v>-1</v>
      </c>
      <c r="R9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14449</v>
      </c>
      <c r="T9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1" s="208">
        <f ca="1">IF(Tabla336106734812[[#This Row],[Equity]]&lt;Tabla336106734812[[#This Row],[Equity Peak]],(Tabla336106734812[[#This Row],[Equity Peak]]-Tabla336106734812[[#This Row],[Equity]])/Tabla336106734812[[#This Row],[Equity Peak]],"")</f>
        <v>3.0593760483059375E-2</v>
      </c>
      <c r="V91" s="209">
        <f t="shared" si="45"/>
        <v>0</v>
      </c>
      <c r="W91" s="209">
        <f t="shared" si="46"/>
        <v>0</v>
      </c>
      <c r="X91" s="209">
        <f t="shared" si="47"/>
        <v>0</v>
      </c>
      <c r="Y91" s="209">
        <f t="shared" si="48"/>
        <v>0</v>
      </c>
      <c r="Z91" s="209">
        <f t="shared" si="49"/>
        <v>-1</v>
      </c>
      <c r="AA91" s="205">
        <f t="shared" si="50"/>
        <v>0</v>
      </c>
      <c r="AB91" s="209">
        <f t="shared" si="51"/>
        <v>0</v>
      </c>
      <c r="AC91" s="205">
        <f t="shared" si="52"/>
        <v>0</v>
      </c>
      <c r="AD91" s="210">
        <f t="shared" si="53"/>
        <v>0.429861111115315</v>
      </c>
      <c r="AE91" s="210">
        <f t="shared" si="54"/>
        <v>0</v>
      </c>
      <c r="AF91" s="210">
        <f t="shared" si="55"/>
        <v>0.429861111115315</v>
      </c>
      <c r="AG91" s="210">
        <f t="shared" si="56"/>
        <v>0</v>
      </c>
    </row>
    <row r="92" spans="2:33" ht="15" customHeight="1" x14ac:dyDescent="0.3">
      <c r="B92" s="196" t="s">
        <v>5</v>
      </c>
      <c r="C92" s="197" t="s">
        <v>15</v>
      </c>
      <c r="D92" s="198" t="str">
        <f t="shared" si="38"/>
        <v>C</v>
      </c>
      <c r="E92" s="199">
        <v>44750.760416666664</v>
      </c>
      <c r="F92" s="200" t="s">
        <v>93</v>
      </c>
      <c r="G92" s="201">
        <v>12130.03</v>
      </c>
      <c r="H92" s="201">
        <v>12095.24</v>
      </c>
      <c r="I92" s="202">
        <f t="shared" si="39"/>
        <v>34.790000000000873</v>
      </c>
      <c r="J92" s="201">
        <v>12501.08</v>
      </c>
      <c r="K92" s="199">
        <v>44750.802083333336</v>
      </c>
      <c r="L92" s="201">
        <v>12095.24</v>
      </c>
      <c r="M92" s="203">
        <f t="shared" si="40"/>
        <v>-34.79</v>
      </c>
      <c r="N92" s="204">
        <f t="shared" si="41"/>
        <v>-1</v>
      </c>
      <c r="O92" s="205">
        <f t="shared" si="42"/>
        <v>0</v>
      </c>
      <c r="P92" s="206">
        <f t="shared" si="43"/>
        <v>0</v>
      </c>
      <c r="Q92" s="206">
        <f t="shared" si="44"/>
        <v>-1</v>
      </c>
      <c r="R9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14549</v>
      </c>
      <c r="T9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2" s="208">
        <f ca="1">IF(Tabla336106734812[[#This Row],[Equity]]&lt;Tabla336106734812[[#This Row],[Equity Peak]],(Tabla336106734812[[#This Row],[Equity Peak]]-Tabla336106734812[[#This Row],[Equity]])/Tabla336106734812[[#This Row],[Equity Peak]],"")</f>
        <v>2.388460248238846E-2</v>
      </c>
      <c r="V92" s="209">
        <f t="shared" si="45"/>
        <v>0</v>
      </c>
      <c r="W92" s="209">
        <f t="shared" si="46"/>
        <v>0</v>
      </c>
      <c r="X92" s="209">
        <f t="shared" si="47"/>
        <v>0</v>
      </c>
      <c r="Y92" s="209">
        <f t="shared" si="48"/>
        <v>0</v>
      </c>
      <c r="Z92" s="209">
        <f t="shared" si="49"/>
        <v>-1</v>
      </c>
      <c r="AA92" s="205">
        <f t="shared" si="50"/>
        <v>0</v>
      </c>
      <c r="AB92" s="209">
        <f t="shared" si="51"/>
        <v>0</v>
      </c>
      <c r="AC92" s="205">
        <f t="shared" si="52"/>
        <v>0</v>
      </c>
      <c r="AD92" s="210">
        <f t="shared" si="53"/>
        <v>4.1666666671517305E-2</v>
      </c>
      <c r="AE92" s="210">
        <f t="shared" si="54"/>
        <v>0</v>
      </c>
      <c r="AF92" s="210">
        <f t="shared" si="55"/>
        <v>4.1666666671517305E-2</v>
      </c>
      <c r="AG92" s="210">
        <f t="shared" si="56"/>
        <v>0</v>
      </c>
    </row>
    <row r="93" spans="2:33" ht="15" customHeight="1" x14ac:dyDescent="0.3">
      <c r="B93" s="196" t="s">
        <v>5</v>
      </c>
      <c r="C93" s="197" t="s">
        <v>15</v>
      </c>
      <c r="D93" s="198" t="str">
        <f t="shared" si="38"/>
        <v>C</v>
      </c>
      <c r="E93" s="199">
        <v>44749.697916666664</v>
      </c>
      <c r="F93" s="200" t="s">
        <v>93</v>
      </c>
      <c r="G93" s="201">
        <v>11983.23</v>
      </c>
      <c r="H93" s="201">
        <v>11942.55</v>
      </c>
      <c r="I93" s="202">
        <f t="shared" si="39"/>
        <v>40.680000000000291</v>
      </c>
      <c r="J93" s="201">
        <v>12417.15</v>
      </c>
      <c r="K93" s="199">
        <v>44750.247916666667</v>
      </c>
      <c r="L93" s="201">
        <v>12040.75</v>
      </c>
      <c r="M93" s="203">
        <f t="shared" si="40"/>
        <v>57.52</v>
      </c>
      <c r="N93" s="204">
        <f t="shared" si="41"/>
        <v>1.41</v>
      </c>
      <c r="O93" s="205">
        <f t="shared" si="42"/>
        <v>0</v>
      </c>
      <c r="P93" s="206">
        <f t="shared" si="43"/>
        <v>1.41</v>
      </c>
      <c r="Q93" s="206">
        <f t="shared" si="44"/>
        <v>0</v>
      </c>
      <c r="R9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14649</v>
      </c>
      <c r="T9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3" s="208">
        <f ca="1">IF(Tabla336106734812[[#This Row],[Equity]]&lt;Tabla336106734812[[#This Row],[Equity Peak]],(Tabla336106734812[[#This Row],[Equity Peak]]-Tabla336106734812[[#This Row],[Equity]])/Tabla336106734812[[#This Row],[Equity Peak]],"")</f>
        <v>1.7175444481717546E-2</v>
      </c>
      <c r="V93" s="209">
        <f t="shared" si="45"/>
        <v>0</v>
      </c>
      <c r="W93" s="209">
        <f t="shared" si="46"/>
        <v>0</v>
      </c>
      <c r="X93" s="209">
        <f t="shared" si="47"/>
        <v>0</v>
      </c>
      <c r="Y93" s="209">
        <f t="shared" si="48"/>
        <v>0</v>
      </c>
      <c r="Z93" s="209">
        <f t="shared" si="49"/>
        <v>1.41</v>
      </c>
      <c r="AA93" s="205">
        <f t="shared" si="50"/>
        <v>0</v>
      </c>
      <c r="AB93" s="209">
        <f t="shared" si="51"/>
        <v>0</v>
      </c>
      <c r="AC93" s="205">
        <f t="shared" si="52"/>
        <v>0</v>
      </c>
      <c r="AD93" s="210">
        <f t="shared" si="53"/>
        <v>0.55000000000291038</v>
      </c>
      <c r="AE93" s="210">
        <f t="shared" si="54"/>
        <v>0.55000000000291038</v>
      </c>
      <c r="AF93" s="210">
        <f t="shared" si="55"/>
        <v>0</v>
      </c>
      <c r="AG93" s="210">
        <f t="shared" si="56"/>
        <v>0</v>
      </c>
    </row>
    <row r="94" spans="2:33" ht="15" customHeight="1" x14ac:dyDescent="0.3">
      <c r="B94" s="196" t="s">
        <v>5</v>
      </c>
      <c r="C94" s="197" t="s">
        <v>15</v>
      </c>
      <c r="D94" s="198" t="str">
        <f t="shared" si="38"/>
        <v>C</v>
      </c>
      <c r="E94" s="199">
        <v>44748.90625</v>
      </c>
      <c r="F94" s="200" t="s">
        <v>93</v>
      </c>
      <c r="G94" s="201">
        <v>11887.91</v>
      </c>
      <c r="H94" s="201">
        <v>11840.38</v>
      </c>
      <c r="I94" s="202">
        <f t="shared" si="39"/>
        <v>47.530000000000655</v>
      </c>
      <c r="J94" s="201">
        <v>12394.91</v>
      </c>
      <c r="K94" s="199">
        <v>44748.951388888891</v>
      </c>
      <c r="L94" s="201">
        <v>11840.38</v>
      </c>
      <c r="M94" s="203">
        <f t="shared" si="40"/>
        <v>-47.53</v>
      </c>
      <c r="N94" s="204">
        <f t="shared" si="41"/>
        <v>-1</v>
      </c>
      <c r="O94" s="205">
        <f t="shared" si="42"/>
        <v>0</v>
      </c>
      <c r="P94" s="206">
        <f t="shared" si="43"/>
        <v>0</v>
      </c>
      <c r="Q94" s="206">
        <f t="shared" si="44"/>
        <v>-1</v>
      </c>
      <c r="R9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14508</v>
      </c>
      <c r="T9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4" s="208">
        <f ca="1">IF(Tabla336106734812[[#This Row],[Equity]]&lt;Tabla336106734812[[#This Row],[Equity Peak]],(Tabla336106734812[[#This Row],[Equity Peak]]-Tabla336106734812[[#This Row],[Equity]])/Tabla336106734812[[#This Row],[Equity Peak]],"")</f>
        <v>2.6635357262663535E-2</v>
      </c>
      <c r="V94" s="209">
        <f t="shared" si="45"/>
        <v>0</v>
      </c>
      <c r="W94" s="209">
        <f t="shared" si="46"/>
        <v>0</v>
      </c>
      <c r="X94" s="209">
        <f t="shared" si="47"/>
        <v>0</v>
      </c>
      <c r="Y94" s="209">
        <f t="shared" si="48"/>
        <v>0</v>
      </c>
      <c r="Z94" s="209">
        <f t="shared" si="49"/>
        <v>-1</v>
      </c>
      <c r="AA94" s="205">
        <f t="shared" si="50"/>
        <v>0</v>
      </c>
      <c r="AB94" s="209">
        <f t="shared" si="51"/>
        <v>0</v>
      </c>
      <c r="AC94" s="205">
        <f t="shared" si="52"/>
        <v>0</v>
      </c>
      <c r="AD94" s="210">
        <f t="shared" si="53"/>
        <v>4.5138888890505768E-2</v>
      </c>
      <c r="AE94" s="210">
        <f t="shared" si="54"/>
        <v>0</v>
      </c>
      <c r="AF94" s="210">
        <f t="shared" si="55"/>
        <v>4.5138888890505768E-2</v>
      </c>
      <c r="AG94" s="210">
        <f t="shared" si="56"/>
        <v>0</v>
      </c>
    </row>
    <row r="95" spans="2:33" ht="15" customHeight="1" x14ac:dyDescent="0.3">
      <c r="B95" s="196" t="s">
        <v>5</v>
      </c>
      <c r="C95" s="197" t="s">
        <v>15</v>
      </c>
      <c r="D95" s="198" t="str">
        <f t="shared" si="38"/>
        <v>C</v>
      </c>
      <c r="E95" s="199">
        <v>44747.90625</v>
      </c>
      <c r="F95" s="200" t="s">
        <v>93</v>
      </c>
      <c r="G95" s="201">
        <v>11727.74</v>
      </c>
      <c r="H95" s="201">
        <v>11680.71</v>
      </c>
      <c r="I95" s="202">
        <f t="shared" si="39"/>
        <v>47.030000000000655</v>
      </c>
      <c r="J95" s="201">
        <v>12229.41</v>
      </c>
      <c r="K95" s="199">
        <v>44748.376388888886</v>
      </c>
      <c r="L95" s="201">
        <v>11714.31</v>
      </c>
      <c r="M95" s="203">
        <f t="shared" si="40"/>
        <v>-13.43</v>
      </c>
      <c r="N95" s="204">
        <f t="shared" si="41"/>
        <v>-0.28999999999999998</v>
      </c>
      <c r="O95" s="205">
        <f t="shared" si="42"/>
        <v>0</v>
      </c>
      <c r="P95" s="206">
        <f t="shared" si="43"/>
        <v>0</v>
      </c>
      <c r="Q95" s="206">
        <f t="shared" si="44"/>
        <v>-0.28999999999999998</v>
      </c>
      <c r="R9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14608</v>
      </c>
      <c r="T9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5" s="208">
        <f ca="1">IF(Tabla336106734812[[#This Row],[Equity]]&lt;Tabla336106734812[[#This Row],[Equity Peak]],(Tabla336106734812[[#This Row],[Equity Peak]]-Tabla336106734812[[#This Row],[Equity]])/Tabla336106734812[[#This Row],[Equity Peak]],"")</f>
        <v>1.9926199261992621E-2</v>
      </c>
      <c r="V95" s="209">
        <f t="shared" si="45"/>
        <v>0</v>
      </c>
      <c r="W95" s="209">
        <f t="shared" si="46"/>
        <v>0</v>
      </c>
      <c r="X95" s="209">
        <f t="shared" si="47"/>
        <v>0</v>
      </c>
      <c r="Y95" s="209">
        <f t="shared" si="48"/>
        <v>0</v>
      </c>
      <c r="Z95" s="209">
        <f t="shared" si="49"/>
        <v>-0.28999999999999998</v>
      </c>
      <c r="AA95" s="205">
        <f t="shared" si="50"/>
        <v>0</v>
      </c>
      <c r="AB95" s="209">
        <f t="shared" si="51"/>
        <v>0</v>
      </c>
      <c r="AC95" s="205">
        <f t="shared" si="52"/>
        <v>0</v>
      </c>
      <c r="AD95" s="210">
        <f t="shared" si="53"/>
        <v>0.47013888888614019</v>
      </c>
      <c r="AE95" s="210">
        <f t="shared" si="54"/>
        <v>0</v>
      </c>
      <c r="AF95" s="210">
        <f t="shared" si="55"/>
        <v>0.47013888888614019</v>
      </c>
      <c r="AG95" s="210">
        <f t="shared" si="56"/>
        <v>0</v>
      </c>
    </row>
    <row r="96" spans="2:33" ht="15" customHeight="1" x14ac:dyDescent="0.3">
      <c r="B96" s="196" t="s">
        <v>5</v>
      </c>
      <c r="C96" s="197" t="s">
        <v>15</v>
      </c>
      <c r="D96" s="198" t="str">
        <f t="shared" si="38"/>
        <v>C</v>
      </c>
      <c r="E96" s="199">
        <v>44747.09375</v>
      </c>
      <c r="F96" s="200" t="s">
        <v>93</v>
      </c>
      <c r="G96" s="201">
        <v>11686.91</v>
      </c>
      <c r="H96" s="201">
        <v>11657.56</v>
      </c>
      <c r="I96" s="202">
        <f t="shared" si="39"/>
        <v>29.350000000000364</v>
      </c>
      <c r="J96" s="201">
        <v>11999.95</v>
      </c>
      <c r="K96" s="199">
        <v>44747.114583333336</v>
      </c>
      <c r="L96" s="201">
        <v>11657.56</v>
      </c>
      <c r="M96" s="203">
        <f t="shared" si="40"/>
        <v>-29.35</v>
      </c>
      <c r="N96" s="204">
        <f t="shared" si="41"/>
        <v>-1</v>
      </c>
      <c r="O96" s="205">
        <f t="shared" si="42"/>
        <v>0</v>
      </c>
      <c r="P96" s="206">
        <f t="shared" si="43"/>
        <v>0</v>
      </c>
      <c r="Q96" s="206">
        <f t="shared" si="44"/>
        <v>-1</v>
      </c>
      <c r="R9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14637</v>
      </c>
      <c r="T9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6" s="208">
        <f ca="1">IF(Tabla336106734812[[#This Row],[Equity]]&lt;Tabla336106734812[[#This Row],[Equity Peak]],(Tabla336106734812[[#This Row],[Equity Peak]]-Tabla336106734812[[#This Row],[Equity]])/Tabla336106734812[[#This Row],[Equity Peak]],"")</f>
        <v>1.7980543441798055E-2</v>
      </c>
      <c r="V96" s="209">
        <f t="shared" si="45"/>
        <v>0</v>
      </c>
      <c r="W96" s="209">
        <f t="shared" si="46"/>
        <v>0</v>
      </c>
      <c r="X96" s="209">
        <f t="shared" si="47"/>
        <v>0</v>
      </c>
      <c r="Y96" s="209">
        <f t="shared" si="48"/>
        <v>0</v>
      </c>
      <c r="Z96" s="209">
        <f t="shared" si="49"/>
        <v>-1</v>
      </c>
      <c r="AA96" s="205">
        <f t="shared" si="50"/>
        <v>0</v>
      </c>
      <c r="AB96" s="209">
        <f t="shared" si="51"/>
        <v>0</v>
      </c>
      <c r="AC96" s="205">
        <f t="shared" si="52"/>
        <v>0</v>
      </c>
      <c r="AD96" s="210">
        <f t="shared" si="53"/>
        <v>2.0833333335758653E-2</v>
      </c>
      <c r="AE96" s="210">
        <f t="shared" si="54"/>
        <v>0</v>
      </c>
      <c r="AF96" s="210">
        <f t="shared" si="55"/>
        <v>2.0833333335758653E-2</v>
      </c>
      <c r="AG96" s="210">
        <f t="shared" si="56"/>
        <v>0</v>
      </c>
    </row>
    <row r="97" spans="2:33" ht="15" customHeight="1" x14ac:dyDescent="0.3">
      <c r="B97" s="196" t="s">
        <v>5</v>
      </c>
      <c r="C97" s="197" t="s">
        <v>13</v>
      </c>
      <c r="D97" s="198" t="str">
        <f t="shared" si="38"/>
        <v>C</v>
      </c>
      <c r="E97" s="199">
        <v>44742.697916666664</v>
      </c>
      <c r="F97" s="200" t="s">
        <v>93</v>
      </c>
      <c r="G97" s="201">
        <v>11401.7</v>
      </c>
      <c r="H97" s="201">
        <v>11449.53</v>
      </c>
      <c r="I97" s="202">
        <f t="shared" si="39"/>
        <v>47.829999999999927</v>
      </c>
      <c r="J97" s="201">
        <v>10891.51</v>
      </c>
      <c r="K97" s="199">
        <v>44742.749305555553</v>
      </c>
      <c r="L97" s="201">
        <v>11449.53</v>
      </c>
      <c r="M97" s="203">
        <f t="shared" si="40"/>
        <v>-47.83</v>
      </c>
      <c r="N97" s="204">
        <f t="shared" si="41"/>
        <v>-1</v>
      </c>
      <c r="O97" s="205">
        <f t="shared" si="42"/>
        <v>0</v>
      </c>
      <c r="P97" s="206">
        <f t="shared" si="43"/>
        <v>0</v>
      </c>
      <c r="Q97" s="206">
        <f t="shared" si="44"/>
        <v>-1</v>
      </c>
      <c r="R9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14737</v>
      </c>
      <c r="T9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7" s="208">
        <f ca="1">IF(Tabla336106734812[[#This Row],[Equity]]&lt;Tabla336106734812[[#This Row],[Equity Peak]],(Tabla336106734812[[#This Row],[Equity Peak]]-Tabla336106734812[[#This Row],[Equity]])/Tabla336106734812[[#This Row],[Equity Peak]],"")</f>
        <v>1.1271385441127138E-2</v>
      </c>
      <c r="V97" s="209">
        <f t="shared" si="45"/>
        <v>0</v>
      </c>
      <c r="W97" s="209">
        <f t="shared" si="46"/>
        <v>0</v>
      </c>
      <c r="X97" s="209">
        <f t="shared" si="47"/>
        <v>0</v>
      </c>
      <c r="Y97" s="209">
        <f t="shared" si="48"/>
        <v>0</v>
      </c>
      <c r="Z97" s="209">
        <f t="shared" si="49"/>
        <v>-1</v>
      </c>
      <c r="AA97" s="205">
        <f t="shared" si="50"/>
        <v>0</v>
      </c>
      <c r="AB97" s="209">
        <f t="shared" si="51"/>
        <v>0</v>
      </c>
      <c r="AC97" s="205">
        <f t="shared" si="52"/>
        <v>0</v>
      </c>
      <c r="AD97" s="210">
        <f t="shared" si="53"/>
        <v>5.1388888889050577E-2</v>
      </c>
      <c r="AE97" s="210">
        <f t="shared" si="54"/>
        <v>0</v>
      </c>
      <c r="AF97" s="210">
        <f t="shared" si="55"/>
        <v>5.1388888889050577E-2</v>
      </c>
      <c r="AG97" s="210">
        <f t="shared" si="56"/>
        <v>0</v>
      </c>
    </row>
    <row r="98" spans="2:33" ht="15" customHeight="1" x14ac:dyDescent="0.3">
      <c r="B98" s="196" t="s">
        <v>5</v>
      </c>
      <c r="C98" s="197" t="s">
        <v>13</v>
      </c>
      <c r="D98" s="198" t="str">
        <f t="shared" si="38"/>
        <v>C</v>
      </c>
      <c r="E98" s="199">
        <v>44742.395833333336</v>
      </c>
      <c r="F98" s="200" t="s">
        <v>93</v>
      </c>
      <c r="G98" s="201">
        <v>11512.6</v>
      </c>
      <c r="H98" s="201">
        <v>11560.84</v>
      </c>
      <c r="I98" s="202">
        <f t="shared" si="39"/>
        <v>48.239999999999782</v>
      </c>
      <c r="J98" s="201">
        <v>10998.05</v>
      </c>
      <c r="K98" s="199">
        <v>44742.6875</v>
      </c>
      <c r="L98" s="201">
        <v>11545.52</v>
      </c>
      <c r="M98" s="203">
        <f t="shared" si="40"/>
        <v>-32.92</v>
      </c>
      <c r="N98" s="204">
        <f t="shared" si="41"/>
        <v>-0.68</v>
      </c>
      <c r="O98" s="205">
        <f t="shared" si="42"/>
        <v>0</v>
      </c>
      <c r="P98" s="206">
        <f t="shared" si="43"/>
        <v>0</v>
      </c>
      <c r="Q98" s="206">
        <f t="shared" si="44"/>
        <v>-0.68</v>
      </c>
      <c r="R9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14837</v>
      </c>
      <c r="T9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8" s="208">
        <f ca="1">IF(Tabla336106734812[[#This Row],[Equity]]&lt;Tabla336106734812[[#This Row],[Equity Peak]],(Tabla336106734812[[#This Row],[Equity Peak]]-Tabla336106734812[[#This Row],[Equity]])/Tabla336106734812[[#This Row],[Equity Peak]],"")</f>
        <v>4.562227440456223E-3</v>
      </c>
      <c r="V98" s="209">
        <f t="shared" si="45"/>
        <v>0</v>
      </c>
      <c r="W98" s="209">
        <f t="shared" si="46"/>
        <v>0</v>
      </c>
      <c r="X98" s="209">
        <f t="shared" si="47"/>
        <v>0</v>
      </c>
      <c r="Y98" s="209">
        <f t="shared" si="48"/>
        <v>0</v>
      </c>
      <c r="Z98" s="209">
        <f t="shared" si="49"/>
        <v>-0.68</v>
      </c>
      <c r="AA98" s="205">
        <f t="shared" si="50"/>
        <v>0</v>
      </c>
      <c r="AB98" s="209">
        <f t="shared" si="51"/>
        <v>0</v>
      </c>
      <c r="AC98" s="205">
        <f t="shared" si="52"/>
        <v>0</v>
      </c>
      <c r="AD98" s="210">
        <f t="shared" si="53"/>
        <v>0.29166666666424135</v>
      </c>
      <c r="AE98" s="210">
        <f t="shared" si="54"/>
        <v>0</v>
      </c>
      <c r="AF98" s="210">
        <f t="shared" si="55"/>
        <v>0.29166666666424135</v>
      </c>
      <c r="AG98" s="210">
        <f t="shared" si="56"/>
        <v>0</v>
      </c>
    </row>
    <row r="99" spans="2:33" ht="15" customHeight="1" x14ac:dyDescent="0.3">
      <c r="B99" s="196" t="s">
        <v>5</v>
      </c>
      <c r="C99" s="197" t="s">
        <v>13</v>
      </c>
      <c r="D99" s="198" t="str">
        <f t="shared" si="38"/>
        <v>C</v>
      </c>
      <c r="E99" s="199">
        <v>44740.84375</v>
      </c>
      <c r="F99" s="200" t="s">
        <v>93</v>
      </c>
      <c r="G99" s="201">
        <v>11715.94</v>
      </c>
      <c r="H99" s="201">
        <v>11759.87</v>
      </c>
      <c r="I99" s="202">
        <f t="shared" si="39"/>
        <v>43.930000000000291</v>
      </c>
      <c r="J99" s="201">
        <v>11247.35</v>
      </c>
      <c r="K99" s="199">
        <v>44741.70208333333</v>
      </c>
      <c r="L99" s="201">
        <v>11648.4</v>
      </c>
      <c r="M99" s="203">
        <f t="shared" si="40"/>
        <v>67.540000000000006</v>
      </c>
      <c r="N99" s="204">
        <f t="shared" si="41"/>
        <v>1.54</v>
      </c>
      <c r="O99" s="205">
        <f t="shared" si="42"/>
        <v>0</v>
      </c>
      <c r="P99" s="206">
        <f t="shared" si="43"/>
        <v>1.54</v>
      </c>
      <c r="Q99" s="206">
        <f t="shared" si="44"/>
        <v>0</v>
      </c>
      <c r="R9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14905</v>
      </c>
      <c r="T9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14905</v>
      </c>
      <c r="U99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99" s="209">
        <f t="shared" si="45"/>
        <v>0</v>
      </c>
      <c r="W99" s="209">
        <f t="shared" si="46"/>
        <v>0</v>
      </c>
      <c r="X99" s="209">
        <f t="shared" si="47"/>
        <v>0</v>
      </c>
      <c r="Y99" s="209">
        <f t="shared" si="48"/>
        <v>0</v>
      </c>
      <c r="Z99" s="209">
        <f t="shared" si="49"/>
        <v>1.54</v>
      </c>
      <c r="AA99" s="205">
        <f t="shared" si="50"/>
        <v>0</v>
      </c>
      <c r="AB99" s="209">
        <f t="shared" si="51"/>
        <v>0</v>
      </c>
      <c r="AC99" s="205">
        <f t="shared" si="52"/>
        <v>0</v>
      </c>
      <c r="AD99" s="210">
        <f t="shared" si="53"/>
        <v>0.85833333332993789</v>
      </c>
      <c r="AE99" s="210">
        <f t="shared" si="54"/>
        <v>0.85833333332993789</v>
      </c>
      <c r="AF99" s="210">
        <f t="shared" si="55"/>
        <v>0</v>
      </c>
      <c r="AG99" s="210">
        <f t="shared" si="56"/>
        <v>0</v>
      </c>
    </row>
    <row r="100" spans="2:33" ht="15" customHeight="1" x14ac:dyDescent="0.3">
      <c r="B100" s="196" t="s">
        <v>5</v>
      </c>
      <c r="C100" s="197" t="s">
        <v>13</v>
      </c>
      <c r="D100" s="198" t="str">
        <f t="shared" si="38"/>
        <v>C</v>
      </c>
      <c r="E100" s="199">
        <v>44740.791666666664</v>
      </c>
      <c r="F100" s="200" t="s">
        <v>93</v>
      </c>
      <c r="G100" s="201">
        <v>11752.56</v>
      </c>
      <c r="H100" s="201">
        <v>11795.11</v>
      </c>
      <c r="I100" s="202">
        <f t="shared" si="39"/>
        <v>42.550000000001091</v>
      </c>
      <c r="J100" s="201">
        <v>11298.72</v>
      </c>
      <c r="K100" s="199">
        <v>44740.822916666664</v>
      </c>
      <c r="L100" s="201">
        <v>11795.11</v>
      </c>
      <c r="M100" s="203">
        <f t="shared" si="40"/>
        <v>-42.55</v>
      </c>
      <c r="N100" s="204">
        <f t="shared" si="41"/>
        <v>-1</v>
      </c>
      <c r="O100" s="205">
        <f t="shared" si="42"/>
        <v>0</v>
      </c>
      <c r="P100" s="206">
        <f t="shared" si="43"/>
        <v>0</v>
      </c>
      <c r="Q100" s="206">
        <f t="shared" si="44"/>
        <v>-1</v>
      </c>
      <c r="R10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14751</v>
      </c>
      <c r="T10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14851</v>
      </c>
      <c r="U100" s="208">
        <f ca="1">IF(Tabla336106734812[[#This Row],[Equity]]&lt;Tabla336106734812[[#This Row],[Equity Peak]],(Tabla336106734812[[#This Row],[Equity Peak]]-Tabla336106734812[[#This Row],[Equity]])/Tabla336106734812[[#This Row],[Equity Peak]],"")</f>
        <v>6.7335532960743384E-3</v>
      </c>
      <c r="V100" s="209">
        <f t="shared" si="45"/>
        <v>0</v>
      </c>
      <c r="W100" s="209">
        <f t="shared" si="46"/>
        <v>0</v>
      </c>
      <c r="X100" s="209">
        <f t="shared" si="47"/>
        <v>0</v>
      </c>
      <c r="Y100" s="209">
        <f t="shared" si="48"/>
        <v>0</v>
      </c>
      <c r="Z100" s="209">
        <f t="shared" si="49"/>
        <v>-1</v>
      </c>
      <c r="AA100" s="205">
        <f t="shared" si="50"/>
        <v>0</v>
      </c>
      <c r="AB100" s="209">
        <f t="shared" si="51"/>
        <v>0</v>
      </c>
      <c r="AC100" s="205">
        <f t="shared" si="52"/>
        <v>0</v>
      </c>
      <c r="AD100" s="210">
        <f t="shared" si="53"/>
        <v>3.125E-2</v>
      </c>
      <c r="AE100" s="210">
        <f t="shared" si="54"/>
        <v>0</v>
      </c>
      <c r="AF100" s="210">
        <f t="shared" si="55"/>
        <v>3.125E-2</v>
      </c>
      <c r="AG100" s="210">
        <f t="shared" si="56"/>
        <v>0</v>
      </c>
    </row>
    <row r="101" spans="2:33" ht="15" customHeight="1" x14ac:dyDescent="0.3">
      <c r="B101" s="196" t="s">
        <v>5</v>
      </c>
      <c r="C101" s="197" t="s">
        <v>15</v>
      </c>
      <c r="D101" s="198" t="str">
        <f t="shared" si="38"/>
        <v>C</v>
      </c>
      <c r="E101" s="199">
        <v>44736.208333333336</v>
      </c>
      <c r="F101" s="200" t="s">
        <v>93</v>
      </c>
      <c r="G101" s="201">
        <v>11741.84</v>
      </c>
      <c r="H101" s="201">
        <v>11690.88</v>
      </c>
      <c r="I101" s="202">
        <f t="shared" si="39"/>
        <v>50.960000000000946</v>
      </c>
      <c r="J101" s="201">
        <v>12285.44</v>
      </c>
      <c r="K101" s="199">
        <v>44739.647222222222</v>
      </c>
      <c r="L101" s="201">
        <v>12128.46</v>
      </c>
      <c r="M101" s="203">
        <f t="shared" si="40"/>
        <v>386.62</v>
      </c>
      <c r="N101" s="204">
        <f t="shared" si="41"/>
        <v>7.59</v>
      </c>
      <c r="O101" s="205">
        <f t="shared" si="42"/>
        <v>0</v>
      </c>
      <c r="P101" s="206">
        <f t="shared" si="43"/>
        <v>7.59</v>
      </c>
      <c r="Q101" s="206">
        <f t="shared" si="44"/>
        <v>0</v>
      </c>
      <c r="R10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14851</v>
      </c>
      <c r="T10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14851</v>
      </c>
      <c r="U101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1" s="209">
        <f t="shared" si="45"/>
        <v>0</v>
      </c>
      <c r="W101" s="209">
        <f t="shared" si="46"/>
        <v>0</v>
      </c>
      <c r="X101" s="209">
        <f t="shared" si="47"/>
        <v>0</v>
      </c>
      <c r="Y101" s="209">
        <f t="shared" si="48"/>
        <v>0</v>
      </c>
      <c r="Z101" s="209">
        <f t="shared" si="49"/>
        <v>7.59</v>
      </c>
      <c r="AA101" s="205">
        <f t="shared" si="50"/>
        <v>0</v>
      </c>
      <c r="AB101" s="209">
        <f t="shared" si="51"/>
        <v>0</v>
      </c>
      <c r="AC101" s="205">
        <f t="shared" si="52"/>
        <v>0</v>
      </c>
      <c r="AD101" s="210">
        <f t="shared" si="53"/>
        <v>3.4388888888861402</v>
      </c>
      <c r="AE101" s="210">
        <f t="shared" si="54"/>
        <v>3.4388888888861402</v>
      </c>
      <c r="AF101" s="210">
        <f t="shared" si="55"/>
        <v>0</v>
      </c>
      <c r="AG101" s="210">
        <f t="shared" si="56"/>
        <v>0</v>
      </c>
    </row>
    <row r="102" spans="2:33" ht="15" customHeight="1" x14ac:dyDescent="0.3">
      <c r="B102" s="196" t="s">
        <v>5</v>
      </c>
      <c r="C102" s="197" t="s">
        <v>13</v>
      </c>
      <c r="D102" s="198" t="str">
        <f t="shared" si="38"/>
        <v>C</v>
      </c>
      <c r="E102" s="199">
        <v>44728.71875</v>
      </c>
      <c r="F102" s="200" t="s">
        <v>93</v>
      </c>
      <c r="G102" s="201">
        <v>11167.28</v>
      </c>
      <c r="H102" s="201">
        <v>11238.78</v>
      </c>
      <c r="I102" s="202">
        <f t="shared" si="39"/>
        <v>71.5</v>
      </c>
      <c r="J102" s="201">
        <v>10404.620000000001</v>
      </c>
      <c r="K102" s="199">
        <v>44729.202777777777</v>
      </c>
      <c r="L102" s="201">
        <v>11198.91</v>
      </c>
      <c r="M102" s="203">
        <f t="shared" si="40"/>
        <v>-31.63</v>
      </c>
      <c r="N102" s="204">
        <f t="shared" si="41"/>
        <v>-0.44</v>
      </c>
      <c r="O102" s="205">
        <f t="shared" si="42"/>
        <v>0</v>
      </c>
      <c r="P102" s="206">
        <f t="shared" si="43"/>
        <v>0</v>
      </c>
      <c r="Q102" s="206">
        <f t="shared" si="44"/>
        <v>-0.44</v>
      </c>
      <c r="R10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14092</v>
      </c>
      <c r="T10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14236</v>
      </c>
      <c r="U102" s="208">
        <f ca="1">IF(Tabla336106734812[[#This Row],[Equity]]&lt;Tabla336106734812[[#This Row],[Equity Peak]],(Tabla336106734812[[#This Row],[Equity Peak]]-Tabla336106734812[[#This Row],[Equity]])/Tabla336106734812[[#This Row],[Equity Peak]],"")</f>
        <v>1.0115200899128969E-2</v>
      </c>
      <c r="V102" s="209">
        <f t="shared" si="45"/>
        <v>0</v>
      </c>
      <c r="W102" s="209">
        <f t="shared" si="46"/>
        <v>0</v>
      </c>
      <c r="X102" s="209">
        <f t="shared" si="47"/>
        <v>0</v>
      </c>
      <c r="Y102" s="209">
        <f t="shared" si="48"/>
        <v>0</v>
      </c>
      <c r="Z102" s="209">
        <f t="shared" si="49"/>
        <v>-0.44</v>
      </c>
      <c r="AA102" s="205">
        <f t="shared" si="50"/>
        <v>0</v>
      </c>
      <c r="AB102" s="209">
        <f t="shared" si="51"/>
        <v>0</v>
      </c>
      <c r="AC102" s="205">
        <f t="shared" si="52"/>
        <v>0</v>
      </c>
      <c r="AD102" s="210">
        <f t="shared" si="53"/>
        <v>0.48402777777664596</v>
      </c>
      <c r="AE102" s="210">
        <f t="shared" si="54"/>
        <v>0</v>
      </c>
      <c r="AF102" s="210">
        <f t="shared" si="55"/>
        <v>0.48402777777664596</v>
      </c>
      <c r="AG102" s="210">
        <f t="shared" si="56"/>
        <v>0</v>
      </c>
    </row>
    <row r="103" spans="2:33" ht="15" customHeight="1" x14ac:dyDescent="0.3">
      <c r="B103" s="196" t="s">
        <v>5</v>
      </c>
      <c r="C103" s="197" t="s">
        <v>13</v>
      </c>
      <c r="D103" s="198" t="str">
        <f t="shared" si="38"/>
        <v>C</v>
      </c>
      <c r="E103" s="199">
        <v>44726.927083333336</v>
      </c>
      <c r="F103" s="200" t="s">
        <v>93</v>
      </c>
      <c r="G103" s="201">
        <v>11219.1</v>
      </c>
      <c r="H103" s="201">
        <v>11276.49</v>
      </c>
      <c r="I103" s="202">
        <f t="shared" si="39"/>
        <v>57.389999999999418</v>
      </c>
      <c r="J103" s="201">
        <v>10606.96</v>
      </c>
      <c r="K103" s="199">
        <v>44726.936111111114</v>
      </c>
      <c r="L103" s="201">
        <v>11276.49</v>
      </c>
      <c r="M103" s="203">
        <f t="shared" si="40"/>
        <v>-57.39</v>
      </c>
      <c r="N103" s="204">
        <f t="shared" si="41"/>
        <v>-1</v>
      </c>
      <c r="O103" s="205">
        <f t="shared" si="42"/>
        <v>0</v>
      </c>
      <c r="P103" s="206">
        <f t="shared" si="43"/>
        <v>0</v>
      </c>
      <c r="Q103" s="206">
        <f t="shared" si="44"/>
        <v>-1</v>
      </c>
      <c r="R10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14136</v>
      </c>
      <c r="T10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14236</v>
      </c>
      <c r="U103" s="208">
        <f ca="1">IF(Tabla336106734812[[#This Row],[Equity]]&lt;Tabla336106734812[[#This Row],[Equity Peak]],(Tabla336106734812[[#This Row],[Equity Peak]]-Tabla336106734812[[#This Row],[Equity]])/Tabla336106734812[[#This Row],[Equity Peak]],"")</f>
        <v>7.0244450688395615E-3</v>
      </c>
      <c r="V103" s="209">
        <f t="shared" si="45"/>
        <v>0</v>
      </c>
      <c r="W103" s="209">
        <f t="shared" si="46"/>
        <v>0</v>
      </c>
      <c r="X103" s="209">
        <f t="shared" si="47"/>
        <v>0</v>
      </c>
      <c r="Y103" s="209">
        <f t="shared" si="48"/>
        <v>0</v>
      </c>
      <c r="Z103" s="209">
        <f t="shared" si="49"/>
        <v>-1</v>
      </c>
      <c r="AA103" s="205">
        <f t="shared" si="50"/>
        <v>0</v>
      </c>
      <c r="AB103" s="209">
        <f t="shared" si="51"/>
        <v>0</v>
      </c>
      <c r="AC103" s="205">
        <f t="shared" si="52"/>
        <v>0</v>
      </c>
      <c r="AD103" s="210">
        <f t="shared" si="53"/>
        <v>9.0277777781011537E-3</v>
      </c>
      <c r="AE103" s="210">
        <f t="shared" si="54"/>
        <v>0</v>
      </c>
      <c r="AF103" s="210">
        <f t="shared" si="55"/>
        <v>9.0277777781011537E-3</v>
      </c>
      <c r="AG103" s="210">
        <f t="shared" si="56"/>
        <v>0</v>
      </c>
    </row>
    <row r="104" spans="2:33" ht="15" customHeight="1" x14ac:dyDescent="0.3">
      <c r="B104" s="196" t="s">
        <v>5</v>
      </c>
      <c r="C104" s="197" t="s">
        <v>13</v>
      </c>
      <c r="D104" s="198" t="str">
        <f t="shared" si="38"/>
        <v>C</v>
      </c>
      <c r="E104" s="199">
        <v>44721.90625</v>
      </c>
      <c r="F104" s="200" t="s">
        <v>93</v>
      </c>
      <c r="G104" s="201">
        <v>12469.3</v>
      </c>
      <c r="H104" s="201">
        <v>12514</v>
      </c>
      <c r="I104" s="202">
        <f t="shared" si="39"/>
        <v>44.700000000000728</v>
      </c>
      <c r="J104" s="201">
        <v>11992.46</v>
      </c>
      <c r="K104" s="199">
        <v>44722.689583333333</v>
      </c>
      <c r="L104" s="201">
        <v>11992.46</v>
      </c>
      <c r="M104" s="203">
        <f t="shared" si="40"/>
        <v>476.84</v>
      </c>
      <c r="N104" s="204">
        <f t="shared" si="41"/>
        <v>10.67</v>
      </c>
      <c r="O104" s="205">
        <f t="shared" si="42"/>
        <v>0</v>
      </c>
      <c r="P104" s="206">
        <f t="shared" si="43"/>
        <v>10.67</v>
      </c>
      <c r="Q104" s="206">
        <f t="shared" si="44"/>
        <v>0</v>
      </c>
      <c r="R10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14236</v>
      </c>
      <c r="T10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14236</v>
      </c>
      <c r="U104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4" s="209">
        <f t="shared" si="45"/>
        <v>0</v>
      </c>
      <c r="W104" s="209">
        <f t="shared" si="46"/>
        <v>0</v>
      </c>
      <c r="X104" s="209">
        <f t="shared" si="47"/>
        <v>0</v>
      </c>
      <c r="Y104" s="209">
        <f t="shared" si="48"/>
        <v>0</v>
      </c>
      <c r="Z104" s="209">
        <f t="shared" si="49"/>
        <v>10.67</v>
      </c>
      <c r="AA104" s="205">
        <f t="shared" si="50"/>
        <v>0</v>
      </c>
      <c r="AB104" s="209">
        <f t="shared" si="51"/>
        <v>0</v>
      </c>
      <c r="AC104" s="205">
        <f t="shared" si="52"/>
        <v>0</v>
      </c>
      <c r="AD104" s="210">
        <f t="shared" si="53"/>
        <v>0.78333333333284827</v>
      </c>
      <c r="AE104" s="210">
        <f t="shared" si="54"/>
        <v>0.78333333333284827</v>
      </c>
      <c r="AF104" s="210">
        <f t="shared" si="55"/>
        <v>0</v>
      </c>
      <c r="AG104" s="210">
        <f t="shared" si="56"/>
        <v>0</v>
      </c>
    </row>
    <row r="105" spans="2:33" ht="15" customHeight="1" x14ac:dyDescent="0.3">
      <c r="B105" s="196" t="s">
        <v>5</v>
      </c>
      <c r="C105" s="197" t="s">
        <v>13</v>
      </c>
      <c r="D105" s="198" t="str">
        <f t="shared" si="38"/>
        <v>C</v>
      </c>
      <c r="E105" s="199">
        <v>44719.59375</v>
      </c>
      <c r="F105" s="200" t="s">
        <v>93</v>
      </c>
      <c r="G105" s="201">
        <v>12443.76</v>
      </c>
      <c r="H105" s="201">
        <v>12490.91</v>
      </c>
      <c r="I105" s="202">
        <f t="shared" si="39"/>
        <v>47.149999999999636</v>
      </c>
      <c r="J105" s="201">
        <v>11940.82</v>
      </c>
      <c r="K105" s="199">
        <v>44719.692361111112</v>
      </c>
      <c r="L105" s="201">
        <v>12490.91</v>
      </c>
      <c r="M105" s="203">
        <f t="shared" si="40"/>
        <v>-47.15</v>
      </c>
      <c r="N105" s="204">
        <f t="shared" si="41"/>
        <v>-1</v>
      </c>
      <c r="O105" s="205">
        <f t="shared" si="42"/>
        <v>0</v>
      </c>
      <c r="P105" s="206">
        <f t="shared" si="43"/>
        <v>0</v>
      </c>
      <c r="Q105" s="206">
        <f t="shared" si="44"/>
        <v>-1</v>
      </c>
      <c r="R10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13169</v>
      </c>
      <c r="T10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13394</v>
      </c>
      <c r="U105" s="208">
        <f ca="1">IF(Tabla336106734812[[#This Row],[Equity]]&lt;Tabla336106734812[[#This Row],[Equity Peak]],(Tabla336106734812[[#This Row],[Equity Peak]]-Tabla336106734812[[#This Row],[Equity]])/Tabla336106734812[[#This Row],[Equity Peak]],"")</f>
        <v>1.6798566522323428E-2</v>
      </c>
      <c r="V105" s="209">
        <f t="shared" si="45"/>
        <v>0</v>
      </c>
      <c r="W105" s="209">
        <f t="shared" si="46"/>
        <v>0</v>
      </c>
      <c r="X105" s="209">
        <f t="shared" si="47"/>
        <v>0</v>
      </c>
      <c r="Y105" s="209">
        <f t="shared" si="48"/>
        <v>0</v>
      </c>
      <c r="Z105" s="209">
        <f t="shared" si="49"/>
        <v>-1</v>
      </c>
      <c r="AA105" s="205">
        <f t="shared" si="50"/>
        <v>0</v>
      </c>
      <c r="AB105" s="209">
        <f t="shared" si="51"/>
        <v>0</v>
      </c>
      <c r="AC105" s="205">
        <f t="shared" si="52"/>
        <v>0</v>
      </c>
      <c r="AD105" s="210">
        <f t="shared" si="53"/>
        <v>9.8611111112404615E-2</v>
      </c>
      <c r="AE105" s="210">
        <f t="shared" si="54"/>
        <v>0</v>
      </c>
      <c r="AF105" s="210">
        <f t="shared" si="55"/>
        <v>9.8611111112404615E-2</v>
      </c>
      <c r="AG105" s="210">
        <f t="shared" si="56"/>
        <v>0</v>
      </c>
    </row>
    <row r="106" spans="2:33" ht="15" customHeight="1" x14ac:dyDescent="0.3">
      <c r="B106" s="196" t="s">
        <v>5</v>
      </c>
      <c r="C106" s="197" t="s">
        <v>13</v>
      </c>
      <c r="D106" s="198" t="str">
        <f t="shared" si="38"/>
        <v>C</v>
      </c>
      <c r="E106" s="199">
        <v>44719.354166666664</v>
      </c>
      <c r="F106" s="200" t="s">
        <v>93</v>
      </c>
      <c r="G106" s="201">
        <v>12469.04</v>
      </c>
      <c r="H106" s="201">
        <v>12513.79</v>
      </c>
      <c r="I106" s="202">
        <f t="shared" si="39"/>
        <v>44.75</v>
      </c>
      <c r="J106" s="201">
        <v>11991.67</v>
      </c>
      <c r="K106" s="199">
        <v>44719.395833333336</v>
      </c>
      <c r="L106" s="201">
        <v>12513.79</v>
      </c>
      <c r="M106" s="203">
        <f t="shared" si="40"/>
        <v>-44.75</v>
      </c>
      <c r="N106" s="204">
        <f t="shared" si="41"/>
        <v>-1</v>
      </c>
      <c r="O106" s="205">
        <f t="shared" si="42"/>
        <v>0</v>
      </c>
      <c r="P106" s="206">
        <f t="shared" si="43"/>
        <v>0</v>
      </c>
      <c r="Q106" s="206">
        <f t="shared" si="44"/>
        <v>-1</v>
      </c>
      <c r="R10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13269</v>
      </c>
      <c r="T10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13394</v>
      </c>
      <c r="U106" s="208">
        <f ca="1">IF(Tabla336106734812[[#This Row],[Equity]]&lt;Tabla336106734812[[#This Row],[Equity Peak]],(Tabla336106734812[[#This Row],[Equity Peak]]-Tabla336106734812[[#This Row],[Equity]])/Tabla336106734812[[#This Row],[Equity Peak]],"")</f>
        <v>9.3325369568463493E-3</v>
      </c>
      <c r="V106" s="209">
        <f t="shared" si="45"/>
        <v>0</v>
      </c>
      <c r="W106" s="209">
        <f t="shared" si="46"/>
        <v>0</v>
      </c>
      <c r="X106" s="209">
        <f t="shared" si="47"/>
        <v>0</v>
      </c>
      <c r="Y106" s="209">
        <f t="shared" si="48"/>
        <v>0</v>
      </c>
      <c r="Z106" s="209">
        <f t="shared" si="49"/>
        <v>-1</v>
      </c>
      <c r="AA106" s="205">
        <f t="shared" si="50"/>
        <v>0</v>
      </c>
      <c r="AB106" s="209">
        <f t="shared" si="51"/>
        <v>0</v>
      </c>
      <c r="AC106" s="205">
        <f t="shared" si="52"/>
        <v>0</v>
      </c>
      <c r="AD106" s="210">
        <f t="shared" si="53"/>
        <v>4.1666666671517305E-2</v>
      </c>
      <c r="AE106" s="210">
        <f t="shared" si="54"/>
        <v>0</v>
      </c>
      <c r="AF106" s="210">
        <f t="shared" si="55"/>
        <v>4.1666666671517305E-2</v>
      </c>
      <c r="AG106" s="210">
        <f t="shared" si="56"/>
        <v>0</v>
      </c>
    </row>
    <row r="107" spans="2:33" ht="15" customHeight="1" x14ac:dyDescent="0.3">
      <c r="B107" s="196" t="s">
        <v>5</v>
      </c>
      <c r="C107" s="197" t="s">
        <v>15</v>
      </c>
      <c r="D107" s="198" t="str">
        <f t="shared" si="38"/>
        <v>C</v>
      </c>
      <c r="E107" s="199">
        <v>44714.864583333336</v>
      </c>
      <c r="F107" s="200" t="s">
        <v>93</v>
      </c>
      <c r="G107" s="201">
        <v>12820</v>
      </c>
      <c r="H107" s="201">
        <v>12769.26</v>
      </c>
      <c r="I107" s="202">
        <f t="shared" si="39"/>
        <v>50.739999999999782</v>
      </c>
      <c r="J107" s="201">
        <v>13361.26</v>
      </c>
      <c r="K107" s="199">
        <v>44715.460416666669</v>
      </c>
      <c r="L107" s="201">
        <v>12807.36</v>
      </c>
      <c r="M107" s="203">
        <f t="shared" si="40"/>
        <v>-12.64</v>
      </c>
      <c r="N107" s="204">
        <f t="shared" si="41"/>
        <v>-0.25</v>
      </c>
      <c r="O107" s="205">
        <f t="shared" si="42"/>
        <v>0</v>
      </c>
      <c r="P107" s="206">
        <f t="shared" si="43"/>
        <v>0</v>
      </c>
      <c r="Q107" s="206">
        <f t="shared" si="44"/>
        <v>-0.25</v>
      </c>
      <c r="R10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13369</v>
      </c>
      <c r="T10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13394</v>
      </c>
      <c r="U107" s="208">
        <f ca="1">IF(Tabla336106734812[[#This Row],[Equity]]&lt;Tabla336106734812[[#This Row],[Equity Peak]],(Tabla336106734812[[#This Row],[Equity Peak]]-Tabla336106734812[[#This Row],[Equity]])/Tabla336106734812[[#This Row],[Equity Peak]],"")</f>
        <v>1.8665073913692698E-3</v>
      </c>
      <c r="V107" s="209">
        <f t="shared" si="45"/>
        <v>0</v>
      </c>
      <c r="W107" s="209">
        <f t="shared" si="46"/>
        <v>0</v>
      </c>
      <c r="X107" s="209">
        <f t="shared" si="47"/>
        <v>0</v>
      </c>
      <c r="Y107" s="209">
        <f t="shared" si="48"/>
        <v>0</v>
      </c>
      <c r="Z107" s="209">
        <f t="shared" si="49"/>
        <v>-0.25</v>
      </c>
      <c r="AA107" s="205">
        <f t="shared" si="50"/>
        <v>0</v>
      </c>
      <c r="AB107" s="209">
        <f t="shared" si="51"/>
        <v>0</v>
      </c>
      <c r="AC107" s="205">
        <f t="shared" si="52"/>
        <v>0</v>
      </c>
      <c r="AD107" s="210">
        <f t="shared" si="53"/>
        <v>0.59583333333284827</v>
      </c>
      <c r="AE107" s="210">
        <f t="shared" si="54"/>
        <v>0</v>
      </c>
      <c r="AF107" s="210">
        <f t="shared" si="55"/>
        <v>0.59583333333284827</v>
      </c>
      <c r="AG107" s="210">
        <f t="shared" si="56"/>
        <v>0</v>
      </c>
    </row>
    <row r="108" spans="2:33" ht="15" customHeight="1" x14ac:dyDescent="0.3">
      <c r="B108" s="196" t="s">
        <v>5</v>
      </c>
      <c r="C108" s="197" t="s">
        <v>15</v>
      </c>
      <c r="D108" s="198" t="str">
        <f t="shared" si="38"/>
        <v>C</v>
      </c>
      <c r="E108" s="199">
        <v>44707.71875</v>
      </c>
      <c r="F108" s="200" t="s">
        <v>93</v>
      </c>
      <c r="G108" s="201">
        <v>12154.8</v>
      </c>
      <c r="H108" s="201">
        <v>12098.69</v>
      </c>
      <c r="I108" s="202">
        <f t="shared" si="39"/>
        <v>56.109999999998763</v>
      </c>
      <c r="J108" s="201">
        <v>12753.3</v>
      </c>
      <c r="K108" s="199">
        <v>44711.175000000003</v>
      </c>
      <c r="L108" s="201">
        <v>12753.3</v>
      </c>
      <c r="M108" s="203">
        <f t="shared" si="40"/>
        <v>598.5</v>
      </c>
      <c r="N108" s="204">
        <f t="shared" si="41"/>
        <v>10.67</v>
      </c>
      <c r="O108" s="205">
        <f t="shared" si="42"/>
        <v>0</v>
      </c>
      <c r="P108" s="206">
        <f t="shared" si="43"/>
        <v>10.67</v>
      </c>
      <c r="Q108" s="206">
        <f t="shared" si="44"/>
        <v>0</v>
      </c>
      <c r="R10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13394</v>
      </c>
      <c r="T10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13394</v>
      </c>
      <c r="U108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8" s="209">
        <f t="shared" si="45"/>
        <v>0</v>
      </c>
      <c r="W108" s="209">
        <f t="shared" si="46"/>
        <v>0</v>
      </c>
      <c r="X108" s="209">
        <f t="shared" si="47"/>
        <v>0</v>
      </c>
      <c r="Y108" s="209">
        <f t="shared" si="48"/>
        <v>0</v>
      </c>
      <c r="Z108" s="209">
        <f t="shared" si="49"/>
        <v>10.67</v>
      </c>
      <c r="AA108" s="205">
        <f t="shared" si="50"/>
        <v>0</v>
      </c>
      <c r="AB108" s="209">
        <f t="shared" si="51"/>
        <v>0</v>
      </c>
      <c r="AC108" s="205">
        <f t="shared" si="52"/>
        <v>0</v>
      </c>
      <c r="AD108" s="210">
        <f t="shared" si="53"/>
        <v>3.4562500000029104</v>
      </c>
      <c r="AE108" s="210">
        <f t="shared" si="54"/>
        <v>3.4562500000029104</v>
      </c>
      <c r="AF108" s="210">
        <f t="shared" si="55"/>
        <v>0</v>
      </c>
      <c r="AG108" s="210">
        <f t="shared" si="56"/>
        <v>0</v>
      </c>
    </row>
    <row r="109" spans="2:33" ht="15" customHeight="1" x14ac:dyDescent="0.3">
      <c r="B109" s="196" t="s">
        <v>5</v>
      </c>
      <c r="C109" s="197" t="s">
        <v>13</v>
      </c>
      <c r="D109" s="198" t="str">
        <f t="shared" si="38"/>
        <v>C</v>
      </c>
      <c r="E109" s="199">
        <v>44701.802083333336</v>
      </c>
      <c r="F109" s="200" t="s">
        <v>93</v>
      </c>
      <c r="G109" s="201">
        <v>11661.7</v>
      </c>
      <c r="H109" s="201">
        <v>11719.26</v>
      </c>
      <c r="I109" s="202">
        <f t="shared" si="39"/>
        <v>57.559999999999491</v>
      </c>
      <c r="J109" s="201">
        <v>11047.7</v>
      </c>
      <c r="K109" s="199">
        <v>44701.870138888888</v>
      </c>
      <c r="L109" s="201">
        <v>11621.65</v>
      </c>
      <c r="M109" s="203">
        <f t="shared" si="40"/>
        <v>40.049999999999997</v>
      </c>
      <c r="N109" s="204">
        <f t="shared" si="41"/>
        <v>0.7</v>
      </c>
      <c r="O109" s="205">
        <f t="shared" si="42"/>
        <v>0</v>
      </c>
      <c r="P109" s="206">
        <f t="shared" si="43"/>
        <v>0.7</v>
      </c>
      <c r="Q109" s="206">
        <f t="shared" si="44"/>
        <v>0</v>
      </c>
      <c r="R10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12327</v>
      </c>
      <c r="T10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09" s="208">
        <f ca="1">IF(Tabla336106734812[[#This Row],[Equity]]&lt;Tabla336106734812[[#This Row],[Equity Peak]],(Tabla336106734812[[#This Row],[Equity Peak]]-Tabla336106734812[[#This Row],[Equity]])/Tabla336106734812[[#This Row],[Equity Peak]],"")</f>
        <v>5.5257510729613733E-2</v>
      </c>
      <c r="V109" s="209">
        <f t="shared" si="45"/>
        <v>0</v>
      </c>
      <c r="W109" s="209">
        <f t="shared" si="46"/>
        <v>0</v>
      </c>
      <c r="X109" s="209">
        <f t="shared" si="47"/>
        <v>0</v>
      </c>
      <c r="Y109" s="209">
        <f t="shared" si="48"/>
        <v>0</v>
      </c>
      <c r="Z109" s="209">
        <f t="shared" si="49"/>
        <v>0.7</v>
      </c>
      <c r="AA109" s="205">
        <f t="shared" si="50"/>
        <v>0</v>
      </c>
      <c r="AB109" s="209">
        <f t="shared" si="51"/>
        <v>0</v>
      </c>
      <c r="AC109" s="205">
        <f t="shared" si="52"/>
        <v>0</v>
      </c>
      <c r="AD109" s="210">
        <f t="shared" si="53"/>
        <v>6.8055555551836733E-2</v>
      </c>
      <c r="AE109" s="210">
        <f t="shared" si="54"/>
        <v>6.8055555551836733E-2</v>
      </c>
      <c r="AF109" s="210">
        <f t="shared" si="55"/>
        <v>0</v>
      </c>
      <c r="AG109" s="210">
        <f t="shared" si="56"/>
        <v>0</v>
      </c>
    </row>
    <row r="110" spans="2:33" ht="15" customHeight="1" x14ac:dyDescent="0.3">
      <c r="B110" s="196" t="s">
        <v>5</v>
      </c>
      <c r="C110" s="197" t="s">
        <v>13</v>
      </c>
      <c r="D110" s="198" t="str">
        <f t="shared" si="38"/>
        <v>C</v>
      </c>
      <c r="E110" s="199">
        <v>44699.770833333336</v>
      </c>
      <c r="F110" s="200" t="s">
        <v>93</v>
      </c>
      <c r="G110" s="201">
        <v>12139.4</v>
      </c>
      <c r="H110" s="201">
        <v>12184.71</v>
      </c>
      <c r="I110" s="202">
        <f t="shared" si="39"/>
        <v>45.309999999999491</v>
      </c>
      <c r="J110" s="201">
        <v>11656.12</v>
      </c>
      <c r="K110" s="199">
        <v>44700.267361111109</v>
      </c>
      <c r="L110" s="201">
        <v>11937</v>
      </c>
      <c r="M110" s="203">
        <f t="shared" si="40"/>
        <v>202.4</v>
      </c>
      <c r="N110" s="204">
        <f t="shared" si="41"/>
        <v>4.47</v>
      </c>
      <c r="O110" s="205">
        <f t="shared" si="42"/>
        <v>0</v>
      </c>
      <c r="P110" s="206">
        <f t="shared" si="43"/>
        <v>4.47</v>
      </c>
      <c r="Q110" s="206">
        <f t="shared" si="44"/>
        <v>0</v>
      </c>
      <c r="R11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12257</v>
      </c>
      <c r="T11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0" s="208">
        <f ca="1">IF(Tabla336106734812[[#This Row],[Equity]]&lt;Tabla336106734812[[#This Row],[Equity Peak]],(Tabla336106734812[[#This Row],[Equity Peak]]-Tabla336106734812[[#This Row],[Equity]])/Tabla336106734812[[#This Row],[Equity Peak]],"")</f>
        <v>6.062231759656652E-2</v>
      </c>
      <c r="V110" s="209">
        <f t="shared" si="45"/>
        <v>0</v>
      </c>
      <c r="W110" s="209">
        <f t="shared" si="46"/>
        <v>0</v>
      </c>
      <c r="X110" s="209">
        <f t="shared" si="47"/>
        <v>0</v>
      </c>
      <c r="Y110" s="209">
        <f t="shared" si="48"/>
        <v>0</v>
      </c>
      <c r="Z110" s="209">
        <f t="shared" si="49"/>
        <v>4.47</v>
      </c>
      <c r="AA110" s="205">
        <f t="shared" si="50"/>
        <v>0</v>
      </c>
      <c r="AB110" s="209">
        <f t="shared" si="51"/>
        <v>0</v>
      </c>
      <c r="AC110" s="205">
        <f t="shared" si="52"/>
        <v>0</v>
      </c>
      <c r="AD110" s="210">
        <f t="shared" si="53"/>
        <v>0.49652777777373558</v>
      </c>
      <c r="AE110" s="210">
        <f t="shared" si="54"/>
        <v>0.49652777777373558</v>
      </c>
      <c r="AF110" s="210">
        <f t="shared" si="55"/>
        <v>0</v>
      </c>
      <c r="AG110" s="210">
        <f t="shared" si="56"/>
        <v>0</v>
      </c>
    </row>
    <row r="111" spans="2:33" ht="15" customHeight="1" x14ac:dyDescent="0.3">
      <c r="B111" s="196" t="s">
        <v>5</v>
      </c>
      <c r="C111" s="197" t="s">
        <v>15</v>
      </c>
      <c r="D111" s="198" t="str">
        <f t="shared" si="38"/>
        <v>C</v>
      </c>
      <c r="E111" s="199">
        <v>44699.052083333336</v>
      </c>
      <c r="F111" s="200" t="s">
        <v>93</v>
      </c>
      <c r="G111" s="201">
        <v>12576.1</v>
      </c>
      <c r="H111" s="201">
        <v>12528.16</v>
      </c>
      <c r="I111" s="202">
        <f t="shared" si="39"/>
        <v>47.940000000000509</v>
      </c>
      <c r="J111" s="201">
        <v>13087.47</v>
      </c>
      <c r="K111" s="199">
        <v>44699.172222222223</v>
      </c>
      <c r="L111" s="201">
        <v>12528.16</v>
      </c>
      <c r="M111" s="203">
        <f t="shared" si="40"/>
        <v>-47.94</v>
      </c>
      <c r="N111" s="204">
        <f t="shared" si="41"/>
        <v>-1</v>
      </c>
      <c r="O111" s="205">
        <f t="shared" si="42"/>
        <v>0</v>
      </c>
      <c r="P111" s="206">
        <f t="shared" si="43"/>
        <v>0</v>
      </c>
      <c r="Q111" s="206">
        <f t="shared" si="44"/>
        <v>-1</v>
      </c>
      <c r="R11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11810</v>
      </c>
      <c r="T11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1" s="208">
        <f ca="1">IF(Tabla336106734812[[#This Row],[Equity]]&lt;Tabla336106734812[[#This Row],[Equity Peak]],(Tabla336106734812[[#This Row],[Equity Peak]]-Tabla336106734812[[#This Row],[Equity]])/Tabla336106734812[[#This Row],[Equity Peak]],"")</f>
        <v>9.4880441446965058E-2</v>
      </c>
      <c r="V111" s="209">
        <f t="shared" si="45"/>
        <v>0</v>
      </c>
      <c r="W111" s="209">
        <f t="shared" si="46"/>
        <v>0</v>
      </c>
      <c r="X111" s="209">
        <f t="shared" si="47"/>
        <v>0</v>
      </c>
      <c r="Y111" s="209">
        <f t="shared" si="48"/>
        <v>0</v>
      </c>
      <c r="Z111" s="209">
        <f t="shared" si="49"/>
        <v>-1</v>
      </c>
      <c r="AA111" s="205">
        <f t="shared" si="50"/>
        <v>0</v>
      </c>
      <c r="AB111" s="209">
        <f t="shared" si="51"/>
        <v>0</v>
      </c>
      <c r="AC111" s="205">
        <f t="shared" si="52"/>
        <v>0</v>
      </c>
      <c r="AD111" s="210">
        <f t="shared" si="53"/>
        <v>0.12013888888759539</v>
      </c>
      <c r="AE111" s="210">
        <f t="shared" si="54"/>
        <v>0</v>
      </c>
      <c r="AF111" s="210">
        <f t="shared" si="55"/>
        <v>0.12013888888759539</v>
      </c>
      <c r="AG111" s="210">
        <f t="shared" si="56"/>
        <v>0</v>
      </c>
    </row>
    <row r="112" spans="2:33" ht="15" customHeight="1" x14ac:dyDescent="0.3">
      <c r="B112" s="196" t="s">
        <v>5</v>
      </c>
      <c r="C112" s="197" t="s">
        <v>13</v>
      </c>
      <c r="D112" s="198" t="str">
        <f t="shared" si="38"/>
        <v>C</v>
      </c>
      <c r="E112" s="199">
        <v>44693.375</v>
      </c>
      <c r="F112" s="200" t="s">
        <v>93</v>
      </c>
      <c r="G112" s="201">
        <v>11903.63</v>
      </c>
      <c r="H112" s="201">
        <v>11983.58</v>
      </c>
      <c r="I112" s="202">
        <f t="shared" si="39"/>
        <v>79.950000000000728</v>
      </c>
      <c r="J112" s="201">
        <v>11050.85</v>
      </c>
      <c r="K112" s="199">
        <v>44693.717361111114</v>
      </c>
      <c r="L112" s="201">
        <v>11965.77</v>
      </c>
      <c r="M112" s="203">
        <f t="shared" si="40"/>
        <v>-62.14</v>
      </c>
      <c r="N112" s="204">
        <f t="shared" si="41"/>
        <v>-0.78</v>
      </c>
      <c r="O112" s="205">
        <f t="shared" si="42"/>
        <v>0</v>
      </c>
      <c r="P112" s="206">
        <f t="shared" si="43"/>
        <v>0</v>
      </c>
      <c r="Q112" s="206">
        <f t="shared" si="44"/>
        <v>-0.78</v>
      </c>
      <c r="R11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11910</v>
      </c>
      <c r="T11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2" s="208">
        <f ca="1">IF(Tabla336106734812[[#This Row],[Equity]]&lt;Tabla336106734812[[#This Row],[Equity Peak]],(Tabla336106734812[[#This Row],[Equity Peak]]-Tabla336106734812[[#This Row],[Equity]])/Tabla336106734812[[#This Row],[Equity Peak]],"")</f>
        <v>8.7216431637032493E-2</v>
      </c>
      <c r="V112" s="209">
        <f t="shared" si="45"/>
        <v>0</v>
      </c>
      <c r="W112" s="209">
        <f t="shared" si="46"/>
        <v>0</v>
      </c>
      <c r="X112" s="209">
        <f t="shared" si="47"/>
        <v>0</v>
      </c>
      <c r="Y112" s="209">
        <f t="shared" si="48"/>
        <v>0</v>
      </c>
      <c r="Z112" s="209">
        <f t="shared" si="49"/>
        <v>-0.78</v>
      </c>
      <c r="AA112" s="205">
        <f t="shared" si="50"/>
        <v>0</v>
      </c>
      <c r="AB112" s="209">
        <f t="shared" si="51"/>
        <v>0</v>
      </c>
      <c r="AC112" s="205">
        <f t="shared" si="52"/>
        <v>0</v>
      </c>
      <c r="AD112" s="210">
        <f t="shared" si="53"/>
        <v>0.34236111111385981</v>
      </c>
      <c r="AE112" s="210">
        <f t="shared" si="54"/>
        <v>0</v>
      </c>
      <c r="AF112" s="210">
        <f t="shared" si="55"/>
        <v>0.34236111111385981</v>
      </c>
      <c r="AG112" s="210">
        <f t="shared" si="56"/>
        <v>0</v>
      </c>
    </row>
    <row r="113" spans="2:33" ht="15" customHeight="1" x14ac:dyDescent="0.3">
      <c r="B113" s="196" t="s">
        <v>5</v>
      </c>
      <c r="C113" s="197" t="s">
        <v>13</v>
      </c>
      <c r="D113" s="198" t="str">
        <f t="shared" si="38"/>
        <v>C</v>
      </c>
      <c r="E113" s="199">
        <v>44692.958333333336</v>
      </c>
      <c r="F113" s="200" t="s">
        <v>93</v>
      </c>
      <c r="G113" s="201">
        <v>11968.37</v>
      </c>
      <c r="H113" s="201">
        <v>12041.9</v>
      </c>
      <c r="I113" s="202">
        <f t="shared" si="39"/>
        <v>73.529999999998836</v>
      </c>
      <c r="J113" s="201">
        <v>11184.02</v>
      </c>
      <c r="K113" s="199">
        <v>44693.161805555559</v>
      </c>
      <c r="L113" s="201">
        <v>12041.9</v>
      </c>
      <c r="M113" s="203">
        <f t="shared" si="40"/>
        <v>-73.53</v>
      </c>
      <c r="N113" s="204">
        <f t="shared" si="41"/>
        <v>-1</v>
      </c>
      <c r="O113" s="205">
        <f t="shared" si="42"/>
        <v>0</v>
      </c>
      <c r="P113" s="206">
        <f t="shared" si="43"/>
        <v>0</v>
      </c>
      <c r="Q113" s="206">
        <f t="shared" si="44"/>
        <v>-1</v>
      </c>
      <c r="R11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11988</v>
      </c>
      <c r="T11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3" s="208">
        <f ca="1">IF(Tabla336106734812[[#This Row],[Equity]]&lt;Tabla336106734812[[#This Row],[Equity Peak]],(Tabla336106734812[[#This Row],[Equity Peak]]-Tabla336106734812[[#This Row],[Equity]])/Tabla336106734812[[#This Row],[Equity Peak]],"")</f>
        <v>8.1238503985285107E-2</v>
      </c>
      <c r="V113" s="209">
        <f t="shared" si="45"/>
        <v>0</v>
      </c>
      <c r="W113" s="209">
        <f t="shared" si="46"/>
        <v>0</v>
      </c>
      <c r="X113" s="209">
        <f t="shared" si="47"/>
        <v>0</v>
      </c>
      <c r="Y113" s="209">
        <f t="shared" si="48"/>
        <v>0</v>
      </c>
      <c r="Z113" s="209">
        <f t="shared" si="49"/>
        <v>-1</v>
      </c>
      <c r="AA113" s="205">
        <f t="shared" si="50"/>
        <v>0</v>
      </c>
      <c r="AB113" s="209">
        <f t="shared" si="51"/>
        <v>0</v>
      </c>
      <c r="AC113" s="205">
        <f t="shared" si="52"/>
        <v>0</v>
      </c>
      <c r="AD113" s="210">
        <f t="shared" si="53"/>
        <v>0.20347222222335404</v>
      </c>
      <c r="AE113" s="210">
        <f t="shared" si="54"/>
        <v>0</v>
      </c>
      <c r="AF113" s="210">
        <f t="shared" si="55"/>
        <v>0.20347222222335404</v>
      </c>
      <c r="AG113" s="210">
        <f t="shared" si="56"/>
        <v>0</v>
      </c>
    </row>
    <row r="114" spans="2:33" ht="15" customHeight="1" x14ac:dyDescent="0.3">
      <c r="B114" s="196" t="s">
        <v>5</v>
      </c>
      <c r="C114" s="197" t="s">
        <v>13</v>
      </c>
      <c r="D114" s="198" t="str">
        <f t="shared" si="38"/>
        <v>C</v>
      </c>
      <c r="E114" s="199">
        <v>44692.864583333336</v>
      </c>
      <c r="F114" s="200" t="s">
        <v>93</v>
      </c>
      <c r="G114" s="201">
        <v>12041.02</v>
      </c>
      <c r="H114" s="201">
        <v>12114.28</v>
      </c>
      <c r="I114" s="202">
        <f t="shared" si="39"/>
        <v>73.260000000000218</v>
      </c>
      <c r="J114" s="201">
        <v>11259.55</v>
      </c>
      <c r="K114" s="199">
        <v>44692.893055555556</v>
      </c>
      <c r="L114" s="201">
        <v>12114.28</v>
      </c>
      <c r="M114" s="203">
        <f t="shared" si="40"/>
        <v>-73.260000000000005</v>
      </c>
      <c r="N114" s="204">
        <f t="shared" si="41"/>
        <v>-1</v>
      </c>
      <c r="O114" s="205">
        <f t="shared" si="42"/>
        <v>0</v>
      </c>
      <c r="P114" s="206">
        <f t="shared" si="43"/>
        <v>0</v>
      </c>
      <c r="Q114" s="206">
        <f t="shared" si="44"/>
        <v>-1</v>
      </c>
      <c r="R11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12088</v>
      </c>
      <c r="T11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4" s="208">
        <f ca="1">IF(Tabla336106734812[[#This Row],[Equity]]&lt;Tabla336106734812[[#This Row],[Equity Peak]],(Tabla336106734812[[#This Row],[Equity Peak]]-Tabla336106734812[[#This Row],[Equity]])/Tabla336106734812[[#This Row],[Equity Peak]],"")</f>
        <v>7.3574494175352542E-2</v>
      </c>
      <c r="V114" s="209">
        <f t="shared" si="45"/>
        <v>0</v>
      </c>
      <c r="W114" s="209">
        <f t="shared" si="46"/>
        <v>0</v>
      </c>
      <c r="X114" s="209">
        <f t="shared" si="47"/>
        <v>0</v>
      </c>
      <c r="Y114" s="209">
        <f t="shared" si="48"/>
        <v>0</v>
      </c>
      <c r="Z114" s="209">
        <f t="shared" si="49"/>
        <v>-1</v>
      </c>
      <c r="AA114" s="205">
        <f t="shared" si="50"/>
        <v>0</v>
      </c>
      <c r="AB114" s="209">
        <f t="shared" si="51"/>
        <v>0</v>
      </c>
      <c r="AC114" s="205">
        <f t="shared" si="52"/>
        <v>0</v>
      </c>
      <c r="AD114" s="210">
        <f t="shared" si="53"/>
        <v>2.8472222220443655E-2</v>
      </c>
      <c r="AE114" s="210">
        <f t="shared" si="54"/>
        <v>0</v>
      </c>
      <c r="AF114" s="210">
        <f t="shared" si="55"/>
        <v>2.8472222220443655E-2</v>
      </c>
      <c r="AG114" s="210">
        <f t="shared" si="56"/>
        <v>0</v>
      </c>
    </row>
    <row r="115" spans="2:33" ht="15" customHeight="1" x14ac:dyDescent="0.3">
      <c r="B115" s="196" t="s">
        <v>5</v>
      </c>
      <c r="C115" s="197" t="s">
        <v>13</v>
      </c>
      <c r="D115" s="198" t="str">
        <f t="shared" si="38"/>
        <v>C</v>
      </c>
      <c r="E115" s="199">
        <v>44690.947916666664</v>
      </c>
      <c r="F115" s="200" t="s">
        <v>93</v>
      </c>
      <c r="G115" s="201">
        <v>12193.09</v>
      </c>
      <c r="H115" s="201">
        <v>12259.24</v>
      </c>
      <c r="I115" s="202">
        <f t="shared" si="39"/>
        <v>66.149999999999636</v>
      </c>
      <c r="J115" s="201">
        <v>11487.5</v>
      </c>
      <c r="K115" s="199">
        <v>44691.216666666667</v>
      </c>
      <c r="L115" s="201">
        <v>12259.24</v>
      </c>
      <c r="M115" s="203">
        <f t="shared" si="40"/>
        <v>-66.150000000000006</v>
      </c>
      <c r="N115" s="204">
        <f t="shared" si="41"/>
        <v>-1</v>
      </c>
      <c r="O115" s="205">
        <f t="shared" si="42"/>
        <v>0</v>
      </c>
      <c r="P115" s="206">
        <f t="shared" si="43"/>
        <v>0</v>
      </c>
      <c r="Q115" s="206">
        <f t="shared" si="44"/>
        <v>-1</v>
      </c>
      <c r="R11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12188</v>
      </c>
      <c r="T11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5" s="208">
        <f ca="1">IF(Tabla336106734812[[#This Row],[Equity]]&lt;Tabla336106734812[[#This Row],[Equity Peak]],(Tabla336106734812[[#This Row],[Equity Peak]]-Tabla336106734812[[#This Row],[Equity]])/Tabla336106734812[[#This Row],[Equity Peak]],"")</f>
        <v>6.5910484365419991E-2</v>
      </c>
      <c r="V115" s="209">
        <f t="shared" si="45"/>
        <v>0</v>
      </c>
      <c r="W115" s="209">
        <f t="shared" si="46"/>
        <v>0</v>
      </c>
      <c r="X115" s="209">
        <f t="shared" si="47"/>
        <v>0</v>
      </c>
      <c r="Y115" s="209">
        <f t="shared" si="48"/>
        <v>0</v>
      </c>
      <c r="Z115" s="209">
        <f t="shared" si="49"/>
        <v>-1</v>
      </c>
      <c r="AA115" s="205">
        <f t="shared" si="50"/>
        <v>0</v>
      </c>
      <c r="AB115" s="209">
        <f t="shared" si="51"/>
        <v>0</v>
      </c>
      <c r="AC115" s="205">
        <f t="shared" si="52"/>
        <v>0</v>
      </c>
      <c r="AD115" s="210">
        <f t="shared" si="53"/>
        <v>0.26875000000291038</v>
      </c>
      <c r="AE115" s="210">
        <f t="shared" si="54"/>
        <v>0</v>
      </c>
      <c r="AF115" s="210">
        <f t="shared" si="55"/>
        <v>0.26875000000291038</v>
      </c>
      <c r="AG115" s="210">
        <f t="shared" si="56"/>
        <v>0</v>
      </c>
    </row>
    <row r="116" spans="2:33" ht="15" customHeight="1" x14ac:dyDescent="0.3">
      <c r="B116" s="196" t="s">
        <v>5</v>
      </c>
      <c r="C116" s="197" t="s">
        <v>13</v>
      </c>
      <c r="D116" s="198" t="str">
        <f t="shared" si="38"/>
        <v>C</v>
      </c>
      <c r="E116" s="199">
        <v>44690.739583333336</v>
      </c>
      <c r="F116" s="200" t="s">
        <v>93</v>
      </c>
      <c r="G116" s="201">
        <v>12337.97</v>
      </c>
      <c r="H116" s="201">
        <v>12410.69</v>
      </c>
      <c r="I116" s="202">
        <f t="shared" si="39"/>
        <v>72.720000000001164</v>
      </c>
      <c r="J116" s="201">
        <v>11562.25</v>
      </c>
      <c r="K116" s="199">
        <v>44690.804166666669</v>
      </c>
      <c r="L116" s="201">
        <v>12410.69</v>
      </c>
      <c r="M116" s="203">
        <f t="shared" si="40"/>
        <v>-72.72</v>
      </c>
      <c r="N116" s="204">
        <f t="shared" si="41"/>
        <v>-1</v>
      </c>
      <c r="O116" s="205">
        <f t="shared" si="42"/>
        <v>0</v>
      </c>
      <c r="P116" s="206">
        <f t="shared" si="43"/>
        <v>0</v>
      </c>
      <c r="Q116" s="206">
        <f t="shared" si="44"/>
        <v>-1</v>
      </c>
      <c r="R11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12288</v>
      </c>
      <c r="T11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6" s="208">
        <f ca="1">IF(Tabla336106734812[[#This Row],[Equity]]&lt;Tabla336106734812[[#This Row],[Equity Peak]],(Tabla336106734812[[#This Row],[Equity Peak]]-Tabla336106734812[[#This Row],[Equity]])/Tabla336106734812[[#This Row],[Equity Peak]],"")</f>
        <v>5.8246474555487433E-2</v>
      </c>
      <c r="V116" s="209">
        <f t="shared" si="45"/>
        <v>0</v>
      </c>
      <c r="W116" s="209">
        <f t="shared" si="46"/>
        <v>0</v>
      </c>
      <c r="X116" s="209">
        <f t="shared" si="47"/>
        <v>0</v>
      </c>
      <c r="Y116" s="209">
        <f t="shared" si="48"/>
        <v>0</v>
      </c>
      <c r="Z116" s="209">
        <f t="shared" si="49"/>
        <v>-1</v>
      </c>
      <c r="AA116" s="205">
        <f t="shared" si="50"/>
        <v>0</v>
      </c>
      <c r="AB116" s="209">
        <f t="shared" si="51"/>
        <v>0</v>
      </c>
      <c r="AC116" s="205">
        <f t="shared" si="52"/>
        <v>0</v>
      </c>
      <c r="AD116" s="210">
        <f t="shared" si="53"/>
        <v>6.4583333332848269E-2</v>
      </c>
      <c r="AE116" s="210">
        <f t="shared" si="54"/>
        <v>0</v>
      </c>
      <c r="AF116" s="210">
        <f t="shared" si="55"/>
        <v>6.4583333332848269E-2</v>
      </c>
      <c r="AG116" s="210">
        <f t="shared" si="56"/>
        <v>0</v>
      </c>
    </row>
    <row r="117" spans="2:33" ht="15" customHeight="1" x14ac:dyDescent="0.3">
      <c r="B117" s="196" t="s">
        <v>5</v>
      </c>
      <c r="C117" s="197" t="s">
        <v>13</v>
      </c>
      <c r="D117" s="198" t="str">
        <f t="shared" si="38"/>
        <v>C</v>
      </c>
      <c r="E117" s="199">
        <v>44690.479166666664</v>
      </c>
      <c r="F117" s="200" t="s">
        <v>93</v>
      </c>
      <c r="G117" s="201">
        <v>12496.24</v>
      </c>
      <c r="H117" s="201">
        <v>12576.85</v>
      </c>
      <c r="I117" s="202">
        <f t="shared" si="39"/>
        <v>80.610000000000582</v>
      </c>
      <c r="J117" s="201">
        <v>11636.39</v>
      </c>
      <c r="K117" s="199">
        <v>44690.693055555559</v>
      </c>
      <c r="L117" s="201">
        <v>12539.33</v>
      </c>
      <c r="M117" s="203">
        <f t="shared" si="40"/>
        <v>-43.09</v>
      </c>
      <c r="N117" s="204">
        <f t="shared" si="41"/>
        <v>-0.53</v>
      </c>
      <c r="O117" s="205">
        <f t="shared" si="42"/>
        <v>0</v>
      </c>
      <c r="P117" s="206">
        <f t="shared" si="43"/>
        <v>0</v>
      </c>
      <c r="Q117" s="206">
        <f t="shared" si="44"/>
        <v>-0.53</v>
      </c>
      <c r="R11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12388</v>
      </c>
      <c r="T11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7" s="208">
        <f ca="1">IF(Tabla336106734812[[#This Row],[Equity]]&lt;Tabla336106734812[[#This Row],[Equity Peak]],(Tabla336106734812[[#This Row],[Equity Peak]]-Tabla336106734812[[#This Row],[Equity]])/Tabla336106734812[[#This Row],[Equity Peak]],"")</f>
        <v>5.0582464745554875E-2</v>
      </c>
      <c r="V117" s="209">
        <f t="shared" si="45"/>
        <v>0</v>
      </c>
      <c r="W117" s="209">
        <f t="shared" si="46"/>
        <v>0</v>
      </c>
      <c r="X117" s="209">
        <f t="shared" si="47"/>
        <v>0</v>
      </c>
      <c r="Y117" s="209">
        <f t="shared" si="48"/>
        <v>0</v>
      </c>
      <c r="Z117" s="209">
        <f t="shared" si="49"/>
        <v>-0.53</v>
      </c>
      <c r="AA117" s="205">
        <f t="shared" si="50"/>
        <v>0</v>
      </c>
      <c r="AB117" s="209">
        <f t="shared" si="51"/>
        <v>0</v>
      </c>
      <c r="AC117" s="205">
        <f t="shared" si="52"/>
        <v>0</v>
      </c>
      <c r="AD117" s="210">
        <f t="shared" si="53"/>
        <v>0.21388888889487134</v>
      </c>
      <c r="AE117" s="210">
        <f t="shared" si="54"/>
        <v>0</v>
      </c>
      <c r="AF117" s="210">
        <f t="shared" si="55"/>
        <v>0.21388888889487134</v>
      </c>
      <c r="AG117" s="210">
        <f t="shared" si="56"/>
        <v>0</v>
      </c>
    </row>
    <row r="118" spans="2:33" ht="15" customHeight="1" x14ac:dyDescent="0.3">
      <c r="B118" s="196" t="s">
        <v>5</v>
      </c>
      <c r="C118" s="197" t="s">
        <v>13</v>
      </c>
      <c r="D118" s="198" t="str">
        <f t="shared" si="38"/>
        <v>C</v>
      </c>
      <c r="E118" s="199">
        <v>44687.697916666664</v>
      </c>
      <c r="F118" s="200" t="s">
        <v>93</v>
      </c>
      <c r="G118" s="201">
        <v>12594.13</v>
      </c>
      <c r="H118" s="201">
        <v>12665.32</v>
      </c>
      <c r="I118" s="202">
        <f t="shared" si="39"/>
        <v>71.190000000000509</v>
      </c>
      <c r="J118" s="201">
        <v>11834.73</v>
      </c>
      <c r="K118" s="199">
        <v>44687.713888888888</v>
      </c>
      <c r="L118" s="201">
        <v>12665.32</v>
      </c>
      <c r="M118" s="203">
        <f t="shared" si="40"/>
        <v>-71.19</v>
      </c>
      <c r="N118" s="204">
        <f t="shared" si="41"/>
        <v>-1</v>
      </c>
      <c r="O118" s="205">
        <f t="shared" si="42"/>
        <v>0</v>
      </c>
      <c r="P118" s="206">
        <f t="shared" si="43"/>
        <v>0</v>
      </c>
      <c r="Q118" s="206">
        <f t="shared" si="44"/>
        <v>-1</v>
      </c>
      <c r="R11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12441</v>
      </c>
      <c r="T11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8" s="208">
        <f ca="1">IF(Tabla336106734812[[#This Row],[Equity]]&lt;Tabla336106734812[[#This Row],[Equity Peak]],(Tabla336106734812[[#This Row],[Equity Peak]]-Tabla336106734812[[#This Row],[Equity]])/Tabla336106734812[[#This Row],[Equity Peak]],"")</f>
        <v>4.6520539546290617E-2</v>
      </c>
      <c r="V118" s="209">
        <f t="shared" si="45"/>
        <v>0</v>
      </c>
      <c r="W118" s="209">
        <f t="shared" si="46"/>
        <v>0</v>
      </c>
      <c r="X118" s="209">
        <f t="shared" si="47"/>
        <v>0</v>
      </c>
      <c r="Y118" s="209">
        <f t="shared" si="48"/>
        <v>0</v>
      </c>
      <c r="Z118" s="209">
        <f t="shared" si="49"/>
        <v>-1</v>
      </c>
      <c r="AA118" s="205">
        <f t="shared" si="50"/>
        <v>0</v>
      </c>
      <c r="AB118" s="209">
        <f t="shared" si="51"/>
        <v>0</v>
      </c>
      <c r="AC118" s="205">
        <f t="shared" si="52"/>
        <v>0</v>
      </c>
      <c r="AD118" s="210">
        <f t="shared" si="53"/>
        <v>1.5972222223354038E-2</v>
      </c>
      <c r="AE118" s="210">
        <f t="shared" si="54"/>
        <v>0</v>
      </c>
      <c r="AF118" s="210">
        <f t="shared" si="55"/>
        <v>1.5972222223354038E-2</v>
      </c>
      <c r="AG118" s="210">
        <f t="shared" si="56"/>
        <v>0</v>
      </c>
    </row>
    <row r="119" spans="2:33" ht="15" customHeight="1" x14ac:dyDescent="0.3">
      <c r="B119" s="196" t="s">
        <v>5</v>
      </c>
      <c r="C119" s="197" t="s">
        <v>13</v>
      </c>
      <c r="D119" s="198" t="str">
        <f t="shared" ref="D119:D150" si="57">IF(E119&lt;&gt;"",IF(K119&lt;&gt;"","C","O"),"")</f>
        <v>C</v>
      </c>
      <c r="E119" s="199">
        <v>44686.927083333336</v>
      </c>
      <c r="F119" s="200" t="s">
        <v>93</v>
      </c>
      <c r="G119" s="201">
        <v>12715.8</v>
      </c>
      <c r="H119" s="201">
        <v>12771.6</v>
      </c>
      <c r="I119" s="202">
        <f t="shared" ref="I119:I150" si="58">ABS(G119-H119)</f>
        <v>55.800000000001091</v>
      </c>
      <c r="J119" s="201">
        <v>12120.6</v>
      </c>
      <c r="K119" s="199">
        <v>44686.942361111112</v>
      </c>
      <c r="L119" s="201">
        <v>12771.6</v>
      </c>
      <c r="M119" s="203">
        <f t="shared" ref="M119:M150" si="59">ROUND(IF(C119="L",(L119-G119),(G119-L119)),4)</f>
        <v>-55.8</v>
      </c>
      <c r="N119" s="204">
        <f t="shared" ref="N119:N150" si="60">IFERROR(ROUND((M119/I119),2),"")</f>
        <v>-1</v>
      </c>
      <c r="O119" s="205">
        <f t="shared" ref="O119:O150" si="61">IF(D119="O",IF(N119&lt;0,N119,0),0)</f>
        <v>0</v>
      </c>
      <c r="P119" s="206">
        <f t="shared" ref="P119:P150" si="62">IF(N119&gt;= 0,N119,0)</f>
        <v>0</v>
      </c>
      <c r="Q119" s="206">
        <f t="shared" ref="Q119:Q150" si="63">IF(N119&lt;0,N119,0)</f>
        <v>-1</v>
      </c>
      <c r="R11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12541</v>
      </c>
      <c r="T11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19" s="208">
        <f ca="1">IF(Tabla336106734812[[#This Row],[Equity]]&lt;Tabla336106734812[[#This Row],[Equity Peak]],(Tabla336106734812[[#This Row],[Equity Peak]]-Tabla336106734812[[#This Row],[Equity]])/Tabla336106734812[[#This Row],[Equity Peak]],"")</f>
        <v>3.8856529736358066E-2</v>
      </c>
      <c r="V119" s="209">
        <f t="shared" ref="V119:V150" si="64">IF(B119="FX",N119,0)</f>
        <v>0</v>
      </c>
      <c r="W119" s="209">
        <f t="shared" ref="W119:W150" si="65">IF(D119="O",IF(V119&lt;0,V119,0),0)</f>
        <v>0</v>
      </c>
      <c r="X119" s="209">
        <f t="shared" ref="X119:X150" si="66">IF(B119="COM",N119,0)</f>
        <v>0</v>
      </c>
      <c r="Y119" s="209">
        <f t="shared" ref="Y119:Y150" si="67">IF(D119="O",IF(X119&lt;0,X119,0),0)</f>
        <v>0</v>
      </c>
      <c r="Z119" s="209">
        <f t="shared" ref="Z119:Z150" si="68">IF(B119="IND",N119,0)</f>
        <v>-1</v>
      </c>
      <c r="AA119" s="205">
        <f t="shared" ref="AA119:AA150" si="69">IF(D119="O",IF(Z119&lt;0,Z119,0),0)</f>
        <v>0</v>
      </c>
      <c r="AB119" s="209">
        <f t="shared" ref="AB119:AB150" si="70">IF(B119="CRYPTO",N119,0)</f>
        <v>0</v>
      </c>
      <c r="AC119" s="205">
        <f t="shared" ref="AC119:AC150" si="71">IF(D119="O",IF(AB119&lt;0,AB119,0),0)</f>
        <v>0</v>
      </c>
      <c r="AD119" s="210">
        <f t="shared" ref="AD119:AD150" si="72">IF(K119&lt;&gt;"",K119-E119,0)</f>
        <v>1.5277777776645962E-2</v>
      </c>
      <c r="AE119" s="210">
        <f t="shared" ref="AE119:AE150" si="73">IF(N119&gt;0,AD119,0)</f>
        <v>0</v>
      </c>
      <c r="AF119" s="210">
        <f t="shared" ref="AF119:AF150" si="74">IF(N119&lt;0,AD119,0)</f>
        <v>1.5277777776645962E-2</v>
      </c>
      <c r="AG119" s="210">
        <f t="shared" ref="AG119:AG150" si="75">IF(N119=0,AD119,0)</f>
        <v>0</v>
      </c>
    </row>
    <row r="120" spans="2:33" ht="15" customHeight="1" x14ac:dyDescent="0.3">
      <c r="B120" s="196" t="s">
        <v>5</v>
      </c>
      <c r="C120" s="197" t="s">
        <v>13</v>
      </c>
      <c r="D120" s="198" t="str">
        <f t="shared" si="57"/>
        <v>C</v>
      </c>
      <c r="E120" s="199">
        <v>44686.895833333336</v>
      </c>
      <c r="F120" s="200" t="s">
        <v>93</v>
      </c>
      <c r="G120" s="201">
        <v>12779.68</v>
      </c>
      <c r="H120" s="201">
        <v>12836.08</v>
      </c>
      <c r="I120" s="202">
        <f t="shared" si="58"/>
        <v>56.399999999999636</v>
      </c>
      <c r="J120" s="201">
        <v>12178.06</v>
      </c>
      <c r="K120" s="199">
        <v>44686.911111111112</v>
      </c>
      <c r="L120" s="201">
        <v>12836.08</v>
      </c>
      <c r="M120" s="203">
        <f t="shared" si="59"/>
        <v>-56.4</v>
      </c>
      <c r="N120" s="204">
        <f t="shared" si="60"/>
        <v>-1</v>
      </c>
      <c r="O120" s="205">
        <f t="shared" si="61"/>
        <v>0</v>
      </c>
      <c r="P120" s="206">
        <f t="shared" si="62"/>
        <v>0</v>
      </c>
      <c r="Q120" s="206">
        <f t="shared" si="63"/>
        <v>-1</v>
      </c>
      <c r="R12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12641</v>
      </c>
      <c r="T12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0" s="208">
        <f ca="1">IF(Tabla336106734812[[#This Row],[Equity]]&lt;Tabla336106734812[[#This Row],[Equity Peak]],(Tabla336106734812[[#This Row],[Equity Peak]]-Tabla336106734812[[#This Row],[Equity]])/Tabla336106734812[[#This Row],[Equity Peak]],"")</f>
        <v>3.1192519926425504E-2</v>
      </c>
      <c r="V120" s="209">
        <f t="shared" si="64"/>
        <v>0</v>
      </c>
      <c r="W120" s="209">
        <f t="shared" si="65"/>
        <v>0</v>
      </c>
      <c r="X120" s="209">
        <f t="shared" si="66"/>
        <v>0</v>
      </c>
      <c r="Y120" s="209">
        <f t="shared" si="67"/>
        <v>0</v>
      </c>
      <c r="Z120" s="209">
        <f t="shared" si="68"/>
        <v>-1</v>
      </c>
      <c r="AA120" s="205">
        <f t="shared" si="69"/>
        <v>0</v>
      </c>
      <c r="AB120" s="209">
        <f t="shared" si="70"/>
        <v>0</v>
      </c>
      <c r="AC120" s="205">
        <f t="shared" si="71"/>
        <v>0</v>
      </c>
      <c r="AD120" s="210">
        <f t="shared" si="72"/>
        <v>1.5277777776645962E-2</v>
      </c>
      <c r="AE120" s="210">
        <f t="shared" si="73"/>
        <v>0</v>
      </c>
      <c r="AF120" s="210">
        <f t="shared" si="74"/>
        <v>1.5277777776645962E-2</v>
      </c>
      <c r="AG120" s="210">
        <f t="shared" si="75"/>
        <v>0</v>
      </c>
    </row>
    <row r="121" spans="2:33" ht="15" customHeight="1" x14ac:dyDescent="0.3">
      <c r="B121" s="196" t="s">
        <v>5</v>
      </c>
      <c r="C121" s="197" t="s">
        <v>13</v>
      </c>
      <c r="D121" s="198" t="str">
        <f t="shared" si="57"/>
        <v>C</v>
      </c>
      <c r="E121" s="199">
        <v>44686.791666666664</v>
      </c>
      <c r="F121" s="200" t="s">
        <v>93</v>
      </c>
      <c r="G121" s="201">
        <v>12833.8</v>
      </c>
      <c r="H121" s="201">
        <v>12895.69</v>
      </c>
      <c r="I121" s="202">
        <f t="shared" si="58"/>
        <v>61.890000000001237</v>
      </c>
      <c r="J121" s="201">
        <v>12173.59</v>
      </c>
      <c r="K121" s="199">
        <v>44686.800694444442</v>
      </c>
      <c r="L121" s="201">
        <v>12895.69</v>
      </c>
      <c r="M121" s="203">
        <f t="shared" si="59"/>
        <v>-61.89</v>
      </c>
      <c r="N121" s="204">
        <f t="shared" si="60"/>
        <v>-1</v>
      </c>
      <c r="O121" s="205">
        <f t="shared" si="61"/>
        <v>0</v>
      </c>
      <c r="P121" s="206">
        <f t="shared" si="62"/>
        <v>0</v>
      </c>
      <c r="Q121" s="206">
        <f t="shared" si="63"/>
        <v>-1</v>
      </c>
      <c r="R12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12741</v>
      </c>
      <c r="T12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1" s="208">
        <f ca="1">IF(Tabla336106734812[[#This Row],[Equity]]&lt;Tabla336106734812[[#This Row],[Equity Peak]],(Tabla336106734812[[#This Row],[Equity Peak]]-Tabla336106734812[[#This Row],[Equity]])/Tabla336106734812[[#This Row],[Equity Peak]],"")</f>
        <v>2.352851011649295E-2</v>
      </c>
      <c r="V121" s="209">
        <f t="shared" si="64"/>
        <v>0</v>
      </c>
      <c r="W121" s="209">
        <f t="shared" si="65"/>
        <v>0</v>
      </c>
      <c r="X121" s="209">
        <f t="shared" si="66"/>
        <v>0</v>
      </c>
      <c r="Y121" s="209">
        <f t="shared" si="67"/>
        <v>0</v>
      </c>
      <c r="Z121" s="209">
        <f t="shared" si="68"/>
        <v>-1</v>
      </c>
      <c r="AA121" s="205">
        <f t="shared" si="69"/>
        <v>0</v>
      </c>
      <c r="AB121" s="209">
        <f t="shared" si="70"/>
        <v>0</v>
      </c>
      <c r="AC121" s="205">
        <f t="shared" si="71"/>
        <v>0</v>
      </c>
      <c r="AD121" s="210">
        <f t="shared" si="72"/>
        <v>9.0277777781011537E-3</v>
      </c>
      <c r="AE121" s="210">
        <f t="shared" si="73"/>
        <v>0</v>
      </c>
      <c r="AF121" s="210">
        <f t="shared" si="74"/>
        <v>9.0277777781011537E-3</v>
      </c>
      <c r="AG121" s="210">
        <f t="shared" si="75"/>
        <v>0</v>
      </c>
    </row>
    <row r="122" spans="2:33" ht="15" customHeight="1" x14ac:dyDescent="0.3">
      <c r="B122" s="196" t="s">
        <v>5</v>
      </c>
      <c r="C122" s="197" t="s">
        <v>15</v>
      </c>
      <c r="D122" s="198" t="str">
        <f t="shared" si="57"/>
        <v>C</v>
      </c>
      <c r="E122" s="199">
        <v>44685.927083333336</v>
      </c>
      <c r="F122" s="200" t="s">
        <v>93</v>
      </c>
      <c r="G122" s="201">
        <v>13421.25</v>
      </c>
      <c r="H122" s="201">
        <v>13370.31</v>
      </c>
      <c r="I122" s="202">
        <f t="shared" si="58"/>
        <v>50.940000000000509</v>
      </c>
      <c r="J122" s="201">
        <v>13964.65</v>
      </c>
      <c r="K122" s="199">
        <v>44686.434027777781</v>
      </c>
      <c r="L122" s="201">
        <v>13416.98</v>
      </c>
      <c r="M122" s="203">
        <f t="shared" si="59"/>
        <v>-4.2699999999999996</v>
      </c>
      <c r="N122" s="204">
        <f t="shared" si="60"/>
        <v>-0.08</v>
      </c>
      <c r="O122" s="205">
        <f t="shared" si="61"/>
        <v>0</v>
      </c>
      <c r="P122" s="206">
        <f t="shared" si="62"/>
        <v>0</v>
      </c>
      <c r="Q122" s="206">
        <f t="shared" si="63"/>
        <v>-0.08</v>
      </c>
      <c r="R12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12841</v>
      </c>
      <c r="T12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2" s="208">
        <f ca="1">IF(Tabla336106734812[[#This Row],[Equity]]&lt;Tabla336106734812[[#This Row],[Equity Peak]],(Tabla336106734812[[#This Row],[Equity Peak]]-Tabla336106734812[[#This Row],[Equity]])/Tabla336106734812[[#This Row],[Equity Peak]],"")</f>
        <v>1.5864500306560392E-2</v>
      </c>
      <c r="V122" s="209">
        <f t="shared" si="64"/>
        <v>0</v>
      </c>
      <c r="W122" s="209">
        <f t="shared" si="65"/>
        <v>0</v>
      </c>
      <c r="X122" s="209">
        <f t="shared" si="66"/>
        <v>0</v>
      </c>
      <c r="Y122" s="209">
        <f t="shared" si="67"/>
        <v>0</v>
      </c>
      <c r="Z122" s="209">
        <f t="shared" si="68"/>
        <v>-0.08</v>
      </c>
      <c r="AA122" s="205">
        <f t="shared" si="69"/>
        <v>0</v>
      </c>
      <c r="AB122" s="209">
        <f t="shared" si="70"/>
        <v>0</v>
      </c>
      <c r="AC122" s="205">
        <f t="shared" si="71"/>
        <v>0</v>
      </c>
      <c r="AD122" s="210">
        <f t="shared" si="72"/>
        <v>0.50694444444525288</v>
      </c>
      <c r="AE122" s="210">
        <f t="shared" si="73"/>
        <v>0</v>
      </c>
      <c r="AF122" s="210">
        <f t="shared" si="74"/>
        <v>0.50694444444525288</v>
      </c>
      <c r="AG122" s="210">
        <f t="shared" si="75"/>
        <v>0</v>
      </c>
    </row>
    <row r="123" spans="2:33" ht="15" customHeight="1" x14ac:dyDescent="0.3">
      <c r="B123" s="196" t="s">
        <v>5</v>
      </c>
      <c r="C123" s="197" t="s">
        <v>13</v>
      </c>
      <c r="D123" s="198" t="str">
        <f t="shared" si="57"/>
        <v>C</v>
      </c>
      <c r="E123" s="199">
        <v>44683.625</v>
      </c>
      <c r="F123" s="200" t="s">
        <v>93</v>
      </c>
      <c r="G123" s="201">
        <v>12780.36</v>
      </c>
      <c r="H123" s="201">
        <v>12847.42</v>
      </c>
      <c r="I123" s="202">
        <f t="shared" si="58"/>
        <v>67.059999999999491</v>
      </c>
      <c r="J123" s="201">
        <v>12065.01</v>
      </c>
      <c r="K123" s="199">
        <v>44683.674305555556</v>
      </c>
      <c r="L123" s="201">
        <v>12847.42</v>
      </c>
      <c r="M123" s="203">
        <f t="shared" si="59"/>
        <v>-67.06</v>
      </c>
      <c r="N123" s="204">
        <f t="shared" si="60"/>
        <v>-1</v>
      </c>
      <c r="O123" s="205">
        <f t="shared" si="61"/>
        <v>0</v>
      </c>
      <c r="P123" s="206">
        <f t="shared" si="62"/>
        <v>0</v>
      </c>
      <c r="Q123" s="206">
        <f t="shared" si="63"/>
        <v>-1</v>
      </c>
      <c r="R12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12849</v>
      </c>
      <c r="T12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3" s="208">
        <f ca="1">IF(Tabla336106734812[[#This Row],[Equity]]&lt;Tabla336106734812[[#This Row],[Equity Peak]],(Tabla336106734812[[#This Row],[Equity Peak]]-Tabla336106734812[[#This Row],[Equity]])/Tabla336106734812[[#This Row],[Equity Peak]],"")</f>
        <v>1.5251379521765787E-2</v>
      </c>
      <c r="V123" s="209">
        <f t="shared" si="64"/>
        <v>0</v>
      </c>
      <c r="W123" s="209">
        <f t="shared" si="65"/>
        <v>0</v>
      </c>
      <c r="X123" s="209">
        <f t="shared" si="66"/>
        <v>0</v>
      </c>
      <c r="Y123" s="209">
        <f t="shared" si="67"/>
        <v>0</v>
      </c>
      <c r="Z123" s="209">
        <f t="shared" si="68"/>
        <v>-1</v>
      </c>
      <c r="AA123" s="205">
        <f t="shared" si="69"/>
        <v>0</v>
      </c>
      <c r="AB123" s="209">
        <f t="shared" si="70"/>
        <v>0</v>
      </c>
      <c r="AC123" s="205">
        <f t="shared" si="71"/>
        <v>0</v>
      </c>
      <c r="AD123" s="210">
        <f t="shared" si="72"/>
        <v>4.9305555556202307E-2</v>
      </c>
      <c r="AE123" s="210">
        <f t="shared" si="73"/>
        <v>0</v>
      </c>
      <c r="AF123" s="210">
        <f t="shared" si="74"/>
        <v>4.9305555556202307E-2</v>
      </c>
      <c r="AG123" s="210">
        <f t="shared" si="75"/>
        <v>0</v>
      </c>
    </row>
    <row r="124" spans="2:33" ht="15" customHeight="1" x14ac:dyDescent="0.3">
      <c r="B124" s="196" t="s">
        <v>5</v>
      </c>
      <c r="C124" s="197" t="s">
        <v>13</v>
      </c>
      <c r="D124" s="198" t="str">
        <f t="shared" si="57"/>
        <v>C</v>
      </c>
      <c r="E124" s="199">
        <v>44680.927083333336</v>
      </c>
      <c r="F124" s="200" t="s">
        <v>93</v>
      </c>
      <c r="G124" s="201">
        <v>12935.2</v>
      </c>
      <c r="H124" s="201">
        <v>13003.44</v>
      </c>
      <c r="I124" s="202">
        <f t="shared" si="58"/>
        <v>68.239999999999782</v>
      </c>
      <c r="J124" s="201">
        <v>12207.28</v>
      </c>
      <c r="K124" s="199">
        <v>44683.418749999997</v>
      </c>
      <c r="L124" s="201">
        <v>12966.47</v>
      </c>
      <c r="M124" s="203">
        <f t="shared" si="59"/>
        <v>-31.27</v>
      </c>
      <c r="N124" s="204">
        <f t="shared" si="60"/>
        <v>-0.46</v>
      </c>
      <c r="O124" s="205">
        <f t="shared" si="61"/>
        <v>0</v>
      </c>
      <c r="P124" s="206">
        <f t="shared" si="62"/>
        <v>0</v>
      </c>
      <c r="Q124" s="206">
        <f t="shared" si="63"/>
        <v>-0.46</v>
      </c>
      <c r="R12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12949</v>
      </c>
      <c r="T12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4" s="208">
        <f ca="1">IF(Tabla336106734812[[#This Row],[Equity]]&lt;Tabla336106734812[[#This Row],[Equity Peak]],(Tabla336106734812[[#This Row],[Equity Peak]]-Tabla336106734812[[#This Row],[Equity]])/Tabla336106734812[[#This Row],[Equity Peak]],"")</f>
        <v>7.5873697118332313E-3</v>
      </c>
      <c r="V124" s="209">
        <f t="shared" si="64"/>
        <v>0</v>
      </c>
      <c r="W124" s="209">
        <f t="shared" si="65"/>
        <v>0</v>
      </c>
      <c r="X124" s="209">
        <f t="shared" si="66"/>
        <v>0</v>
      </c>
      <c r="Y124" s="209">
        <f t="shared" si="67"/>
        <v>0</v>
      </c>
      <c r="Z124" s="209">
        <f t="shared" si="68"/>
        <v>-0.46</v>
      </c>
      <c r="AA124" s="205">
        <f t="shared" si="69"/>
        <v>0</v>
      </c>
      <c r="AB124" s="209">
        <f t="shared" si="70"/>
        <v>0</v>
      </c>
      <c r="AC124" s="205">
        <f t="shared" si="71"/>
        <v>0</v>
      </c>
      <c r="AD124" s="210">
        <f t="shared" si="72"/>
        <v>2.491666666661331</v>
      </c>
      <c r="AE124" s="210">
        <f t="shared" si="73"/>
        <v>0</v>
      </c>
      <c r="AF124" s="210">
        <f t="shared" si="74"/>
        <v>2.491666666661331</v>
      </c>
      <c r="AG124" s="210">
        <f t="shared" si="75"/>
        <v>0</v>
      </c>
    </row>
    <row r="125" spans="2:33" ht="15" customHeight="1" x14ac:dyDescent="0.3">
      <c r="B125" s="196" t="s">
        <v>5</v>
      </c>
      <c r="C125" s="197" t="s">
        <v>13</v>
      </c>
      <c r="D125" s="198" t="str">
        <f t="shared" si="57"/>
        <v>C</v>
      </c>
      <c r="E125" s="199">
        <v>44677.9375</v>
      </c>
      <c r="F125" s="200" t="s">
        <v>93</v>
      </c>
      <c r="G125" s="201">
        <v>13070.43</v>
      </c>
      <c r="H125" s="201">
        <v>13117.91</v>
      </c>
      <c r="I125" s="202">
        <f t="shared" si="58"/>
        <v>47.479999999999563</v>
      </c>
      <c r="J125" s="201">
        <v>12563.93</v>
      </c>
      <c r="K125" s="199">
        <v>44678.045138888891</v>
      </c>
      <c r="L125" s="201">
        <v>12931.87</v>
      </c>
      <c r="M125" s="203">
        <f t="shared" si="59"/>
        <v>138.56</v>
      </c>
      <c r="N125" s="204">
        <f t="shared" si="60"/>
        <v>2.92</v>
      </c>
      <c r="O125" s="205">
        <f t="shared" si="61"/>
        <v>0</v>
      </c>
      <c r="P125" s="206">
        <f t="shared" si="62"/>
        <v>2.92</v>
      </c>
      <c r="Q125" s="206">
        <f t="shared" si="63"/>
        <v>0</v>
      </c>
      <c r="R12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12995</v>
      </c>
      <c r="T12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5" s="208">
        <f ca="1">IF(Tabla336106734812[[#This Row],[Equity]]&lt;Tabla336106734812[[#This Row],[Equity Peak]],(Tabla336106734812[[#This Row],[Equity Peak]]-Tabla336106734812[[#This Row],[Equity]])/Tabla336106734812[[#This Row],[Equity Peak]],"")</f>
        <v>4.0619251992642554E-3</v>
      </c>
      <c r="V125" s="209">
        <f t="shared" si="64"/>
        <v>0</v>
      </c>
      <c r="W125" s="209">
        <f t="shared" si="65"/>
        <v>0</v>
      </c>
      <c r="X125" s="209">
        <f t="shared" si="66"/>
        <v>0</v>
      </c>
      <c r="Y125" s="209">
        <f t="shared" si="67"/>
        <v>0</v>
      </c>
      <c r="Z125" s="209">
        <f t="shared" si="68"/>
        <v>2.92</v>
      </c>
      <c r="AA125" s="205">
        <f t="shared" si="69"/>
        <v>0</v>
      </c>
      <c r="AB125" s="209">
        <f t="shared" si="70"/>
        <v>0</v>
      </c>
      <c r="AC125" s="205">
        <f t="shared" si="71"/>
        <v>0</v>
      </c>
      <c r="AD125" s="210">
        <f t="shared" si="72"/>
        <v>0.10763888889050577</v>
      </c>
      <c r="AE125" s="210">
        <f t="shared" si="73"/>
        <v>0.10763888889050577</v>
      </c>
      <c r="AF125" s="210">
        <f t="shared" si="74"/>
        <v>0</v>
      </c>
      <c r="AG125" s="210">
        <f t="shared" si="75"/>
        <v>0</v>
      </c>
    </row>
    <row r="126" spans="2:33" ht="15" customHeight="1" x14ac:dyDescent="0.3">
      <c r="B126" s="196" t="s">
        <v>5</v>
      </c>
      <c r="C126" s="197" t="s">
        <v>13</v>
      </c>
      <c r="D126" s="198" t="str">
        <f t="shared" si="57"/>
        <v>C</v>
      </c>
      <c r="E126" s="199">
        <v>44677.739583333336</v>
      </c>
      <c r="F126" s="200" t="s">
        <v>93</v>
      </c>
      <c r="G126" s="201">
        <v>13156.43</v>
      </c>
      <c r="H126" s="201">
        <v>13207.93</v>
      </c>
      <c r="I126" s="202">
        <f t="shared" si="58"/>
        <v>51.5</v>
      </c>
      <c r="J126" s="201">
        <v>12607.07</v>
      </c>
      <c r="K126" s="199">
        <v>44677.810416666667</v>
      </c>
      <c r="L126" s="201">
        <v>13207.93</v>
      </c>
      <c r="M126" s="203">
        <f t="shared" si="59"/>
        <v>-51.5</v>
      </c>
      <c r="N126" s="204">
        <f t="shared" si="60"/>
        <v>-1</v>
      </c>
      <c r="O126" s="205">
        <f t="shared" si="61"/>
        <v>0</v>
      </c>
      <c r="P126" s="206">
        <f t="shared" si="62"/>
        <v>0</v>
      </c>
      <c r="Q126" s="206">
        <f t="shared" si="63"/>
        <v>-1</v>
      </c>
      <c r="R12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12703</v>
      </c>
      <c r="T12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6" s="208">
        <f ca="1">IF(Tabla336106734812[[#This Row],[Equity]]&lt;Tabla336106734812[[#This Row],[Equity Peak]],(Tabla336106734812[[#This Row],[Equity Peak]]-Tabla336106734812[[#This Row],[Equity]])/Tabla336106734812[[#This Row],[Equity Peak]],"")</f>
        <v>2.644083384426732E-2</v>
      </c>
      <c r="V126" s="209">
        <f t="shared" si="64"/>
        <v>0</v>
      </c>
      <c r="W126" s="209">
        <f t="shared" si="65"/>
        <v>0</v>
      </c>
      <c r="X126" s="209">
        <f t="shared" si="66"/>
        <v>0</v>
      </c>
      <c r="Y126" s="209">
        <f t="shared" si="67"/>
        <v>0</v>
      </c>
      <c r="Z126" s="209">
        <f t="shared" si="68"/>
        <v>-1</v>
      </c>
      <c r="AA126" s="205">
        <f t="shared" si="69"/>
        <v>0</v>
      </c>
      <c r="AB126" s="209">
        <f t="shared" si="70"/>
        <v>0</v>
      </c>
      <c r="AC126" s="205">
        <f t="shared" si="71"/>
        <v>0</v>
      </c>
      <c r="AD126" s="210">
        <f t="shared" si="72"/>
        <v>7.0833333331393078E-2</v>
      </c>
      <c r="AE126" s="210">
        <f t="shared" si="73"/>
        <v>0</v>
      </c>
      <c r="AF126" s="210">
        <f t="shared" si="74"/>
        <v>7.0833333331393078E-2</v>
      </c>
      <c r="AG126" s="210">
        <f t="shared" si="75"/>
        <v>0</v>
      </c>
    </row>
    <row r="127" spans="2:33" ht="15" customHeight="1" x14ac:dyDescent="0.3">
      <c r="B127" s="196" t="s">
        <v>5</v>
      </c>
      <c r="C127" s="197" t="s">
        <v>13</v>
      </c>
      <c r="D127" s="198" t="str">
        <f t="shared" si="57"/>
        <v>C</v>
      </c>
      <c r="E127" s="199">
        <v>44672.90625</v>
      </c>
      <c r="F127" s="200" t="s">
        <v>93</v>
      </c>
      <c r="G127" s="201">
        <v>13772.41</v>
      </c>
      <c r="H127" s="201">
        <v>13819.34</v>
      </c>
      <c r="I127" s="202">
        <f t="shared" si="58"/>
        <v>46.930000000000291</v>
      </c>
      <c r="J127" s="201">
        <v>13271.83</v>
      </c>
      <c r="K127" s="199">
        <v>44673.418749999997</v>
      </c>
      <c r="L127" s="201">
        <v>13749.8</v>
      </c>
      <c r="M127" s="203">
        <f t="shared" si="59"/>
        <v>22.61</v>
      </c>
      <c r="N127" s="204">
        <f t="shared" si="60"/>
        <v>0.48</v>
      </c>
      <c r="O127" s="205">
        <f t="shared" si="61"/>
        <v>0</v>
      </c>
      <c r="P127" s="206">
        <f t="shared" si="62"/>
        <v>0.48</v>
      </c>
      <c r="Q127" s="206">
        <f t="shared" si="63"/>
        <v>0</v>
      </c>
      <c r="R12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12803</v>
      </c>
      <c r="T12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7" s="208">
        <f ca="1">IF(Tabla336106734812[[#This Row],[Equity]]&lt;Tabla336106734812[[#This Row],[Equity Peak]],(Tabla336106734812[[#This Row],[Equity Peak]]-Tabla336106734812[[#This Row],[Equity]])/Tabla336106734812[[#This Row],[Equity Peak]],"")</f>
        <v>1.8776824034334765E-2</v>
      </c>
      <c r="V127" s="209">
        <f t="shared" si="64"/>
        <v>0</v>
      </c>
      <c r="W127" s="209">
        <f t="shared" si="65"/>
        <v>0</v>
      </c>
      <c r="X127" s="209">
        <f t="shared" si="66"/>
        <v>0</v>
      </c>
      <c r="Y127" s="209">
        <f t="shared" si="67"/>
        <v>0</v>
      </c>
      <c r="Z127" s="209">
        <f t="shared" si="68"/>
        <v>0.48</v>
      </c>
      <c r="AA127" s="205">
        <f t="shared" si="69"/>
        <v>0</v>
      </c>
      <c r="AB127" s="209">
        <f t="shared" si="70"/>
        <v>0</v>
      </c>
      <c r="AC127" s="205">
        <f t="shared" si="71"/>
        <v>0</v>
      </c>
      <c r="AD127" s="210">
        <f t="shared" si="72"/>
        <v>0.51249999999708962</v>
      </c>
      <c r="AE127" s="210">
        <f t="shared" si="73"/>
        <v>0.51249999999708962</v>
      </c>
      <c r="AF127" s="210">
        <f t="shared" si="74"/>
        <v>0</v>
      </c>
      <c r="AG127" s="210">
        <f t="shared" si="75"/>
        <v>0</v>
      </c>
    </row>
    <row r="128" spans="2:33" ht="15" customHeight="1" x14ac:dyDescent="0.3">
      <c r="B128" s="196" t="s">
        <v>5</v>
      </c>
      <c r="C128" s="197" t="s">
        <v>13</v>
      </c>
      <c r="D128" s="198" t="str">
        <f t="shared" si="57"/>
        <v>C</v>
      </c>
      <c r="E128" s="199">
        <v>44672.885416666664</v>
      </c>
      <c r="F128" s="200" t="s">
        <v>93</v>
      </c>
      <c r="G128" s="201">
        <v>13789.04</v>
      </c>
      <c r="H128" s="201">
        <v>13836.02</v>
      </c>
      <c r="I128" s="202">
        <f t="shared" si="58"/>
        <v>46.979999999999563</v>
      </c>
      <c r="J128" s="201">
        <v>13287.93</v>
      </c>
      <c r="K128" s="199">
        <v>44672.899305555555</v>
      </c>
      <c r="L128" s="201">
        <v>13836.02</v>
      </c>
      <c r="M128" s="203">
        <f t="shared" si="59"/>
        <v>-46.98</v>
      </c>
      <c r="N128" s="204">
        <f t="shared" si="60"/>
        <v>-1</v>
      </c>
      <c r="O128" s="205">
        <f t="shared" si="61"/>
        <v>0</v>
      </c>
      <c r="P128" s="206">
        <f t="shared" si="62"/>
        <v>0</v>
      </c>
      <c r="Q128" s="206">
        <f t="shared" si="63"/>
        <v>-1</v>
      </c>
      <c r="R12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12755</v>
      </c>
      <c r="T12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8" s="208">
        <f ca="1">IF(Tabla336106734812[[#This Row],[Equity]]&lt;Tabla336106734812[[#This Row],[Equity Peak]],(Tabla336106734812[[#This Row],[Equity Peak]]-Tabla336106734812[[#This Row],[Equity]])/Tabla336106734812[[#This Row],[Equity Peak]],"")</f>
        <v>2.2455548743102391E-2</v>
      </c>
      <c r="V128" s="209">
        <f t="shared" si="64"/>
        <v>0</v>
      </c>
      <c r="W128" s="209">
        <f t="shared" si="65"/>
        <v>0</v>
      </c>
      <c r="X128" s="209">
        <f t="shared" si="66"/>
        <v>0</v>
      </c>
      <c r="Y128" s="209">
        <f t="shared" si="67"/>
        <v>0</v>
      </c>
      <c r="Z128" s="209">
        <f t="shared" si="68"/>
        <v>-1</v>
      </c>
      <c r="AA128" s="205">
        <f t="shared" si="69"/>
        <v>0</v>
      </c>
      <c r="AB128" s="209">
        <f t="shared" si="70"/>
        <v>0</v>
      </c>
      <c r="AC128" s="205">
        <f t="shared" si="71"/>
        <v>0</v>
      </c>
      <c r="AD128" s="210">
        <f t="shared" si="72"/>
        <v>1.3888888890505768E-2</v>
      </c>
      <c r="AE128" s="210">
        <f t="shared" si="73"/>
        <v>0</v>
      </c>
      <c r="AF128" s="210">
        <f t="shared" si="74"/>
        <v>1.3888888890505768E-2</v>
      </c>
      <c r="AG128" s="210">
        <f t="shared" si="75"/>
        <v>0</v>
      </c>
    </row>
    <row r="129" spans="2:33" ht="15" customHeight="1" x14ac:dyDescent="0.3">
      <c r="B129" s="196" t="s">
        <v>5</v>
      </c>
      <c r="C129" s="197" t="s">
        <v>15</v>
      </c>
      <c r="D129" s="198" t="str">
        <f t="shared" si="57"/>
        <v>C</v>
      </c>
      <c r="E129" s="199">
        <v>44671.625</v>
      </c>
      <c r="F129" s="200" t="s">
        <v>93</v>
      </c>
      <c r="G129" s="201">
        <v>14285.2</v>
      </c>
      <c r="H129" s="201">
        <v>14240.07</v>
      </c>
      <c r="I129" s="202">
        <f t="shared" si="58"/>
        <v>45.130000000001019</v>
      </c>
      <c r="J129" s="201">
        <v>14766.55</v>
      </c>
      <c r="K129" s="199">
        <v>44671.688888888886</v>
      </c>
      <c r="L129" s="201">
        <v>14240.07</v>
      </c>
      <c r="M129" s="203">
        <f t="shared" si="59"/>
        <v>-45.13</v>
      </c>
      <c r="N129" s="204">
        <f t="shared" si="60"/>
        <v>-1</v>
      </c>
      <c r="O129" s="205">
        <f t="shared" si="61"/>
        <v>0</v>
      </c>
      <c r="P129" s="206">
        <f t="shared" si="62"/>
        <v>0</v>
      </c>
      <c r="Q129" s="206">
        <f t="shared" si="63"/>
        <v>-1</v>
      </c>
      <c r="R12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12855</v>
      </c>
      <c r="T12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29" s="208">
        <f ca="1">IF(Tabla336106734812[[#This Row],[Equity]]&lt;Tabla336106734812[[#This Row],[Equity Peak]],(Tabla336106734812[[#This Row],[Equity Peak]]-Tabla336106734812[[#This Row],[Equity]])/Tabla336106734812[[#This Row],[Equity Peak]],"")</f>
        <v>1.4791538933169835E-2</v>
      </c>
      <c r="V129" s="209">
        <f t="shared" si="64"/>
        <v>0</v>
      </c>
      <c r="W129" s="209">
        <f t="shared" si="65"/>
        <v>0</v>
      </c>
      <c r="X129" s="209">
        <f t="shared" si="66"/>
        <v>0</v>
      </c>
      <c r="Y129" s="209">
        <f t="shared" si="67"/>
        <v>0</v>
      </c>
      <c r="Z129" s="209">
        <f t="shared" si="68"/>
        <v>-1</v>
      </c>
      <c r="AA129" s="205">
        <f t="shared" si="69"/>
        <v>0</v>
      </c>
      <c r="AB129" s="209">
        <f t="shared" si="70"/>
        <v>0</v>
      </c>
      <c r="AC129" s="205">
        <f t="shared" si="71"/>
        <v>0</v>
      </c>
      <c r="AD129" s="210">
        <f t="shared" si="72"/>
        <v>6.3888888886140194E-2</v>
      </c>
      <c r="AE129" s="210">
        <f t="shared" si="73"/>
        <v>0</v>
      </c>
      <c r="AF129" s="210">
        <f t="shared" si="74"/>
        <v>6.3888888886140194E-2</v>
      </c>
      <c r="AG129" s="210">
        <f t="shared" si="75"/>
        <v>0</v>
      </c>
    </row>
    <row r="130" spans="2:33" ht="15" customHeight="1" x14ac:dyDescent="0.3">
      <c r="B130" s="196" t="s">
        <v>5</v>
      </c>
      <c r="C130" s="197" t="s">
        <v>13</v>
      </c>
      <c r="D130" s="198" t="str">
        <f t="shared" si="57"/>
        <v>C</v>
      </c>
      <c r="E130" s="199">
        <v>44669.052083333336</v>
      </c>
      <c r="F130" s="200" t="s">
        <v>93</v>
      </c>
      <c r="G130" s="201">
        <v>13831.46</v>
      </c>
      <c r="H130" s="201">
        <v>13871.39</v>
      </c>
      <c r="I130" s="202">
        <f t="shared" si="58"/>
        <v>39.930000000000291</v>
      </c>
      <c r="J130" s="201">
        <v>13405.56</v>
      </c>
      <c r="K130" s="199">
        <v>44669.460416666669</v>
      </c>
      <c r="L130" s="201">
        <v>13828.48</v>
      </c>
      <c r="M130" s="203">
        <f t="shared" si="59"/>
        <v>2.98</v>
      </c>
      <c r="N130" s="204">
        <f t="shared" si="60"/>
        <v>7.0000000000000007E-2</v>
      </c>
      <c r="O130" s="205">
        <f t="shared" si="61"/>
        <v>0</v>
      </c>
      <c r="P130" s="206">
        <f t="shared" si="62"/>
        <v>7.0000000000000007E-2</v>
      </c>
      <c r="Q130" s="206">
        <f t="shared" si="63"/>
        <v>0</v>
      </c>
      <c r="R13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12955</v>
      </c>
      <c r="T13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30" s="208">
        <f ca="1">IF(Tabla336106734812[[#This Row],[Equity]]&lt;Tabla336106734812[[#This Row],[Equity Peak]],(Tabla336106734812[[#This Row],[Equity Peak]]-Tabla336106734812[[#This Row],[Equity]])/Tabla336106734812[[#This Row],[Equity Peak]],"")</f>
        <v>7.1275291232372777E-3</v>
      </c>
      <c r="V130" s="209">
        <f t="shared" si="64"/>
        <v>0</v>
      </c>
      <c r="W130" s="209">
        <f t="shared" si="65"/>
        <v>0</v>
      </c>
      <c r="X130" s="209">
        <f t="shared" si="66"/>
        <v>0</v>
      </c>
      <c r="Y130" s="209">
        <f t="shared" si="67"/>
        <v>0</v>
      </c>
      <c r="Z130" s="209">
        <f t="shared" si="68"/>
        <v>7.0000000000000007E-2</v>
      </c>
      <c r="AA130" s="205">
        <f t="shared" si="69"/>
        <v>0</v>
      </c>
      <c r="AB130" s="209">
        <f t="shared" si="70"/>
        <v>0</v>
      </c>
      <c r="AC130" s="205">
        <f t="shared" si="71"/>
        <v>0</v>
      </c>
      <c r="AD130" s="210">
        <f t="shared" si="72"/>
        <v>0.40833333333284827</v>
      </c>
      <c r="AE130" s="210">
        <f t="shared" si="73"/>
        <v>0.40833333333284827</v>
      </c>
      <c r="AF130" s="210">
        <f t="shared" si="74"/>
        <v>0</v>
      </c>
      <c r="AG130" s="210">
        <f t="shared" si="75"/>
        <v>0</v>
      </c>
    </row>
    <row r="131" spans="2:33" ht="15" customHeight="1" x14ac:dyDescent="0.3">
      <c r="B131" s="196" t="s">
        <v>5</v>
      </c>
      <c r="C131" s="197" t="s">
        <v>13</v>
      </c>
      <c r="D131" s="198" t="str">
        <f t="shared" si="57"/>
        <v>C</v>
      </c>
      <c r="E131" s="199">
        <v>44663.927083333336</v>
      </c>
      <c r="F131" s="200" t="s">
        <v>93</v>
      </c>
      <c r="G131" s="201">
        <v>13883.8</v>
      </c>
      <c r="H131" s="201">
        <v>13934.18</v>
      </c>
      <c r="I131" s="202">
        <f t="shared" si="58"/>
        <v>50.380000000001019</v>
      </c>
      <c r="J131" s="201">
        <v>13346.46</v>
      </c>
      <c r="K131" s="199">
        <v>44663.943055555559</v>
      </c>
      <c r="L131" s="201">
        <v>13934.18</v>
      </c>
      <c r="M131" s="203">
        <f t="shared" si="59"/>
        <v>-50.38</v>
      </c>
      <c r="N131" s="204">
        <f t="shared" si="60"/>
        <v>-1</v>
      </c>
      <c r="O131" s="205">
        <f t="shared" si="61"/>
        <v>0</v>
      </c>
      <c r="P131" s="206">
        <f t="shared" si="62"/>
        <v>0</v>
      </c>
      <c r="Q131" s="206">
        <f t="shared" si="63"/>
        <v>-1</v>
      </c>
      <c r="R13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12948</v>
      </c>
      <c r="T13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31" s="208">
        <f ca="1">IF(Tabla336106734812[[#This Row],[Equity]]&lt;Tabla336106734812[[#This Row],[Equity Peak]],(Tabla336106734812[[#This Row],[Equity Peak]]-Tabla336106734812[[#This Row],[Equity]])/Tabla336106734812[[#This Row],[Equity Peak]],"")</f>
        <v>7.6640098099325571E-3</v>
      </c>
      <c r="V131" s="209">
        <f t="shared" si="64"/>
        <v>0</v>
      </c>
      <c r="W131" s="209">
        <f t="shared" si="65"/>
        <v>0</v>
      </c>
      <c r="X131" s="209">
        <f t="shared" si="66"/>
        <v>0</v>
      </c>
      <c r="Y131" s="209">
        <f t="shared" si="67"/>
        <v>0</v>
      </c>
      <c r="Z131" s="209">
        <f t="shared" si="68"/>
        <v>-1</v>
      </c>
      <c r="AA131" s="205">
        <f t="shared" si="69"/>
        <v>0</v>
      </c>
      <c r="AB131" s="209">
        <f t="shared" si="70"/>
        <v>0</v>
      </c>
      <c r="AC131" s="205">
        <f t="shared" si="71"/>
        <v>0</v>
      </c>
      <c r="AD131" s="210">
        <f t="shared" si="72"/>
        <v>1.5972222223354038E-2</v>
      </c>
      <c r="AE131" s="210">
        <f t="shared" si="73"/>
        <v>0</v>
      </c>
      <c r="AF131" s="210">
        <f t="shared" si="74"/>
        <v>1.5972222223354038E-2</v>
      </c>
      <c r="AG131" s="210">
        <f t="shared" si="75"/>
        <v>0</v>
      </c>
    </row>
    <row r="132" spans="2:33" ht="15" customHeight="1" x14ac:dyDescent="0.3">
      <c r="B132" s="196" t="s">
        <v>5</v>
      </c>
      <c r="C132" s="197" t="s">
        <v>13</v>
      </c>
      <c r="D132" s="198" t="str">
        <f t="shared" si="57"/>
        <v>C</v>
      </c>
      <c r="E132" s="199">
        <v>44662.135416666664</v>
      </c>
      <c r="F132" s="200" t="s">
        <v>93</v>
      </c>
      <c r="G132" s="201">
        <v>14263.36</v>
      </c>
      <c r="H132" s="201">
        <v>14308.29</v>
      </c>
      <c r="I132" s="202">
        <f t="shared" si="58"/>
        <v>44.930000000000291</v>
      </c>
      <c r="J132" s="201">
        <v>13784.12</v>
      </c>
      <c r="K132" s="199">
        <v>44663.487500000003</v>
      </c>
      <c r="L132" s="201">
        <v>14005.11</v>
      </c>
      <c r="M132" s="203">
        <f t="shared" si="59"/>
        <v>258.25</v>
      </c>
      <c r="N132" s="204">
        <f t="shared" si="60"/>
        <v>5.75</v>
      </c>
      <c r="O132" s="205">
        <f t="shared" si="61"/>
        <v>0</v>
      </c>
      <c r="P132" s="206">
        <f t="shared" si="62"/>
        <v>5.75</v>
      </c>
      <c r="Q132" s="206">
        <f t="shared" si="63"/>
        <v>0</v>
      </c>
      <c r="R13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13048</v>
      </c>
      <c r="T13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13048</v>
      </c>
      <c r="U132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2" s="209">
        <f t="shared" si="64"/>
        <v>0</v>
      </c>
      <c r="W132" s="209">
        <f t="shared" si="65"/>
        <v>0</v>
      </c>
      <c r="X132" s="209">
        <f t="shared" si="66"/>
        <v>0</v>
      </c>
      <c r="Y132" s="209">
        <f t="shared" si="67"/>
        <v>0</v>
      </c>
      <c r="Z132" s="209">
        <f t="shared" si="68"/>
        <v>5.75</v>
      </c>
      <c r="AA132" s="205">
        <f t="shared" si="69"/>
        <v>0</v>
      </c>
      <c r="AB132" s="209">
        <f t="shared" si="70"/>
        <v>0</v>
      </c>
      <c r="AC132" s="205">
        <f t="shared" si="71"/>
        <v>0</v>
      </c>
      <c r="AD132" s="210">
        <f t="shared" si="72"/>
        <v>1.352083333338669</v>
      </c>
      <c r="AE132" s="210">
        <f t="shared" si="73"/>
        <v>1.352083333338669</v>
      </c>
      <c r="AF132" s="210">
        <f t="shared" si="74"/>
        <v>0</v>
      </c>
      <c r="AG132" s="210">
        <f t="shared" si="75"/>
        <v>0</v>
      </c>
    </row>
    <row r="133" spans="2:33" ht="15" customHeight="1" x14ac:dyDescent="0.3">
      <c r="B133" s="196" t="s">
        <v>5</v>
      </c>
      <c r="C133" s="197" t="s">
        <v>13</v>
      </c>
      <c r="D133" s="198" t="str">
        <f t="shared" si="57"/>
        <v>C</v>
      </c>
      <c r="E133" s="199">
        <v>44658.78125</v>
      </c>
      <c r="F133" s="200" t="s">
        <v>93</v>
      </c>
      <c r="G133" s="201">
        <v>14384.32</v>
      </c>
      <c r="H133" s="201">
        <v>14439.72</v>
      </c>
      <c r="I133" s="202">
        <f t="shared" si="58"/>
        <v>55.399999999999636</v>
      </c>
      <c r="J133" s="201">
        <v>13793.44</v>
      </c>
      <c r="K133" s="199">
        <v>44658.847222222219</v>
      </c>
      <c r="L133" s="201">
        <v>14439.72</v>
      </c>
      <c r="M133" s="203">
        <f t="shared" si="59"/>
        <v>-55.4</v>
      </c>
      <c r="N133" s="204">
        <f t="shared" si="60"/>
        <v>-1</v>
      </c>
      <c r="O133" s="205">
        <f t="shared" si="61"/>
        <v>0</v>
      </c>
      <c r="P133" s="206">
        <f t="shared" si="62"/>
        <v>0</v>
      </c>
      <c r="Q133" s="206">
        <f t="shared" si="63"/>
        <v>-1</v>
      </c>
      <c r="R13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12473</v>
      </c>
      <c r="T13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12573</v>
      </c>
      <c r="U133" s="208">
        <f ca="1">IF(Tabla336106734812[[#This Row],[Equity]]&lt;Tabla336106734812[[#This Row],[Equity Peak]],(Tabla336106734812[[#This Row],[Equity Peak]]-Tabla336106734812[[#This Row],[Equity]])/Tabla336106734812[[#This Row],[Equity Peak]],"")</f>
        <v>7.9535512606378755E-3</v>
      </c>
      <c r="V133" s="209">
        <f t="shared" si="64"/>
        <v>0</v>
      </c>
      <c r="W133" s="209">
        <f t="shared" si="65"/>
        <v>0</v>
      </c>
      <c r="X133" s="209">
        <f t="shared" si="66"/>
        <v>0</v>
      </c>
      <c r="Y133" s="209">
        <f t="shared" si="67"/>
        <v>0</v>
      </c>
      <c r="Z133" s="209">
        <f t="shared" si="68"/>
        <v>-1</v>
      </c>
      <c r="AA133" s="205">
        <f t="shared" si="69"/>
        <v>0</v>
      </c>
      <c r="AB133" s="209">
        <f t="shared" si="70"/>
        <v>0</v>
      </c>
      <c r="AC133" s="205">
        <f t="shared" si="71"/>
        <v>0</v>
      </c>
      <c r="AD133" s="210">
        <f t="shared" si="72"/>
        <v>6.5972222218988463E-2</v>
      </c>
      <c r="AE133" s="210">
        <f t="shared" si="73"/>
        <v>0</v>
      </c>
      <c r="AF133" s="210">
        <f t="shared" si="74"/>
        <v>6.5972222218988463E-2</v>
      </c>
      <c r="AG133" s="210">
        <f t="shared" si="75"/>
        <v>0</v>
      </c>
    </row>
    <row r="134" spans="2:33" ht="15" customHeight="1" x14ac:dyDescent="0.3">
      <c r="B134" s="196" t="s">
        <v>5</v>
      </c>
      <c r="C134" s="197" t="s">
        <v>13</v>
      </c>
      <c r="D134" s="198" t="str">
        <f t="shared" si="57"/>
        <v>C</v>
      </c>
      <c r="E134" s="199">
        <v>44657.447916666664</v>
      </c>
      <c r="F134" s="200" t="s">
        <v>93</v>
      </c>
      <c r="G134" s="201">
        <v>14752.66</v>
      </c>
      <c r="H134" s="201">
        <v>14788.77</v>
      </c>
      <c r="I134" s="202">
        <f t="shared" si="58"/>
        <v>36.110000000000582</v>
      </c>
      <c r="J134" s="201">
        <v>14367.49</v>
      </c>
      <c r="K134" s="199">
        <v>44657.861805555556</v>
      </c>
      <c r="L134" s="201">
        <v>14515.81</v>
      </c>
      <c r="M134" s="203">
        <f t="shared" si="59"/>
        <v>236.85</v>
      </c>
      <c r="N134" s="204">
        <f t="shared" si="60"/>
        <v>6.56</v>
      </c>
      <c r="O134" s="205">
        <f t="shared" si="61"/>
        <v>0</v>
      </c>
      <c r="P134" s="206">
        <f t="shared" si="62"/>
        <v>6.56</v>
      </c>
      <c r="Q134" s="206">
        <f t="shared" si="63"/>
        <v>0</v>
      </c>
      <c r="R13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12573</v>
      </c>
      <c r="T13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12573</v>
      </c>
      <c r="U134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4" s="209">
        <f t="shared" si="64"/>
        <v>0</v>
      </c>
      <c r="W134" s="209">
        <f t="shared" si="65"/>
        <v>0</v>
      </c>
      <c r="X134" s="209">
        <f t="shared" si="66"/>
        <v>0</v>
      </c>
      <c r="Y134" s="209">
        <f t="shared" si="67"/>
        <v>0</v>
      </c>
      <c r="Z134" s="209">
        <f t="shared" si="68"/>
        <v>6.56</v>
      </c>
      <c r="AA134" s="205">
        <f t="shared" si="69"/>
        <v>0</v>
      </c>
      <c r="AB134" s="209">
        <f t="shared" si="70"/>
        <v>0</v>
      </c>
      <c r="AC134" s="205">
        <f t="shared" si="71"/>
        <v>0</v>
      </c>
      <c r="AD134" s="210">
        <f t="shared" si="72"/>
        <v>0.41388888889196096</v>
      </c>
      <c r="AE134" s="210">
        <f t="shared" si="73"/>
        <v>0.41388888889196096</v>
      </c>
      <c r="AF134" s="210">
        <f t="shared" si="74"/>
        <v>0</v>
      </c>
      <c r="AG134" s="210">
        <f t="shared" si="75"/>
        <v>0</v>
      </c>
    </row>
    <row r="135" spans="2:33" ht="15" customHeight="1" x14ac:dyDescent="0.3">
      <c r="B135" s="196" t="s">
        <v>5</v>
      </c>
      <c r="C135" s="197" t="s">
        <v>15</v>
      </c>
      <c r="D135" s="198" t="str">
        <f t="shared" si="57"/>
        <v>C</v>
      </c>
      <c r="E135" s="199">
        <v>44656.447916666664</v>
      </c>
      <c r="F135" s="200" t="s">
        <v>93</v>
      </c>
      <c r="G135" s="201">
        <v>15185.88</v>
      </c>
      <c r="H135" s="201">
        <v>15158.59</v>
      </c>
      <c r="I135" s="202">
        <f t="shared" si="58"/>
        <v>27.289999999999054</v>
      </c>
      <c r="J135" s="201">
        <v>15476.98</v>
      </c>
      <c r="K135" s="199">
        <v>44656.495138888888</v>
      </c>
      <c r="L135" s="201">
        <v>15158.59</v>
      </c>
      <c r="M135" s="203">
        <f t="shared" si="59"/>
        <v>-27.29</v>
      </c>
      <c r="N135" s="204">
        <f t="shared" si="60"/>
        <v>-1</v>
      </c>
      <c r="O135" s="205">
        <f t="shared" si="61"/>
        <v>0</v>
      </c>
      <c r="P135" s="206">
        <f t="shared" si="62"/>
        <v>0</v>
      </c>
      <c r="Q135" s="206">
        <f t="shared" si="63"/>
        <v>-1</v>
      </c>
      <c r="R13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11917</v>
      </c>
      <c r="T13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12117</v>
      </c>
      <c r="U135" s="208">
        <f ca="1">IF(Tabla336106734812[[#This Row],[Equity]]&lt;Tabla336106734812[[#This Row],[Equity Peak]],(Tabla336106734812[[#This Row],[Equity Peak]]-Tabla336106734812[[#This Row],[Equity]])/Tabla336106734812[[#This Row],[Equity Peak]],"")</f>
        <v>1.6505735743170751E-2</v>
      </c>
      <c r="V135" s="209">
        <f t="shared" si="64"/>
        <v>0</v>
      </c>
      <c r="W135" s="209">
        <f t="shared" si="65"/>
        <v>0</v>
      </c>
      <c r="X135" s="209">
        <f t="shared" si="66"/>
        <v>0</v>
      </c>
      <c r="Y135" s="209">
        <f t="shared" si="67"/>
        <v>0</v>
      </c>
      <c r="Z135" s="209">
        <f t="shared" si="68"/>
        <v>-1</v>
      </c>
      <c r="AA135" s="205">
        <f t="shared" si="69"/>
        <v>0</v>
      </c>
      <c r="AB135" s="209">
        <f t="shared" si="70"/>
        <v>0</v>
      </c>
      <c r="AC135" s="205">
        <f t="shared" si="71"/>
        <v>0</v>
      </c>
      <c r="AD135" s="210">
        <f t="shared" si="72"/>
        <v>4.7222222223354038E-2</v>
      </c>
      <c r="AE135" s="210">
        <f t="shared" si="73"/>
        <v>0</v>
      </c>
      <c r="AF135" s="210">
        <f t="shared" si="74"/>
        <v>4.7222222223354038E-2</v>
      </c>
      <c r="AG135" s="210">
        <f t="shared" si="75"/>
        <v>0</v>
      </c>
    </row>
    <row r="136" spans="2:33" ht="15" customHeight="1" x14ac:dyDescent="0.3">
      <c r="B136" s="196" t="s">
        <v>5</v>
      </c>
      <c r="C136" s="197" t="s">
        <v>15</v>
      </c>
      <c r="D136" s="198" t="str">
        <f t="shared" si="57"/>
        <v>C</v>
      </c>
      <c r="E136" s="199">
        <v>44655.958333333336</v>
      </c>
      <c r="F136" s="200" t="s">
        <v>93</v>
      </c>
      <c r="G136" s="201">
        <v>15160.79</v>
      </c>
      <c r="H136" s="201">
        <v>15130.43</v>
      </c>
      <c r="I136" s="202">
        <f t="shared" si="58"/>
        <v>30.360000000000582</v>
      </c>
      <c r="J136" s="201">
        <v>15484.67</v>
      </c>
      <c r="K136" s="199">
        <v>44656.390277777777</v>
      </c>
      <c r="L136" s="201">
        <v>15130.43</v>
      </c>
      <c r="M136" s="203">
        <f t="shared" si="59"/>
        <v>-30.36</v>
      </c>
      <c r="N136" s="204">
        <f t="shared" si="60"/>
        <v>-1</v>
      </c>
      <c r="O136" s="205">
        <f t="shared" si="61"/>
        <v>0</v>
      </c>
      <c r="P136" s="206">
        <f t="shared" si="62"/>
        <v>0</v>
      </c>
      <c r="Q136" s="206">
        <f t="shared" si="63"/>
        <v>-1</v>
      </c>
      <c r="R13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12017</v>
      </c>
      <c r="T13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12117</v>
      </c>
      <c r="U136" s="208">
        <f ca="1">IF(Tabla336106734812[[#This Row],[Equity]]&lt;Tabla336106734812[[#This Row],[Equity Peak]],(Tabla336106734812[[#This Row],[Equity Peak]]-Tabla336106734812[[#This Row],[Equity]])/Tabla336106734812[[#This Row],[Equity Peak]],"")</f>
        <v>8.2528678715853756E-3</v>
      </c>
      <c r="V136" s="209">
        <f t="shared" si="64"/>
        <v>0</v>
      </c>
      <c r="W136" s="209">
        <f t="shared" si="65"/>
        <v>0</v>
      </c>
      <c r="X136" s="209">
        <f t="shared" si="66"/>
        <v>0</v>
      </c>
      <c r="Y136" s="209">
        <f t="shared" si="67"/>
        <v>0</v>
      </c>
      <c r="Z136" s="209">
        <f t="shared" si="68"/>
        <v>-1</v>
      </c>
      <c r="AA136" s="205">
        <f t="shared" si="69"/>
        <v>0</v>
      </c>
      <c r="AB136" s="209">
        <f t="shared" si="70"/>
        <v>0</v>
      </c>
      <c r="AC136" s="205">
        <f t="shared" si="71"/>
        <v>0</v>
      </c>
      <c r="AD136" s="210">
        <f t="shared" si="72"/>
        <v>0.43194444444088731</v>
      </c>
      <c r="AE136" s="210">
        <f t="shared" si="73"/>
        <v>0</v>
      </c>
      <c r="AF136" s="210">
        <f t="shared" si="74"/>
        <v>0.43194444444088731</v>
      </c>
      <c r="AG136" s="210">
        <f t="shared" si="75"/>
        <v>0</v>
      </c>
    </row>
    <row r="137" spans="2:33" ht="15" customHeight="1" x14ac:dyDescent="0.3">
      <c r="B137" s="196" t="s">
        <v>5</v>
      </c>
      <c r="C137" s="197" t="s">
        <v>15</v>
      </c>
      <c r="D137" s="198" t="str">
        <f t="shared" si="57"/>
        <v>C</v>
      </c>
      <c r="E137" s="199">
        <v>44648.916666666664</v>
      </c>
      <c r="F137" s="200" t="s">
        <v>93</v>
      </c>
      <c r="G137" s="201">
        <v>14935.78</v>
      </c>
      <c r="H137" s="201">
        <v>14891.78</v>
      </c>
      <c r="I137" s="202">
        <f t="shared" si="58"/>
        <v>44</v>
      </c>
      <c r="J137" s="201">
        <v>15405.12</v>
      </c>
      <c r="K137" s="199">
        <v>44649.716666666667</v>
      </c>
      <c r="L137" s="201">
        <v>15067.82</v>
      </c>
      <c r="M137" s="203">
        <f t="shared" si="59"/>
        <v>132.04</v>
      </c>
      <c r="N137" s="204">
        <f t="shared" si="60"/>
        <v>3</v>
      </c>
      <c r="O137" s="205">
        <f t="shared" si="61"/>
        <v>0</v>
      </c>
      <c r="P137" s="206">
        <f t="shared" si="62"/>
        <v>3</v>
      </c>
      <c r="Q137" s="206">
        <f t="shared" si="63"/>
        <v>0</v>
      </c>
      <c r="R13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12117</v>
      </c>
      <c r="T13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12117</v>
      </c>
      <c r="U137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7" s="209">
        <f t="shared" si="64"/>
        <v>0</v>
      </c>
      <c r="W137" s="209">
        <f t="shared" si="65"/>
        <v>0</v>
      </c>
      <c r="X137" s="209">
        <f t="shared" si="66"/>
        <v>0</v>
      </c>
      <c r="Y137" s="209">
        <f t="shared" si="67"/>
        <v>0</v>
      </c>
      <c r="Z137" s="209">
        <f t="shared" si="68"/>
        <v>3</v>
      </c>
      <c r="AA137" s="205">
        <f t="shared" si="69"/>
        <v>0</v>
      </c>
      <c r="AB137" s="209">
        <f t="shared" si="70"/>
        <v>0</v>
      </c>
      <c r="AC137" s="205">
        <f t="shared" si="71"/>
        <v>0</v>
      </c>
      <c r="AD137" s="210">
        <f t="shared" si="72"/>
        <v>0.80000000000291038</v>
      </c>
      <c r="AE137" s="210">
        <f t="shared" si="73"/>
        <v>0.80000000000291038</v>
      </c>
      <c r="AF137" s="210">
        <f t="shared" si="74"/>
        <v>0</v>
      </c>
      <c r="AG137" s="210">
        <f t="shared" si="75"/>
        <v>0</v>
      </c>
    </row>
    <row r="138" spans="2:33" ht="15" customHeight="1" x14ac:dyDescent="0.3">
      <c r="B138" s="196" t="s">
        <v>5</v>
      </c>
      <c r="C138" s="197" t="s">
        <v>15</v>
      </c>
      <c r="D138" s="198" t="str">
        <f t="shared" si="57"/>
        <v>C</v>
      </c>
      <c r="E138" s="199">
        <v>44648.697916666664</v>
      </c>
      <c r="F138" s="200" t="s">
        <v>93</v>
      </c>
      <c r="G138" s="201">
        <v>14852.65</v>
      </c>
      <c r="H138" s="201">
        <v>14807.13</v>
      </c>
      <c r="I138" s="202">
        <f t="shared" si="58"/>
        <v>45.520000000000437</v>
      </c>
      <c r="J138" s="201">
        <v>15338.15</v>
      </c>
      <c r="K138" s="199">
        <v>44648.720833333333</v>
      </c>
      <c r="L138" s="201">
        <v>14807.13</v>
      </c>
      <c r="M138" s="203">
        <f t="shared" si="59"/>
        <v>-45.52</v>
      </c>
      <c r="N138" s="204">
        <f t="shared" si="60"/>
        <v>-1</v>
      </c>
      <c r="O138" s="205">
        <f t="shared" si="61"/>
        <v>0</v>
      </c>
      <c r="P138" s="206">
        <f t="shared" si="62"/>
        <v>0</v>
      </c>
      <c r="Q138" s="206">
        <f t="shared" si="63"/>
        <v>-1</v>
      </c>
      <c r="R13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11817</v>
      </c>
      <c r="T13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12091</v>
      </c>
      <c r="U138" s="208">
        <f ca="1">IF(Tabla336106734812[[#This Row],[Equity]]&lt;Tabla336106734812[[#This Row],[Equity Peak]],(Tabla336106734812[[#This Row],[Equity Peak]]-Tabla336106734812[[#This Row],[Equity]])/Tabla336106734812[[#This Row],[Equity Peak]],"")</f>
        <v>2.2661483748242495E-2</v>
      </c>
      <c r="V138" s="209">
        <f t="shared" si="64"/>
        <v>0</v>
      </c>
      <c r="W138" s="209">
        <f t="shared" si="65"/>
        <v>0</v>
      </c>
      <c r="X138" s="209">
        <f t="shared" si="66"/>
        <v>0</v>
      </c>
      <c r="Y138" s="209">
        <f t="shared" si="67"/>
        <v>0</v>
      </c>
      <c r="Z138" s="209">
        <f t="shared" si="68"/>
        <v>-1</v>
      </c>
      <c r="AA138" s="205">
        <f t="shared" si="69"/>
        <v>0</v>
      </c>
      <c r="AB138" s="209">
        <f t="shared" si="70"/>
        <v>0</v>
      </c>
      <c r="AC138" s="205">
        <f t="shared" si="71"/>
        <v>0</v>
      </c>
      <c r="AD138" s="210">
        <f t="shared" si="72"/>
        <v>2.2916666668606922E-2</v>
      </c>
      <c r="AE138" s="210">
        <f t="shared" si="73"/>
        <v>0</v>
      </c>
      <c r="AF138" s="210">
        <f t="shared" si="74"/>
        <v>2.2916666668606922E-2</v>
      </c>
      <c r="AG138" s="210">
        <f t="shared" si="75"/>
        <v>0</v>
      </c>
    </row>
    <row r="139" spans="2:33" ht="15" customHeight="1" x14ac:dyDescent="0.3">
      <c r="B139" s="196" t="s">
        <v>5</v>
      </c>
      <c r="C139" s="197" t="s">
        <v>15</v>
      </c>
      <c r="D139" s="198" t="str">
        <f t="shared" si="57"/>
        <v>C</v>
      </c>
      <c r="E139" s="199">
        <v>44645.604166666664</v>
      </c>
      <c r="F139" s="200" t="s">
        <v>93</v>
      </c>
      <c r="G139" s="201">
        <v>14826.45</v>
      </c>
      <c r="H139" s="201">
        <v>14785.62</v>
      </c>
      <c r="I139" s="202">
        <f t="shared" si="58"/>
        <v>40.829999999999927</v>
      </c>
      <c r="J139" s="201">
        <v>15261.93</v>
      </c>
      <c r="K139" s="199">
        <v>44645.675694444442</v>
      </c>
      <c r="L139" s="201">
        <v>14785.62</v>
      </c>
      <c r="M139" s="203">
        <f t="shared" si="59"/>
        <v>-40.83</v>
      </c>
      <c r="N139" s="204">
        <f t="shared" si="60"/>
        <v>-1</v>
      </c>
      <c r="O139" s="205">
        <f t="shared" si="61"/>
        <v>0</v>
      </c>
      <c r="P139" s="206">
        <f t="shared" si="62"/>
        <v>0</v>
      </c>
      <c r="Q139" s="206">
        <f t="shared" si="63"/>
        <v>-1</v>
      </c>
      <c r="R13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11917</v>
      </c>
      <c r="T13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12091</v>
      </c>
      <c r="U139" s="208">
        <f ca="1">IF(Tabla336106734812[[#This Row],[Equity]]&lt;Tabla336106734812[[#This Row],[Equity Peak]],(Tabla336106734812[[#This Row],[Equity Peak]]-Tabla336106734812[[#This Row],[Equity]])/Tabla336106734812[[#This Row],[Equity Peak]],"")</f>
        <v>1.439086924158465E-2</v>
      </c>
      <c r="V139" s="209">
        <f t="shared" si="64"/>
        <v>0</v>
      </c>
      <c r="W139" s="209">
        <f t="shared" si="65"/>
        <v>0</v>
      </c>
      <c r="X139" s="209">
        <f t="shared" si="66"/>
        <v>0</v>
      </c>
      <c r="Y139" s="209">
        <f t="shared" si="67"/>
        <v>0</v>
      </c>
      <c r="Z139" s="209">
        <f t="shared" si="68"/>
        <v>-1</v>
      </c>
      <c r="AA139" s="205">
        <f t="shared" si="69"/>
        <v>0</v>
      </c>
      <c r="AB139" s="209">
        <f t="shared" si="70"/>
        <v>0</v>
      </c>
      <c r="AC139" s="205">
        <f t="shared" si="71"/>
        <v>0</v>
      </c>
      <c r="AD139" s="210">
        <f t="shared" si="72"/>
        <v>7.1527777778101154E-2</v>
      </c>
      <c r="AE139" s="210">
        <f t="shared" si="73"/>
        <v>0</v>
      </c>
      <c r="AF139" s="210">
        <f t="shared" si="74"/>
        <v>7.1527777778101154E-2</v>
      </c>
      <c r="AG139" s="210">
        <f t="shared" si="75"/>
        <v>0</v>
      </c>
    </row>
    <row r="140" spans="2:33" ht="15" customHeight="1" x14ac:dyDescent="0.3">
      <c r="B140" s="196" t="s">
        <v>5</v>
      </c>
      <c r="C140" s="197" t="s">
        <v>15</v>
      </c>
      <c r="D140" s="198" t="str">
        <f t="shared" si="57"/>
        <v>C</v>
      </c>
      <c r="E140" s="199">
        <v>44644.9375</v>
      </c>
      <c r="F140" s="200" t="s">
        <v>93</v>
      </c>
      <c r="G140" s="201">
        <v>14721.19</v>
      </c>
      <c r="H140" s="201">
        <v>14682.69</v>
      </c>
      <c r="I140" s="202">
        <f t="shared" si="58"/>
        <v>38.5</v>
      </c>
      <c r="J140" s="201">
        <v>15131.86</v>
      </c>
      <c r="K140" s="199">
        <v>44645.467361111114</v>
      </c>
      <c r="L140" s="201">
        <v>14702</v>
      </c>
      <c r="M140" s="203">
        <f t="shared" si="59"/>
        <v>-19.190000000000001</v>
      </c>
      <c r="N140" s="204">
        <f t="shared" si="60"/>
        <v>-0.5</v>
      </c>
      <c r="O140" s="205">
        <f t="shared" si="61"/>
        <v>0</v>
      </c>
      <c r="P140" s="206">
        <f t="shared" si="62"/>
        <v>0</v>
      </c>
      <c r="Q140" s="206">
        <f t="shared" si="63"/>
        <v>-0.5</v>
      </c>
      <c r="R14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12017</v>
      </c>
      <c r="T14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12091</v>
      </c>
      <c r="U140" s="208">
        <f ca="1">IF(Tabla336106734812[[#This Row],[Equity]]&lt;Tabla336106734812[[#This Row],[Equity Peak]],(Tabla336106734812[[#This Row],[Equity Peak]]-Tabla336106734812[[#This Row],[Equity]])/Tabla336106734812[[#This Row],[Equity Peak]],"")</f>
        <v>6.1202547349268055E-3</v>
      </c>
      <c r="V140" s="209">
        <f t="shared" si="64"/>
        <v>0</v>
      </c>
      <c r="W140" s="209">
        <f t="shared" si="65"/>
        <v>0</v>
      </c>
      <c r="X140" s="209">
        <f t="shared" si="66"/>
        <v>0</v>
      </c>
      <c r="Y140" s="209">
        <f t="shared" si="67"/>
        <v>0</v>
      </c>
      <c r="Z140" s="209">
        <f t="shared" si="68"/>
        <v>-0.5</v>
      </c>
      <c r="AA140" s="205">
        <f t="shared" si="69"/>
        <v>0</v>
      </c>
      <c r="AB140" s="209">
        <f t="shared" si="70"/>
        <v>0</v>
      </c>
      <c r="AC140" s="205">
        <f t="shared" si="71"/>
        <v>0</v>
      </c>
      <c r="AD140" s="210">
        <f t="shared" si="72"/>
        <v>0.52986111111385981</v>
      </c>
      <c r="AE140" s="210">
        <f t="shared" si="73"/>
        <v>0</v>
      </c>
      <c r="AF140" s="210">
        <f t="shared" si="74"/>
        <v>0.52986111111385981</v>
      </c>
      <c r="AG140" s="210">
        <f t="shared" si="75"/>
        <v>0</v>
      </c>
    </row>
    <row r="141" spans="2:33" ht="15" customHeight="1" x14ac:dyDescent="0.3">
      <c r="B141" s="196" t="s">
        <v>5</v>
      </c>
      <c r="C141" s="197" t="s">
        <v>15</v>
      </c>
      <c r="D141" s="198" t="str">
        <f t="shared" si="57"/>
        <v>C</v>
      </c>
      <c r="E141" s="199">
        <v>44642.71875</v>
      </c>
      <c r="F141" s="200" t="s">
        <v>93</v>
      </c>
      <c r="G141" s="201">
        <v>14538.84</v>
      </c>
      <c r="H141" s="201">
        <v>14490.99</v>
      </c>
      <c r="I141" s="202">
        <f t="shared" si="58"/>
        <v>47.850000000000364</v>
      </c>
      <c r="J141" s="201">
        <v>15049.19</v>
      </c>
      <c r="K141" s="199">
        <v>44643.557638888888</v>
      </c>
      <c r="L141" s="201">
        <v>14575.32</v>
      </c>
      <c r="M141" s="203">
        <f t="shared" si="59"/>
        <v>36.479999999999997</v>
      </c>
      <c r="N141" s="204">
        <f t="shared" si="60"/>
        <v>0.76</v>
      </c>
      <c r="O141" s="205">
        <f t="shared" si="61"/>
        <v>0</v>
      </c>
      <c r="P141" s="206">
        <f t="shared" si="62"/>
        <v>0.76</v>
      </c>
      <c r="Q141" s="206">
        <f t="shared" si="63"/>
        <v>0</v>
      </c>
      <c r="R14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12067</v>
      </c>
      <c r="T14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12091</v>
      </c>
      <c r="U141" s="208">
        <f ca="1">IF(Tabla336106734812[[#This Row],[Equity]]&lt;Tabla336106734812[[#This Row],[Equity Peak]],(Tabla336106734812[[#This Row],[Equity Peak]]-Tabla336106734812[[#This Row],[Equity]])/Tabla336106734812[[#This Row],[Equity Peak]],"")</f>
        <v>1.9849474815978826E-3</v>
      </c>
      <c r="V141" s="209">
        <f t="shared" si="64"/>
        <v>0</v>
      </c>
      <c r="W141" s="209">
        <f t="shared" si="65"/>
        <v>0</v>
      </c>
      <c r="X141" s="209">
        <f t="shared" si="66"/>
        <v>0</v>
      </c>
      <c r="Y141" s="209">
        <f t="shared" si="67"/>
        <v>0</v>
      </c>
      <c r="Z141" s="209">
        <f t="shared" si="68"/>
        <v>0.76</v>
      </c>
      <c r="AA141" s="205">
        <f t="shared" si="69"/>
        <v>0</v>
      </c>
      <c r="AB141" s="209">
        <f t="shared" si="70"/>
        <v>0</v>
      </c>
      <c r="AC141" s="205">
        <f t="shared" si="71"/>
        <v>0</v>
      </c>
      <c r="AD141" s="210">
        <f t="shared" si="72"/>
        <v>0.83888888888759539</v>
      </c>
      <c r="AE141" s="210">
        <f t="shared" si="73"/>
        <v>0.83888888888759539</v>
      </c>
      <c r="AF141" s="210">
        <f t="shared" si="74"/>
        <v>0</v>
      </c>
      <c r="AG141" s="210">
        <f t="shared" si="75"/>
        <v>0</v>
      </c>
    </row>
    <row r="142" spans="2:33" ht="15" customHeight="1" x14ac:dyDescent="0.3">
      <c r="B142" s="196" t="s">
        <v>5</v>
      </c>
      <c r="C142" s="197" t="s">
        <v>15</v>
      </c>
      <c r="D142" s="198" t="str">
        <f t="shared" si="57"/>
        <v>C</v>
      </c>
      <c r="E142" s="199">
        <v>44642.697916666664</v>
      </c>
      <c r="F142" s="200" t="s">
        <v>93</v>
      </c>
      <c r="G142" s="201">
        <v>14468.96</v>
      </c>
      <c r="H142" s="201">
        <v>14421.95</v>
      </c>
      <c r="I142" s="202">
        <f t="shared" si="58"/>
        <v>47.009999999998399</v>
      </c>
      <c r="J142" s="201">
        <v>14970.4</v>
      </c>
      <c r="K142" s="199">
        <v>44642.7</v>
      </c>
      <c r="L142" s="201">
        <v>14421.95</v>
      </c>
      <c r="M142" s="203">
        <f t="shared" si="59"/>
        <v>-47.01</v>
      </c>
      <c r="N142" s="204">
        <f t="shared" si="60"/>
        <v>-1</v>
      </c>
      <c r="O142" s="205">
        <f t="shared" si="61"/>
        <v>0</v>
      </c>
      <c r="P142" s="206">
        <f t="shared" si="62"/>
        <v>0</v>
      </c>
      <c r="Q142" s="206">
        <f t="shared" si="63"/>
        <v>-1</v>
      </c>
      <c r="R14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11991</v>
      </c>
      <c r="T14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12091</v>
      </c>
      <c r="U142" s="208">
        <f ca="1">IF(Tabla336106734812[[#This Row],[Equity]]&lt;Tabla336106734812[[#This Row],[Equity Peak]],(Tabla336106734812[[#This Row],[Equity Peak]]-Tabla336106734812[[#This Row],[Equity]])/Tabla336106734812[[#This Row],[Equity Peak]],"")</f>
        <v>8.2706145066578449E-3</v>
      </c>
      <c r="V142" s="209">
        <f t="shared" si="64"/>
        <v>0</v>
      </c>
      <c r="W142" s="209">
        <f t="shared" si="65"/>
        <v>0</v>
      </c>
      <c r="X142" s="209">
        <f t="shared" si="66"/>
        <v>0</v>
      </c>
      <c r="Y142" s="209">
        <f t="shared" si="67"/>
        <v>0</v>
      </c>
      <c r="Z142" s="209">
        <f t="shared" si="68"/>
        <v>-1</v>
      </c>
      <c r="AA142" s="205">
        <f t="shared" si="69"/>
        <v>0</v>
      </c>
      <c r="AB142" s="209">
        <f t="shared" si="70"/>
        <v>0</v>
      </c>
      <c r="AC142" s="205">
        <f t="shared" si="71"/>
        <v>0</v>
      </c>
      <c r="AD142" s="210">
        <f t="shared" si="72"/>
        <v>2.0833333328482695E-3</v>
      </c>
      <c r="AE142" s="210">
        <f t="shared" si="73"/>
        <v>0</v>
      </c>
      <c r="AF142" s="210">
        <f t="shared" si="74"/>
        <v>2.0833333328482695E-3</v>
      </c>
      <c r="AG142" s="210">
        <f t="shared" si="75"/>
        <v>0</v>
      </c>
    </row>
    <row r="143" spans="2:33" ht="15" customHeight="1" x14ac:dyDescent="0.3">
      <c r="B143" s="196" t="s">
        <v>5</v>
      </c>
      <c r="C143" s="197" t="s">
        <v>15</v>
      </c>
      <c r="D143" s="198" t="str">
        <f t="shared" si="57"/>
        <v>C</v>
      </c>
      <c r="E143" s="199">
        <v>44638.708333333336</v>
      </c>
      <c r="F143" s="200" t="s">
        <v>93</v>
      </c>
      <c r="G143" s="201">
        <v>14151.18</v>
      </c>
      <c r="H143" s="201">
        <v>14105.84</v>
      </c>
      <c r="I143" s="202">
        <f t="shared" si="58"/>
        <v>45.340000000000146</v>
      </c>
      <c r="J143" s="201">
        <v>14634.76</v>
      </c>
      <c r="K143" s="199">
        <v>44641.345138888886</v>
      </c>
      <c r="L143" s="201">
        <v>14335.8</v>
      </c>
      <c r="M143" s="203">
        <f t="shared" si="59"/>
        <v>184.62</v>
      </c>
      <c r="N143" s="204">
        <f t="shared" si="60"/>
        <v>4.07</v>
      </c>
      <c r="O143" s="205">
        <f t="shared" si="61"/>
        <v>0</v>
      </c>
      <c r="P143" s="206">
        <f t="shared" si="62"/>
        <v>4.07</v>
      </c>
      <c r="Q143" s="206">
        <f t="shared" si="63"/>
        <v>0</v>
      </c>
      <c r="R14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12091</v>
      </c>
      <c r="T14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12091</v>
      </c>
      <c r="U143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43" s="209">
        <f t="shared" si="64"/>
        <v>0</v>
      </c>
      <c r="W143" s="209">
        <f t="shared" si="65"/>
        <v>0</v>
      </c>
      <c r="X143" s="209">
        <f t="shared" si="66"/>
        <v>0</v>
      </c>
      <c r="Y143" s="209">
        <f t="shared" si="67"/>
        <v>0</v>
      </c>
      <c r="Z143" s="209">
        <f t="shared" si="68"/>
        <v>4.07</v>
      </c>
      <c r="AA143" s="205">
        <f t="shared" si="69"/>
        <v>0</v>
      </c>
      <c r="AB143" s="209">
        <f t="shared" si="70"/>
        <v>0</v>
      </c>
      <c r="AC143" s="205">
        <f t="shared" si="71"/>
        <v>0</v>
      </c>
      <c r="AD143" s="210">
        <f t="shared" si="72"/>
        <v>2.6368055555503815</v>
      </c>
      <c r="AE143" s="210">
        <f t="shared" si="73"/>
        <v>2.6368055555503815</v>
      </c>
      <c r="AF143" s="210">
        <f t="shared" si="74"/>
        <v>0</v>
      </c>
      <c r="AG143" s="210">
        <f t="shared" si="75"/>
        <v>0</v>
      </c>
    </row>
    <row r="144" spans="2:33" ht="15" customHeight="1" x14ac:dyDescent="0.3">
      <c r="B144" s="196" t="s">
        <v>5</v>
      </c>
      <c r="C144" s="197" t="s">
        <v>15</v>
      </c>
      <c r="D144" s="198" t="str">
        <f t="shared" si="57"/>
        <v>C</v>
      </c>
      <c r="E144" s="199">
        <v>44637.854166666664</v>
      </c>
      <c r="F144" s="200" t="s">
        <v>93</v>
      </c>
      <c r="G144" s="201">
        <v>14035.07</v>
      </c>
      <c r="H144" s="201">
        <v>13969.82</v>
      </c>
      <c r="I144" s="202">
        <f t="shared" si="58"/>
        <v>65.25</v>
      </c>
      <c r="J144" s="201">
        <v>14731.1</v>
      </c>
      <c r="K144" s="199">
        <v>44638.158333333333</v>
      </c>
      <c r="L144" s="201">
        <v>13984.15</v>
      </c>
      <c r="M144" s="203">
        <f t="shared" si="59"/>
        <v>-50.92</v>
      </c>
      <c r="N144" s="204">
        <f t="shared" si="60"/>
        <v>-0.78</v>
      </c>
      <c r="O144" s="205">
        <f t="shared" si="61"/>
        <v>0</v>
      </c>
      <c r="P144" s="206">
        <f t="shared" si="62"/>
        <v>0</v>
      </c>
      <c r="Q144" s="206">
        <f t="shared" si="63"/>
        <v>-0.78</v>
      </c>
      <c r="R14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11684</v>
      </c>
      <c r="T14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44" s="208">
        <f ca="1">IF(Tabla336106734812[[#This Row],[Equity]]&lt;Tabla336106734812[[#This Row],[Equity Peak]],(Tabla336106734812[[#This Row],[Equity Peak]]-Tabla336106734812[[#This Row],[Equity]])/Tabla336106734812[[#This Row],[Equity Peak]],"")</f>
        <v>2.4300626304801669E-2</v>
      </c>
      <c r="V144" s="209">
        <f t="shared" si="64"/>
        <v>0</v>
      </c>
      <c r="W144" s="209">
        <f t="shared" si="65"/>
        <v>0</v>
      </c>
      <c r="X144" s="209">
        <f t="shared" si="66"/>
        <v>0</v>
      </c>
      <c r="Y144" s="209">
        <f t="shared" si="67"/>
        <v>0</v>
      </c>
      <c r="Z144" s="209">
        <f t="shared" si="68"/>
        <v>-0.78</v>
      </c>
      <c r="AA144" s="205">
        <f t="shared" si="69"/>
        <v>0</v>
      </c>
      <c r="AB144" s="209">
        <f t="shared" si="70"/>
        <v>0</v>
      </c>
      <c r="AC144" s="205">
        <f t="shared" si="71"/>
        <v>0</v>
      </c>
      <c r="AD144" s="210">
        <f t="shared" si="72"/>
        <v>0.30416666666860692</v>
      </c>
      <c r="AE144" s="210">
        <f t="shared" si="73"/>
        <v>0</v>
      </c>
      <c r="AF144" s="210">
        <f t="shared" si="74"/>
        <v>0.30416666666860692</v>
      </c>
      <c r="AG144" s="210">
        <f t="shared" si="75"/>
        <v>0</v>
      </c>
    </row>
    <row r="145" spans="2:33" ht="15" customHeight="1" x14ac:dyDescent="0.3">
      <c r="B145" s="196" t="s">
        <v>5</v>
      </c>
      <c r="C145" s="197" t="s">
        <v>15</v>
      </c>
      <c r="D145" s="198" t="str">
        <f t="shared" si="57"/>
        <v>C</v>
      </c>
      <c r="E145" s="199">
        <v>44636.958333333336</v>
      </c>
      <c r="F145" s="200" t="s">
        <v>93</v>
      </c>
      <c r="G145" s="201">
        <v>13956.67</v>
      </c>
      <c r="H145" s="201">
        <v>13897.61</v>
      </c>
      <c r="I145" s="202">
        <f t="shared" si="58"/>
        <v>59.059999999999491</v>
      </c>
      <c r="J145" s="201">
        <v>14586.64</v>
      </c>
      <c r="K145" s="199">
        <v>44637.513888888891</v>
      </c>
      <c r="L145" s="201">
        <v>13897.61</v>
      </c>
      <c r="M145" s="203">
        <f t="shared" si="59"/>
        <v>-59.06</v>
      </c>
      <c r="N145" s="204">
        <f t="shared" si="60"/>
        <v>-1</v>
      </c>
      <c r="O145" s="205">
        <f t="shared" si="61"/>
        <v>0</v>
      </c>
      <c r="P145" s="206">
        <f t="shared" si="62"/>
        <v>0</v>
      </c>
      <c r="Q145" s="206">
        <f t="shared" si="63"/>
        <v>-1</v>
      </c>
      <c r="R14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11762</v>
      </c>
      <c r="T14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45" s="208">
        <f ca="1">IF(Tabla336106734812[[#This Row],[Equity]]&lt;Tabla336106734812[[#This Row],[Equity Peak]],(Tabla336106734812[[#This Row],[Equity Peak]]-Tabla336106734812[[#This Row],[Equity]])/Tabla336106734812[[#This Row],[Equity Peak]],"")</f>
        <v>1.778705636743215E-2</v>
      </c>
      <c r="V145" s="209">
        <f t="shared" si="64"/>
        <v>0</v>
      </c>
      <c r="W145" s="209">
        <f t="shared" si="65"/>
        <v>0</v>
      </c>
      <c r="X145" s="209">
        <f t="shared" si="66"/>
        <v>0</v>
      </c>
      <c r="Y145" s="209">
        <f t="shared" si="67"/>
        <v>0</v>
      </c>
      <c r="Z145" s="209">
        <f t="shared" si="68"/>
        <v>-1</v>
      </c>
      <c r="AA145" s="205">
        <f t="shared" si="69"/>
        <v>0</v>
      </c>
      <c r="AB145" s="209">
        <f t="shared" si="70"/>
        <v>0</v>
      </c>
      <c r="AC145" s="205">
        <f t="shared" si="71"/>
        <v>0</v>
      </c>
      <c r="AD145" s="210">
        <f t="shared" si="72"/>
        <v>0.55555555555474712</v>
      </c>
      <c r="AE145" s="210">
        <f t="shared" si="73"/>
        <v>0</v>
      </c>
      <c r="AF145" s="210">
        <f t="shared" si="74"/>
        <v>0.55555555555474712</v>
      </c>
      <c r="AG145" s="210">
        <f t="shared" si="75"/>
        <v>0</v>
      </c>
    </row>
    <row r="146" spans="2:33" ht="15" customHeight="1" x14ac:dyDescent="0.3">
      <c r="B146" s="196" t="s">
        <v>5</v>
      </c>
      <c r="C146" s="197" t="s">
        <v>15</v>
      </c>
      <c r="D146" s="198" t="str">
        <f t="shared" si="57"/>
        <v>C</v>
      </c>
      <c r="E146" s="199">
        <v>44636.427083333336</v>
      </c>
      <c r="F146" s="200" t="s">
        <v>93</v>
      </c>
      <c r="G146" s="201">
        <v>13617.27</v>
      </c>
      <c r="H146" s="201">
        <v>13559.5</v>
      </c>
      <c r="I146" s="202">
        <f t="shared" si="58"/>
        <v>57.770000000000437</v>
      </c>
      <c r="J146" s="201">
        <v>14233.49</v>
      </c>
      <c r="K146" s="199">
        <v>44636.824999999997</v>
      </c>
      <c r="L146" s="201">
        <v>13717.01</v>
      </c>
      <c r="M146" s="203">
        <f t="shared" si="59"/>
        <v>99.74</v>
      </c>
      <c r="N146" s="204">
        <f t="shared" si="60"/>
        <v>1.73</v>
      </c>
      <c r="O146" s="205">
        <f t="shared" si="61"/>
        <v>0</v>
      </c>
      <c r="P146" s="206">
        <f t="shared" si="62"/>
        <v>1.73</v>
      </c>
      <c r="Q146" s="206">
        <f t="shared" si="63"/>
        <v>0</v>
      </c>
      <c r="R14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11862</v>
      </c>
      <c r="T14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46" s="208">
        <f ca="1">IF(Tabla336106734812[[#This Row],[Equity]]&lt;Tabla336106734812[[#This Row],[Equity Peak]],(Tabla336106734812[[#This Row],[Equity Peak]]-Tabla336106734812[[#This Row],[Equity]])/Tabla336106734812[[#This Row],[Equity Peak]],"")</f>
        <v>9.4363256784968687E-3</v>
      </c>
      <c r="V146" s="209">
        <f t="shared" si="64"/>
        <v>0</v>
      </c>
      <c r="W146" s="209">
        <f t="shared" si="65"/>
        <v>0</v>
      </c>
      <c r="X146" s="209">
        <f t="shared" si="66"/>
        <v>0</v>
      </c>
      <c r="Y146" s="209">
        <f t="shared" si="67"/>
        <v>0</v>
      </c>
      <c r="Z146" s="209">
        <f t="shared" si="68"/>
        <v>1.73</v>
      </c>
      <c r="AA146" s="205">
        <f t="shared" si="69"/>
        <v>0</v>
      </c>
      <c r="AB146" s="209">
        <f t="shared" si="70"/>
        <v>0</v>
      </c>
      <c r="AC146" s="205">
        <f t="shared" si="71"/>
        <v>0</v>
      </c>
      <c r="AD146" s="210">
        <f t="shared" si="72"/>
        <v>0.39791666666133096</v>
      </c>
      <c r="AE146" s="210">
        <f t="shared" si="73"/>
        <v>0.39791666666133096</v>
      </c>
      <c r="AF146" s="210">
        <f t="shared" si="74"/>
        <v>0</v>
      </c>
      <c r="AG146" s="210">
        <f t="shared" si="75"/>
        <v>0</v>
      </c>
    </row>
    <row r="147" spans="2:33" ht="15" customHeight="1" x14ac:dyDescent="0.3">
      <c r="B147" s="196" t="s">
        <v>5</v>
      </c>
      <c r="C147" s="197" t="s">
        <v>13</v>
      </c>
      <c r="D147" s="198" t="str">
        <f t="shared" si="57"/>
        <v>C</v>
      </c>
      <c r="E147" s="199">
        <v>44634.78125</v>
      </c>
      <c r="F147" s="200" t="s">
        <v>93</v>
      </c>
      <c r="G147" s="201">
        <v>13202.35</v>
      </c>
      <c r="H147" s="201">
        <v>13265.93</v>
      </c>
      <c r="I147" s="202">
        <f t="shared" si="58"/>
        <v>63.579999999999927</v>
      </c>
      <c r="J147" s="201">
        <v>12524.13</v>
      </c>
      <c r="K147" s="199">
        <v>44635.588888888888</v>
      </c>
      <c r="L147" s="201">
        <v>13109.12</v>
      </c>
      <c r="M147" s="203">
        <f t="shared" si="59"/>
        <v>93.23</v>
      </c>
      <c r="N147" s="204">
        <f t="shared" si="60"/>
        <v>1.47</v>
      </c>
      <c r="O147" s="205">
        <f t="shared" si="61"/>
        <v>0</v>
      </c>
      <c r="P147" s="206">
        <f t="shared" si="62"/>
        <v>1.47</v>
      </c>
      <c r="Q147" s="206">
        <f t="shared" si="63"/>
        <v>0</v>
      </c>
      <c r="R14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11689</v>
      </c>
      <c r="T14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47" s="208">
        <f ca="1">IF(Tabla336106734812[[#This Row],[Equity]]&lt;Tabla336106734812[[#This Row],[Equity Peak]],(Tabla336106734812[[#This Row],[Equity Peak]]-Tabla336106734812[[#This Row],[Equity]])/Tabla336106734812[[#This Row],[Equity Peak]],"")</f>
        <v>2.3883089770354905E-2</v>
      </c>
      <c r="V147" s="209">
        <f t="shared" si="64"/>
        <v>0</v>
      </c>
      <c r="W147" s="209">
        <f t="shared" si="65"/>
        <v>0</v>
      </c>
      <c r="X147" s="209">
        <f t="shared" si="66"/>
        <v>0</v>
      </c>
      <c r="Y147" s="209">
        <f t="shared" si="67"/>
        <v>0</v>
      </c>
      <c r="Z147" s="209">
        <f t="shared" si="68"/>
        <v>1.47</v>
      </c>
      <c r="AA147" s="205">
        <f t="shared" si="69"/>
        <v>0</v>
      </c>
      <c r="AB147" s="209">
        <f t="shared" si="70"/>
        <v>0</v>
      </c>
      <c r="AC147" s="205">
        <f t="shared" si="71"/>
        <v>0</v>
      </c>
      <c r="AD147" s="210">
        <f t="shared" si="72"/>
        <v>0.80763888888759539</v>
      </c>
      <c r="AE147" s="210">
        <f t="shared" si="73"/>
        <v>0.80763888888759539</v>
      </c>
      <c r="AF147" s="210">
        <f t="shared" si="74"/>
        <v>0</v>
      </c>
      <c r="AG147" s="210">
        <f t="shared" si="75"/>
        <v>0</v>
      </c>
    </row>
    <row r="148" spans="2:33" ht="15" customHeight="1" x14ac:dyDescent="0.3">
      <c r="B148" s="196" t="s">
        <v>5</v>
      </c>
      <c r="C148" s="197" t="s">
        <v>13</v>
      </c>
      <c r="D148" s="198" t="str">
        <f t="shared" si="57"/>
        <v>C</v>
      </c>
      <c r="E148" s="199">
        <v>44634.604166666664</v>
      </c>
      <c r="F148" s="200" t="s">
        <v>93</v>
      </c>
      <c r="G148" s="201">
        <v>13278.49</v>
      </c>
      <c r="H148" s="201">
        <v>13338.79</v>
      </c>
      <c r="I148" s="202">
        <f t="shared" si="58"/>
        <v>60.300000000001091</v>
      </c>
      <c r="J148" s="201">
        <v>12635.31</v>
      </c>
      <c r="K148" s="199">
        <v>44634.713888888888</v>
      </c>
      <c r="L148" s="201">
        <v>13338.79</v>
      </c>
      <c r="M148" s="203">
        <f t="shared" si="59"/>
        <v>-60.3</v>
      </c>
      <c r="N148" s="204">
        <f t="shared" si="60"/>
        <v>-1</v>
      </c>
      <c r="O148" s="205">
        <f t="shared" si="61"/>
        <v>0</v>
      </c>
      <c r="P148" s="206">
        <f t="shared" si="62"/>
        <v>0</v>
      </c>
      <c r="Q148" s="206">
        <f t="shared" si="63"/>
        <v>-1</v>
      </c>
      <c r="R14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11542</v>
      </c>
      <c r="T14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48" s="208">
        <f ca="1">IF(Tabla336106734812[[#This Row],[Equity]]&lt;Tabla336106734812[[#This Row],[Equity Peak]],(Tabla336106734812[[#This Row],[Equity Peak]]-Tabla336106734812[[#This Row],[Equity]])/Tabla336106734812[[#This Row],[Equity Peak]],"")</f>
        <v>3.6158663883089769E-2</v>
      </c>
      <c r="V148" s="209">
        <f t="shared" si="64"/>
        <v>0</v>
      </c>
      <c r="W148" s="209">
        <f t="shared" si="65"/>
        <v>0</v>
      </c>
      <c r="X148" s="209">
        <f t="shared" si="66"/>
        <v>0</v>
      </c>
      <c r="Y148" s="209">
        <f t="shared" si="67"/>
        <v>0</v>
      </c>
      <c r="Z148" s="209">
        <f t="shared" si="68"/>
        <v>-1</v>
      </c>
      <c r="AA148" s="205">
        <f t="shared" si="69"/>
        <v>0</v>
      </c>
      <c r="AB148" s="209">
        <f t="shared" si="70"/>
        <v>0</v>
      </c>
      <c r="AC148" s="205">
        <f t="shared" si="71"/>
        <v>0</v>
      </c>
      <c r="AD148" s="210">
        <f t="shared" si="72"/>
        <v>0.10972222222335404</v>
      </c>
      <c r="AE148" s="210">
        <f t="shared" si="73"/>
        <v>0</v>
      </c>
      <c r="AF148" s="210">
        <f t="shared" si="74"/>
        <v>0.10972222222335404</v>
      </c>
      <c r="AG148" s="210">
        <f t="shared" si="75"/>
        <v>0</v>
      </c>
    </row>
    <row r="149" spans="2:33" ht="15" customHeight="1" x14ac:dyDescent="0.3">
      <c r="B149" s="196" t="s">
        <v>5</v>
      </c>
      <c r="C149" s="197" t="s">
        <v>13</v>
      </c>
      <c r="D149" s="198" t="str">
        <f t="shared" si="57"/>
        <v>C</v>
      </c>
      <c r="E149" s="199">
        <v>44631.927083333336</v>
      </c>
      <c r="F149" s="200" t="s">
        <v>93</v>
      </c>
      <c r="G149" s="201">
        <v>13399.15</v>
      </c>
      <c r="H149" s="201">
        <v>13458.31</v>
      </c>
      <c r="I149" s="202">
        <f t="shared" si="58"/>
        <v>59.159999999999854</v>
      </c>
      <c r="J149" s="201">
        <v>12768.13</v>
      </c>
      <c r="K149" s="199">
        <v>44634.538888888892</v>
      </c>
      <c r="L149" s="201">
        <v>13442.7</v>
      </c>
      <c r="M149" s="203">
        <f t="shared" si="59"/>
        <v>-43.55</v>
      </c>
      <c r="N149" s="204">
        <f t="shared" si="60"/>
        <v>-0.74</v>
      </c>
      <c r="O149" s="205">
        <f t="shared" si="61"/>
        <v>0</v>
      </c>
      <c r="P149" s="206">
        <f t="shared" si="62"/>
        <v>0</v>
      </c>
      <c r="Q149" s="206">
        <f t="shared" si="63"/>
        <v>-0.74</v>
      </c>
      <c r="R14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11642</v>
      </c>
      <c r="T14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49" s="208">
        <f ca="1">IF(Tabla336106734812[[#This Row],[Equity]]&lt;Tabla336106734812[[#This Row],[Equity Peak]],(Tabla336106734812[[#This Row],[Equity Peak]]-Tabla336106734812[[#This Row],[Equity]])/Tabla336106734812[[#This Row],[Equity Peak]],"")</f>
        <v>2.7807933194154488E-2</v>
      </c>
      <c r="V149" s="209">
        <f t="shared" si="64"/>
        <v>0</v>
      </c>
      <c r="W149" s="209">
        <f t="shared" si="65"/>
        <v>0</v>
      </c>
      <c r="X149" s="209">
        <f t="shared" si="66"/>
        <v>0</v>
      </c>
      <c r="Y149" s="209">
        <f t="shared" si="67"/>
        <v>0</v>
      </c>
      <c r="Z149" s="209">
        <f t="shared" si="68"/>
        <v>-0.74</v>
      </c>
      <c r="AA149" s="205">
        <f t="shared" si="69"/>
        <v>0</v>
      </c>
      <c r="AB149" s="209">
        <f t="shared" si="70"/>
        <v>0</v>
      </c>
      <c r="AC149" s="205">
        <f t="shared" si="71"/>
        <v>0</v>
      </c>
      <c r="AD149" s="210">
        <f t="shared" si="72"/>
        <v>2.6118055555562023</v>
      </c>
      <c r="AE149" s="210">
        <f t="shared" si="73"/>
        <v>0</v>
      </c>
      <c r="AF149" s="210">
        <f t="shared" si="74"/>
        <v>2.6118055555562023</v>
      </c>
      <c r="AG149" s="210">
        <f t="shared" si="75"/>
        <v>0</v>
      </c>
    </row>
    <row r="150" spans="2:33" ht="15" customHeight="1" x14ac:dyDescent="0.3">
      <c r="B150" s="196" t="s">
        <v>5</v>
      </c>
      <c r="C150" s="197" t="s">
        <v>13</v>
      </c>
      <c r="D150" s="198" t="str">
        <f t="shared" si="57"/>
        <v>C</v>
      </c>
      <c r="E150" s="199">
        <v>44627.854166666664</v>
      </c>
      <c r="F150" s="200" t="s">
        <v>93</v>
      </c>
      <c r="G150" s="201">
        <v>13477.7</v>
      </c>
      <c r="H150" s="201">
        <v>13546.56</v>
      </c>
      <c r="I150" s="202">
        <f t="shared" si="58"/>
        <v>68.859999999998763</v>
      </c>
      <c r="J150" s="201">
        <v>12743.21</v>
      </c>
      <c r="K150" s="199">
        <v>44628.425694444442</v>
      </c>
      <c r="L150" s="201">
        <v>13275.8</v>
      </c>
      <c r="M150" s="203">
        <f t="shared" si="59"/>
        <v>201.9</v>
      </c>
      <c r="N150" s="204">
        <f t="shared" si="60"/>
        <v>2.93</v>
      </c>
      <c r="O150" s="205">
        <f t="shared" si="61"/>
        <v>0</v>
      </c>
      <c r="P150" s="206">
        <f t="shared" si="62"/>
        <v>2.93</v>
      </c>
      <c r="Q150" s="206">
        <f t="shared" si="63"/>
        <v>0</v>
      </c>
      <c r="R15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11716</v>
      </c>
      <c r="T15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0" s="208">
        <f ca="1">IF(Tabla336106734812[[#This Row],[Equity]]&lt;Tabla336106734812[[#This Row],[Equity Peak]],(Tabla336106734812[[#This Row],[Equity Peak]]-Tabla336106734812[[#This Row],[Equity]])/Tabla336106734812[[#This Row],[Equity Peak]],"")</f>
        <v>2.1628392484342378E-2</v>
      </c>
      <c r="V150" s="209">
        <f t="shared" si="64"/>
        <v>0</v>
      </c>
      <c r="W150" s="209">
        <f t="shared" si="65"/>
        <v>0</v>
      </c>
      <c r="X150" s="209">
        <f t="shared" si="66"/>
        <v>0</v>
      </c>
      <c r="Y150" s="209">
        <f t="shared" si="67"/>
        <v>0</v>
      </c>
      <c r="Z150" s="209">
        <f t="shared" si="68"/>
        <v>2.93</v>
      </c>
      <c r="AA150" s="205">
        <f t="shared" si="69"/>
        <v>0</v>
      </c>
      <c r="AB150" s="209">
        <f t="shared" si="70"/>
        <v>0</v>
      </c>
      <c r="AC150" s="205">
        <f t="shared" si="71"/>
        <v>0</v>
      </c>
      <c r="AD150" s="210">
        <f t="shared" si="72"/>
        <v>0.57152777777810115</v>
      </c>
      <c r="AE150" s="210">
        <f t="shared" si="73"/>
        <v>0.57152777777810115</v>
      </c>
      <c r="AF150" s="210">
        <f t="shared" si="74"/>
        <v>0</v>
      </c>
      <c r="AG150" s="210">
        <f t="shared" si="75"/>
        <v>0</v>
      </c>
    </row>
    <row r="151" spans="2:33" ht="15" customHeight="1" x14ac:dyDescent="0.3">
      <c r="B151" s="196" t="s">
        <v>5</v>
      </c>
      <c r="C151" s="197" t="s">
        <v>13</v>
      </c>
      <c r="D151" s="198" t="str">
        <f t="shared" ref="D151:D182" si="76">IF(E151&lt;&gt;"",IF(K151&lt;&gt;"","C","O"),"")</f>
        <v>C</v>
      </c>
      <c r="E151" s="199">
        <v>44627.052083333336</v>
      </c>
      <c r="F151" s="200" t="s">
        <v>93</v>
      </c>
      <c r="G151" s="201">
        <v>13667.9</v>
      </c>
      <c r="H151" s="201">
        <v>13747.07</v>
      </c>
      <c r="I151" s="202">
        <f t="shared" ref="I151:I182" si="77">ABS(G151-H151)</f>
        <v>79.170000000000073</v>
      </c>
      <c r="J151" s="201">
        <v>12823.45</v>
      </c>
      <c r="K151" s="199">
        <v>44627.588888888888</v>
      </c>
      <c r="L151" s="201">
        <v>13708.75</v>
      </c>
      <c r="M151" s="203">
        <f t="shared" ref="M151:M182" si="78">ROUND(IF(C151="L",(L151-G151),(G151-L151)),4)</f>
        <v>-40.85</v>
      </c>
      <c r="N151" s="204">
        <f t="shared" ref="N151:N182" si="79">IFERROR(ROUND((M151/I151),2),"")</f>
        <v>-0.52</v>
      </c>
      <c r="O151" s="205">
        <f t="shared" ref="O151:O182" si="80">IF(D151="O",IF(N151&lt;0,N151,0),0)</f>
        <v>0</v>
      </c>
      <c r="P151" s="206">
        <f t="shared" ref="P151:P187" si="81">IF(N151&gt;= 0,N151,0)</f>
        <v>0</v>
      </c>
      <c r="Q151" s="206">
        <f t="shared" ref="Q151:Q187" si="82">IF(N151&lt;0,N151,0)</f>
        <v>-0.52</v>
      </c>
      <c r="R15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11423</v>
      </c>
      <c r="T15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1" s="208">
        <f ca="1">IF(Tabla336106734812[[#This Row],[Equity]]&lt;Tabla336106734812[[#This Row],[Equity Peak]],(Tabla336106734812[[#This Row],[Equity Peak]]-Tabla336106734812[[#This Row],[Equity]])/Tabla336106734812[[#This Row],[Equity Peak]],"")</f>
        <v>4.6096033402922759E-2</v>
      </c>
      <c r="V151" s="209">
        <f t="shared" ref="V151:V187" si="83">IF(B151="FX",N151,0)</f>
        <v>0</v>
      </c>
      <c r="W151" s="209">
        <f t="shared" ref="W151:W182" si="84">IF(D151="O",IF(V151&lt;0,V151,0),0)</f>
        <v>0</v>
      </c>
      <c r="X151" s="209">
        <f t="shared" ref="X151:X187" si="85">IF(B151="COM",N151,0)</f>
        <v>0</v>
      </c>
      <c r="Y151" s="209">
        <f t="shared" ref="Y151:Y182" si="86">IF(D151="O",IF(X151&lt;0,X151,0),0)</f>
        <v>0</v>
      </c>
      <c r="Z151" s="209">
        <f t="shared" ref="Z151:Z187" si="87">IF(B151="IND",N151,0)</f>
        <v>-0.52</v>
      </c>
      <c r="AA151" s="205">
        <f t="shared" ref="AA151:AA182" si="88">IF(D151="O",IF(Z151&lt;0,Z151,0),0)</f>
        <v>0</v>
      </c>
      <c r="AB151" s="209">
        <f t="shared" ref="AB151:AB187" si="89">IF(B151="CRYPTO",N151,0)</f>
        <v>0</v>
      </c>
      <c r="AC151" s="205">
        <f t="shared" ref="AC151:AC182" si="90">IF(D151="O",IF(AB151&lt;0,AB151,0),0)</f>
        <v>0</v>
      </c>
      <c r="AD151" s="210">
        <f t="shared" ref="AD151:AD187" si="91">IF(K151&lt;&gt;"",K151-E151,0)</f>
        <v>0.53680555555183673</v>
      </c>
      <c r="AE151" s="210">
        <f t="shared" ref="AE151:AE182" si="92">IF(N151&gt;0,AD151,0)</f>
        <v>0</v>
      </c>
      <c r="AF151" s="210">
        <f t="shared" ref="AF151:AF187" si="93">IF(N151&lt;0,AD151,0)</f>
        <v>0.53680555555183673</v>
      </c>
      <c r="AG151" s="210">
        <f t="shared" ref="AG151:AG187" si="94">IF(N151=0,AD151,0)</f>
        <v>0</v>
      </c>
    </row>
    <row r="152" spans="2:33" ht="15" customHeight="1" x14ac:dyDescent="0.3">
      <c r="B152" s="196" t="s">
        <v>5</v>
      </c>
      <c r="C152" s="197" t="s">
        <v>13</v>
      </c>
      <c r="D152" s="198" t="str">
        <f t="shared" si="76"/>
        <v>C</v>
      </c>
      <c r="E152" s="199">
        <v>44624.114583333336</v>
      </c>
      <c r="F152" s="200" t="s">
        <v>93</v>
      </c>
      <c r="G152" s="201">
        <v>13828.95</v>
      </c>
      <c r="H152" s="201">
        <v>13886.9</v>
      </c>
      <c r="I152" s="202">
        <f t="shared" si="77"/>
        <v>57.949999999998909</v>
      </c>
      <c r="J152" s="201">
        <v>13210.81</v>
      </c>
      <c r="K152" s="199">
        <v>44624.148611111108</v>
      </c>
      <c r="L152" s="201">
        <v>13886.9</v>
      </c>
      <c r="M152" s="203">
        <f t="shared" si="78"/>
        <v>-57.95</v>
      </c>
      <c r="N152" s="204">
        <f t="shared" si="79"/>
        <v>-1</v>
      </c>
      <c r="O152" s="205">
        <f t="shared" si="80"/>
        <v>0</v>
      </c>
      <c r="P152" s="206">
        <f t="shared" si="81"/>
        <v>0</v>
      </c>
      <c r="Q152" s="206">
        <f t="shared" si="82"/>
        <v>-1</v>
      </c>
      <c r="R15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11475</v>
      </c>
      <c r="T15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2" s="208">
        <f ca="1">IF(Tabla336106734812[[#This Row],[Equity]]&lt;Tabla336106734812[[#This Row],[Equity Peak]],(Tabla336106734812[[#This Row],[Equity Peak]]-Tabla336106734812[[#This Row],[Equity]])/Tabla336106734812[[#This Row],[Equity Peak]],"")</f>
        <v>4.1753653444676408E-2</v>
      </c>
      <c r="V152" s="209">
        <f t="shared" si="83"/>
        <v>0</v>
      </c>
      <c r="W152" s="209">
        <f t="shared" si="84"/>
        <v>0</v>
      </c>
      <c r="X152" s="209">
        <f t="shared" si="85"/>
        <v>0</v>
      </c>
      <c r="Y152" s="209">
        <f t="shared" si="86"/>
        <v>0</v>
      </c>
      <c r="Z152" s="209">
        <f t="shared" si="87"/>
        <v>-1</v>
      </c>
      <c r="AA152" s="205">
        <f t="shared" si="88"/>
        <v>0</v>
      </c>
      <c r="AB152" s="209">
        <f t="shared" si="89"/>
        <v>0</v>
      </c>
      <c r="AC152" s="205">
        <f t="shared" si="90"/>
        <v>0</v>
      </c>
      <c r="AD152" s="210">
        <f t="shared" si="91"/>
        <v>3.4027777772280388E-2</v>
      </c>
      <c r="AE152" s="210">
        <f t="shared" si="92"/>
        <v>0</v>
      </c>
      <c r="AF152" s="210">
        <f t="shared" si="93"/>
        <v>3.4027777772280388E-2</v>
      </c>
      <c r="AG152" s="210">
        <f t="shared" si="94"/>
        <v>0</v>
      </c>
    </row>
    <row r="153" spans="2:33" ht="15" customHeight="1" x14ac:dyDescent="0.3">
      <c r="B153" s="196" t="s">
        <v>5</v>
      </c>
      <c r="C153" s="197" t="s">
        <v>15</v>
      </c>
      <c r="D153" s="198" t="str">
        <f t="shared" si="76"/>
        <v>C</v>
      </c>
      <c r="E153" s="199">
        <v>44623.666666666664</v>
      </c>
      <c r="F153" s="200" t="s">
        <v>93</v>
      </c>
      <c r="G153" s="201">
        <v>14333.42</v>
      </c>
      <c r="H153" s="201">
        <v>14282.11</v>
      </c>
      <c r="I153" s="202">
        <f t="shared" si="77"/>
        <v>51.309999999999491</v>
      </c>
      <c r="J153" s="201">
        <v>14880.76</v>
      </c>
      <c r="K153" s="199">
        <v>44623.693055555559</v>
      </c>
      <c r="L153" s="201">
        <v>14282.11</v>
      </c>
      <c r="M153" s="203">
        <f t="shared" si="78"/>
        <v>-51.31</v>
      </c>
      <c r="N153" s="204">
        <f t="shared" si="79"/>
        <v>-1</v>
      </c>
      <c r="O153" s="205">
        <f t="shared" si="80"/>
        <v>0</v>
      </c>
      <c r="P153" s="206">
        <f t="shared" si="81"/>
        <v>0</v>
      </c>
      <c r="Q153" s="206">
        <f t="shared" si="82"/>
        <v>-1</v>
      </c>
      <c r="R15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11575</v>
      </c>
      <c r="T15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3" s="208">
        <f ca="1">IF(Tabla336106734812[[#This Row],[Equity]]&lt;Tabla336106734812[[#This Row],[Equity Peak]],(Tabla336106734812[[#This Row],[Equity Peak]]-Tabla336106734812[[#This Row],[Equity]])/Tabla336106734812[[#This Row],[Equity Peak]],"")</f>
        <v>3.3402922755741124E-2</v>
      </c>
      <c r="V153" s="209">
        <f t="shared" si="83"/>
        <v>0</v>
      </c>
      <c r="W153" s="209">
        <f t="shared" si="84"/>
        <v>0</v>
      </c>
      <c r="X153" s="209">
        <f t="shared" si="85"/>
        <v>0</v>
      </c>
      <c r="Y153" s="209">
        <f t="shared" si="86"/>
        <v>0</v>
      </c>
      <c r="Z153" s="209">
        <f t="shared" si="87"/>
        <v>-1</v>
      </c>
      <c r="AA153" s="205">
        <f t="shared" si="88"/>
        <v>0</v>
      </c>
      <c r="AB153" s="209">
        <f t="shared" si="89"/>
        <v>0</v>
      </c>
      <c r="AC153" s="205">
        <f t="shared" si="90"/>
        <v>0</v>
      </c>
      <c r="AD153" s="210">
        <f t="shared" si="91"/>
        <v>2.6388888894871343E-2</v>
      </c>
      <c r="AE153" s="210">
        <f t="shared" si="92"/>
        <v>0</v>
      </c>
      <c r="AF153" s="210">
        <f t="shared" si="93"/>
        <v>2.6388888894871343E-2</v>
      </c>
      <c r="AG153" s="210">
        <f t="shared" si="94"/>
        <v>0</v>
      </c>
    </row>
    <row r="154" spans="2:33" ht="15" customHeight="1" x14ac:dyDescent="0.3">
      <c r="B154" s="196" t="s">
        <v>5</v>
      </c>
      <c r="C154" s="197" t="s">
        <v>15</v>
      </c>
      <c r="D154" s="198" t="str">
        <f t="shared" si="76"/>
        <v>C</v>
      </c>
      <c r="E154" s="199">
        <v>44621.385416666664</v>
      </c>
      <c r="F154" s="200" t="s">
        <v>93</v>
      </c>
      <c r="G154" s="201">
        <v>14297.78</v>
      </c>
      <c r="H154" s="201">
        <v>14229.68</v>
      </c>
      <c r="I154" s="202">
        <f t="shared" si="77"/>
        <v>68.100000000000364</v>
      </c>
      <c r="J154" s="201">
        <v>15024.16</v>
      </c>
      <c r="K154" s="199">
        <v>44621.432638888888</v>
      </c>
      <c r="L154" s="201">
        <v>14229.68</v>
      </c>
      <c r="M154" s="203">
        <f t="shared" si="78"/>
        <v>-68.099999999999994</v>
      </c>
      <c r="N154" s="204">
        <f t="shared" si="79"/>
        <v>-1</v>
      </c>
      <c r="O154" s="205">
        <f t="shared" si="80"/>
        <v>0</v>
      </c>
      <c r="P154" s="206">
        <f t="shared" si="81"/>
        <v>0</v>
      </c>
      <c r="Q154" s="206">
        <f t="shared" si="82"/>
        <v>-1</v>
      </c>
      <c r="R15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11675</v>
      </c>
      <c r="T15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4" s="208">
        <f ca="1">IF(Tabla336106734812[[#This Row],[Equity]]&lt;Tabla336106734812[[#This Row],[Equity Peak]],(Tabla336106734812[[#This Row],[Equity Peak]]-Tabla336106734812[[#This Row],[Equity]])/Tabla336106734812[[#This Row],[Equity Peak]],"")</f>
        <v>2.5052192066805846E-2</v>
      </c>
      <c r="V154" s="209">
        <f t="shared" si="83"/>
        <v>0</v>
      </c>
      <c r="W154" s="209">
        <f t="shared" si="84"/>
        <v>0</v>
      </c>
      <c r="X154" s="209">
        <f t="shared" si="85"/>
        <v>0</v>
      </c>
      <c r="Y154" s="209">
        <f t="shared" si="86"/>
        <v>0</v>
      </c>
      <c r="Z154" s="209">
        <f t="shared" si="87"/>
        <v>-1</v>
      </c>
      <c r="AA154" s="205">
        <f t="shared" si="88"/>
        <v>0</v>
      </c>
      <c r="AB154" s="209">
        <f t="shared" si="89"/>
        <v>0</v>
      </c>
      <c r="AC154" s="205">
        <f t="shared" si="90"/>
        <v>0</v>
      </c>
      <c r="AD154" s="210">
        <f t="shared" si="91"/>
        <v>4.7222222223354038E-2</v>
      </c>
      <c r="AE154" s="210">
        <f t="shared" si="92"/>
        <v>0</v>
      </c>
      <c r="AF154" s="210">
        <f t="shared" si="93"/>
        <v>4.7222222223354038E-2</v>
      </c>
      <c r="AG154" s="210">
        <f t="shared" si="94"/>
        <v>0</v>
      </c>
    </row>
    <row r="155" spans="2:33" ht="15" customHeight="1" x14ac:dyDescent="0.3">
      <c r="B155" s="196" t="s">
        <v>5</v>
      </c>
      <c r="C155" s="197" t="s">
        <v>15</v>
      </c>
      <c r="D155" s="198" t="str">
        <f t="shared" si="76"/>
        <v>C</v>
      </c>
      <c r="E155" s="199">
        <v>44620.739583333336</v>
      </c>
      <c r="F155" s="200" t="s">
        <v>93</v>
      </c>
      <c r="G155" s="201">
        <v>14214.01</v>
      </c>
      <c r="H155" s="201">
        <v>14133.64</v>
      </c>
      <c r="I155" s="202">
        <f t="shared" si="77"/>
        <v>80.3700000000008</v>
      </c>
      <c r="J155" s="201">
        <v>15071.27</v>
      </c>
      <c r="K155" s="199">
        <v>44620.807638888888</v>
      </c>
      <c r="L155" s="201">
        <v>14133.64</v>
      </c>
      <c r="M155" s="203">
        <f t="shared" si="78"/>
        <v>-80.37</v>
      </c>
      <c r="N155" s="204">
        <f t="shared" si="79"/>
        <v>-1</v>
      </c>
      <c r="O155" s="205">
        <f t="shared" si="80"/>
        <v>0</v>
      </c>
      <c r="P155" s="206">
        <f t="shared" si="81"/>
        <v>0</v>
      </c>
      <c r="Q155" s="206">
        <f t="shared" si="82"/>
        <v>-1</v>
      </c>
      <c r="R15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11775</v>
      </c>
      <c r="T15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5" s="208">
        <f ca="1">IF(Tabla336106734812[[#This Row],[Equity]]&lt;Tabla336106734812[[#This Row],[Equity Peak]],(Tabla336106734812[[#This Row],[Equity Peak]]-Tabla336106734812[[#This Row],[Equity]])/Tabla336106734812[[#This Row],[Equity Peak]],"")</f>
        <v>1.6701461377870562E-2</v>
      </c>
      <c r="V155" s="209">
        <f t="shared" si="83"/>
        <v>0</v>
      </c>
      <c r="W155" s="209">
        <f t="shared" si="84"/>
        <v>0</v>
      </c>
      <c r="X155" s="209">
        <f t="shared" si="85"/>
        <v>0</v>
      </c>
      <c r="Y155" s="209">
        <f t="shared" si="86"/>
        <v>0</v>
      </c>
      <c r="Z155" s="209">
        <f t="shared" si="87"/>
        <v>-1</v>
      </c>
      <c r="AA155" s="205">
        <f t="shared" si="88"/>
        <v>0</v>
      </c>
      <c r="AB155" s="209">
        <f t="shared" si="89"/>
        <v>0</v>
      </c>
      <c r="AC155" s="205">
        <f t="shared" si="90"/>
        <v>0</v>
      </c>
      <c r="AD155" s="210">
        <f t="shared" si="91"/>
        <v>6.8055555551836733E-2</v>
      </c>
      <c r="AE155" s="210">
        <f t="shared" si="92"/>
        <v>0</v>
      </c>
      <c r="AF155" s="210">
        <f t="shared" si="93"/>
        <v>6.8055555551836733E-2</v>
      </c>
      <c r="AG155" s="210">
        <f t="shared" si="94"/>
        <v>0</v>
      </c>
    </row>
    <row r="156" spans="2:33" ht="15" customHeight="1" x14ac:dyDescent="0.3">
      <c r="B156" s="196" t="s">
        <v>5</v>
      </c>
      <c r="C156" s="197" t="s">
        <v>15</v>
      </c>
      <c r="D156" s="198" t="str">
        <f t="shared" si="76"/>
        <v>C</v>
      </c>
      <c r="E156" s="199">
        <v>44617.770833333336</v>
      </c>
      <c r="F156" s="200" t="s">
        <v>93</v>
      </c>
      <c r="G156" s="201">
        <v>14119.92</v>
      </c>
      <c r="H156" s="201">
        <v>14035.99</v>
      </c>
      <c r="I156" s="202">
        <f t="shared" si="77"/>
        <v>83.930000000000291</v>
      </c>
      <c r="J156" s="201">
        <v>15015.14</v>
      </c>
      <c r="K156" s="199">
        <v>44620.041666666664</v>
      </c>
      <c r="L156" s="201">
        <v>14035.99</v>
      </c>
      <c r="M156" s="203">
        <f t="shared" si="78"/>
        <v>-83.93</v>
      </c>
      <c r="N156" s="204">
        <f t="shared" si="79"/>
        <v>-1</v>
      </c>
      <c r="O156" s="205">
        <f t="shared" si="80"/>
        <v>0</v>
      </c>
      <c r="P156" s="206">
        <f t="shared" si="81"/>
        <v>0</v>
      </c>
      <c r="Q156" s="206">
        <f t="shared" si="82"/>
        <v>-1</v>
      </c>
      <c r="R15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11875</v>
      </c>
      <c r="T15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6" s="208">
        <f ca="1">IF(Tabla336106734812[[#This Row],[Equity]]&lt;Tabla336106734812[[#This Row],[Equity Peak]],(Tabla336106734812[[#This Row],[Equity Peak]]-Tabla336106734812[[#This Row],[Equity]])/Tabla336106734812[[#This Row],[Equity Peak]],"")</f>
        <v>8.350730688935281E-3</v>
      </c>
      <c r="V156" s="209">
        <f t="shared" si="83"/>
        <v>0</v>
      </c>
      <c r="W156" s="209">
        <f t="shared" si="84"/>
        <v>0</v>
      </c>
      <c r="X156" s="209">
        <f t="shared" si="85"/>
        <v>0</v>
      </c>
      <c r="Y156" s="209">
        <f t="shared" si="86"/>
        <v>0</v>
      </c>
      <c r="Z156" s="209">
        <f t="shared" si="87"/>
        <v>-1</v>
      </c>
      <c r="AA156" s="205">
        <f t="shared" si="88"/>
        <v>0</v>
      </c>
      <c r="AB156" s="209">
        <f t="shared" si="89"/>
        <v>0</v>
      </c>
      <c r="AC156" s="205">
        <f t="shared" si="90"/>
        <v>0</v>
      </c>
      <c r="AD156" s="210">
        <f t="shared" si="91"/>
        <v>2.2708333333284827</v>
      </c>
      <c r="AE156" s="210">
        <f t="shared" si="92"/>
        <v>0</v>
      </c>
      <c r="AF156" s="210">
        <f t="shared" si="93"/>
        <v>2.2708333333284827</v>
      </c>
      <c r="AG156" s="210">
        <f t="shared" si="94"/>
        <v>0</v>
      </c>
    </row>
    <row r="157" spans="2:33" ht="15" customHeight="1" x14ac:dyDescent="0.3">
      <c r="B157" s="196" t="s">
        <v>5</v>
      </c>
      <c r="C157" s="197" t="s">
        <v>13</v>
      </c>
      <c r="D157" s="198" t="str">
        <f t="shared" si="76"/>
        <v>C</v>
      </c>
      <c r="E157" s="199">
        <v>44615.90625</v>
      </c>
      <c r="F157" s="200" t="s">
        <v>93</v>
      </c>
      <c r="G157" s="201">
        <v>13572.05</v>
      </c>
      <c r="H157" s="201">
        <v>13626.69</v>
      </c>
      <c r="I157" s="202">
        <f t="shared" si="77"/>
        <v>54.640000000001237</v>
      </c>
      <c r="J157" s="201">
        <v>12989.18</v>
      </c>
      <c r="K157" s="199">
        <v>44616.45208333333</v>
      </c>
      <c r="L157" s="201">
        <v>13207.08</v>
      </c>
      <c r="M157" s="203">
        <f t="shared" si="78"/>
        <v>364.97</v>
      </c>
      <c r="N157" s="204">
        <f t="shared" si="79"/>
        <v>6.68</v>
      </c>
      <c r="O157" s="205">
        <f t="shared" si="80"/>
        <v>0</v>
      </c>
      <c r="P157" s="206">
        <f t="shared" si="81"/>
        <v>6.68</v>
      </c>
      <c r="Q157" s="206">
        <f t="shared" si="82"/>
        <v>0</v>
      </c>
      <c r="R15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11975</v>
      </c>
      <c r="T15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11975</v>
      </c>
      <c r="U157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7" s="209">
        <f t="shared" si="83"/>
        <v>0</v>
      </c>
      <c r="W157" s="209">
        <f t="shared" si="84"/>
        <v>0</v>
      </c>
      <c r="X157" s="209">
        <f t="shared" si="85"/>
        <v>0</v>
      </c>
      <c r="Y157" s="209">
        <f t="shared" si="86"/>
        <v>0</v>
      </c>
      <c r="Z157" s="209">
        <f t="shared" si="87"/>
        <v>6.68</v>
      </c>
      <c r="AA157" s="205">
        <f t="shared" si="88"/>
        <v>0</v>
      </c>
      <c r="AB157" s="209">
        <f t="shared" si="89"/>
        <v>0</v>
      </c>
      <c r="AC157" s="205">
        <f t="shared" si="90"/>
        <v>0</v>
      </c>
      <c r="AD157" s="210">
        <f t="shared" si="91"/>
        <v>0.54583333332993789</v>
      </c>
      <c r="AE157" s="210">
        <f t="shared" si="92"/>
        <v>0.54583333332993789</v>
      </c>
      <c r="AF157" s="210">
        <f t="shared" si="93"/>
        <v>0</v>
      </c>
      <c r="AG157" s="210">
        <f t="shared" si="94"/>
        <v>0</v>
      </c>
    </row>
    <row r="158" spans="2:33" ht="15" customHeight="1" x14ac:dyDescent="0.3">
      <c r="B158" s="196" t="s">
        <v>5</v>
      </c>
      <c r="C158" s="197" t="s">
        <v>13</v>
      </c>
      <c r="D158" s="198" t="str">
        <f t="shared" si="76"/>
        <v>C</v>
      </c>
      <c r="E158" s="199">
        <v>44613.791666666664</v>
      </c>
      <c r="F158" s="200" t="s">
        <v>93</v>
      </c>
      <c r="G158" s="201">
        <v>13766.39</v>
      </c>
      <c r="H158" s="201">
        <v>13828.6</v>
      </c>
      <c r="I158" s="202">
        <f t="shared" si="77"/>
        <v>62.210000000000946</v>
      </c>
      <c r="J158" s="201">
        <v>13102.84</v>
      </c>
      <c r="K158" s="199">
        <v>44614.480555555558</v>
      </c>
      <c r="L158" s="201">
        <v>13753.04</v>
      </c>
      <c r="M158" s="203">
        <f t="shared" si="78"/>
        <v>13.35</v>
      </c>
      <c r="N158" s="204">
        <f t="shared" si="79"/>
        <v>0.21</v>
      </c>
      <c r="O158" s="205">
        <f t="shared" si="80"/>
        <v>0</v>
      </c>
      <c r="P158" s="206">
        <f t="shared" si="81"/>
        <v>0.21</v>
      </c>
      <c r="Q158" s="206">
        <f t="shared" si="82"/>
        <v>0</v>
      </c>
      <c r="R15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11307</v>
      </c>
      <c r="T15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11494</v>
      </c>
      <c r="U158" s="208">
        <f ca="1">IF(Tabla336106734812[[#This Row],[Equity]]&lt;Tabla336106734812[[#This Row],[Equity Peak]],(Tabla336106734812[[#This Row],[Equity Peak]]-Tabla336106734812[[#This Row],[Equity]])/Tabla336106734812[[#This Row],[Equity Peak]],"")</f>
        <v>1.6269357925874368E-2</v>
      </c>
      <c r="V158" s="209">
        <f t="shared" si="83"/>
        <v>0</v>
      </c>
      <c r="W158" s="209">
        <f t="shared" si="84"/>
        <v>0</v>
      </c>
      <c r="X158" s="209">
        <f t="shared" si="85"/>
        <v>0</v>
      </c>
      <c r="Y158" s="209">
        <f t="shared" si="86"/>
        <v>0</v>
      </c>
      <c r="Z158" s="209">
        <f t="shared" si="87"/>
        <v>0.21</v>
      </c>
      <c r="AA158" s="205">
        <f t="shared" si="88"/>
        <v>0</v>
      </c>
      <c r="AB158" s="209">
        <f t="shared" si="89"/>
        <v>0</v>
      </c>
      <c r="AC158" s="205">
        <f t="shared" si="90"/>
        <v>0</v>
      </c>
      <c r="AD158" s="210">
        <f t="shared" si="91"/>
        <v>0.68888888889341615</v>
      </c>
      <c r="AE158" s="210">
        <f t="shared" si="92"/>
        <v>0.68888888889341615</v>
      </c>
      <c r="AF158" s="210">
        <f t="shared" si="93"/>
        <v>0</v>
      </c>
      <c r="AG158" s="210">
        <f t="shared" si="94"/>
        <v>0</v>
      </c>
    </row>
    <row r="159" spans="2:33" ht="15" customHeight="1" x14ac:dyDescent="0.3">
      <c r="B159" s="196" t="s">
        <v>5</v>
      </c>
      <c r="C159" s="197" t="s">
        <v>13</v>
      </c>
      <c r="D159" s="198" t="str">
        <f t="shared" si="76"/>
        <v>C</v>
      </c>
      <c r="E159" s="199">
        <v>44613.645833333336</v>
      </c>
      <c r="F159" s="200" t="s">
        <v>93</v>
      </c>
      <c r="G159" s="201">
        <v>13798.04</v>
      </c>
      <c r="H159" s="201">
        <v>13866.22</v>
      </c>
      <c r="I159" s="202">
        <f t="shared" si="77"/>
        <v>68.179999999998472</v>
      </c>
      <c r="J159" s="201">
        <v>13070.79</v>
      </c>
      <c r="K159" s="199">
        <v>44613.680555555555</v>
      </c>
      <c r="L159" s="201">
        <v>13866.22</v>
      </c>
      <c r="M159" s="203">
        <f t="shared" si="78"/>
        <v>-68.180000000000007</v>
      </c>
      <c r="N159" s="204">
        <f t="shared" si="79"/>
        <v>-1</v>
      </c>
      <c r="O159" s="205">
        <f t="shared" si="80"/>
        <v>0</v>
      </c>
      <c r="P159" s="206">
        <f t="shared" si="81"/>
        <v>0</v>
      </c>
      <c r="Q159" s="206">
        <f t="shared" si="82"/>
        <v>-1</v>
      </c>
      <c r="R15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11286</v>
      </c>
      <c r="T15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11494</v>
      </c>
      <c r="U159" s="208">
        <f ca="1">IF(Tabla336106734812[[#This Row],[Equity]]&lt;Tabla336106734812[[#This Row],[Equity Peak]],(Tabla336106734812[[#This Row],[Equity Peak]]-Tabla336106734812[[#This Row],[Equity]])/Tabla336106734812[[#This Row],[Equity Peak]],"")</f>
        <v>1.8096398120758656E-2</v>
      </c>
      <c r="V159" s="209">
        <f t="shared" si="83"/>
        <v>0</v>
      </c>
      <c r="W159" s="209">
        <f t="shared" si="84"/>
        <v>0</v>
      </c>
      <c r="X159" s="209">
        <f t="shared" si="85"/>
        <v>0</v>
      </c>
      <c r="Y159" s="209">
        <f t="shared" si="86"/>
        <v>0</v>
      </c>
      <c r="Z159" s="209">
        <f t="shared" si="87"/>
        <v>-1</v>
      </c>
      <c r="AA159" s="205">
        <f t="shared" si="88"/>
        <v>0</v>
      </c>
      <c r="AB159" s="209">
        <f t="shared" si="89"/>
        <v>0</v>
      </c>
      <c r="AC159" s="205">
        <f t="shared" si="90"/>
        <v>0</v>
      </c>
      <c r="AD159" s="210">
        <f t="shared" si="91"/>
        <v>3.4722222218988463E-2</v>
      </c>
      <c r="AE159" s="210">
        <f t="shared" si="92"/>
        <v>0</v>
      </c>
      <c r="AF159" s="210">
        <f t="shared" si="93"/>
        <v>3.4722222218988463E-2</v>
      </c>
      <c r="AG159" s="210">
        <f t="shared" si="94"/>
        <v>0</v>
      </c>
    </row>
    <row r="160" spans="2:33" ht="15" customHeight="1" x14ac:dyDescent="0.3">
      <c r="B160" s="196" t="s">
        <v>5</v>
      </c>
      <c r="C160" s="197" t="s">
        <v>13</v>
      </c>
      <c r="D160" s="198" t="str">
        <f t="shared" si="76"/>
        <v>C</v>
      </c>
      <c r="E160" s="199">
        <v>44609.84375</v>
      </c>
      <c r="F160" s="200" t="s">
        <v>93</v>
      </c>
      <c r="G160" s="201">
        <v>14304.31</v>
      </c>
      <c r="H160" s="201">
        <v>14355.39</v>
      </c>
      <c r="I160" s="202">
        <f t="shared" si="77"/>
        <v>51.079999999999927</v>
      </c>
      <c r="J160" s="201">
        <v>13759.47</v>
      </c>
      <c r="K160" s="199">
        <v>44610.154166666667</v>
      </c>
      <c r="L160" s="201">
        <v>14257.36</v>
      </c>
      <c r="M160" s="203">
        <f t="shared" si="78"/>
        <v>46.95</v>
      </c>
      <c r="N160" s="204">
        <f t="shared" si="79"/>
        <v>0.92</v>
      </c>
      <c r="O160" s="205">
        <f t="shared" si="80"/>
        <v>0</v>
      </c>
      <c r="P160" s="206">
        <f t="shared" si="81"/>
        <v>0.92</v>
      </c>
      <c r="Q160" s="206">
        <f t="shared" si="82"/>
        <v>0</v>
      </c>
      <c r="R16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11386</v>
      </c>
      <c r="T16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11494</v>
      </c>
      <c r="U160" s="208">
        <f ca="1">IF(Tabla336106734812[[#This Row],[Equity]]&lt;Tabla336106734812[[#This Row],[Equity Peak]],(Tabla336106734812[[#This Row],[Equity Peak]]-Tabla336106734812[[#This Row],[Equity]])/Tabla336106734812[[#This Row],[Equity Peak]],"")</f>
        <v>9.3962067165477645E-3</v>
      </c>
      <c r="V160" s="209">
        <f t="shared" si="83"/>
        <v>0</v>
      </c>
      <c r="W160" s="209">
        <f t="shared" si="84"/>
        <v>0</v>
      </c>
      <c r="X160" s="209">
        <f t="shared" si="85"/>
        <v>0</v>
      </c>
      <c r="Y160" s="209">
        <f t="shared" si="86"/>
        <v>0</v>
      </c>
      <c r="Z160" s="209">
        <f t="shared" si="87"/>
        <v>0.92</v>
      </c>
      <c r="AA160" s="205">
        <f t="shared" si="88"/>
        <v>0</v>
      </c>
      <c r="AB160" s="209">
        <f t="shared" si="89"/>
        <v>0</v>
      </c>
      <c r="AC160" s="205">
        <f t="shared" si="90"/>
        <v>0</v>
      </c>
      <c r="AD160" s="210">
        <f t="shared" si="91"/>
        <v>0.31041666666715173</v>
      </c>
      <c r="AE160" s="210">
        <f t="shared" si="92"/>
        <v>0.31041666666715173</v>
      </c>
      <c r="AF160" s="210">
        <f t="shared" si="93"/>
        <v>0</v>
      </c>
      <c r="AG160" s="210">
        <f t="shared" si="94"/>
        <v>0</v>
      </c>
    </row>
    <row r="161" spans="2:33" ht="15" customHeight="1" x14ac:dyDescent="0.3">
      <c r="B161" s="196" t="s">
        <v>5</v>
      </c>
      <c r="C161" s="197" t="s">
        <v>13</v>
      </c>
      <c r="D161" s="198" t="str">
        <f t="shared" si="76"/>
        <v>C</v>
      </c>
      <c r="E161" s="199">
        <v>44609.729166666664</v>
      </c>
      <c r="F161" s="200" t="s">
        <v>93</v>
      </c>
      <c r="G161" s="201">
        <v>14338.68</v>
      </c>
      <c r="H161" s="201">
        <v>14388.16</v>
      </c>
      <c r="I161" s="202">
        <f t="shared" si="77"/>
        <v>49.479999999999563</v>
      </c>
      <c r="J161" s="201">
        <v>13810.89</v>
      </c>
      <c r="K161" s="199">
        <v>44609.761805555558</v>
      </c>
      <c r="L161" s="201">
        <v>14388.16</v>
      </c>
      <c r="M161" s="203">
        <f t="shared" si="78"/>
        <v>-49.48</v>
      </c>
      <c r="N161" s="204">
        <f t="shared" si="79"/>
        <v>-1</v>
      </c>
      <c r="O161" s="205">
        <f t="shared" si="80"/>
        <v>0</v>
      </c>
      <c r="P161" s="206">
        <f t="shared" si="81"/>
        <v>0</v>
      </c>
      <c r="Q161" s="206">
        <f t="shared" si="82"/>
        <v>-1</v>
      </c>
      <c r="R16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11294</v>
      </c>
      <c r="T16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11494</v>
      </c>
      <c r="U161" s="208">
        <f ca="1">IF(Tabla336106734812[[#This Row],[Equity]]&lt;Tabla336106734812[[#This Row],[Equity Peak]],(Tabla336106734812[[#This Row],[Equity Peak]]-Tabla336106734812[[#This Row],[Equity]])/Tabla336106734812[[#This Row],[Equity Peak]],"")</f>
        <v>1.7400382808421787E-2</v>
      </c>
      <c r="V161" s="209">
        <f t="shared" si="83"/>
        <v>0</v>
      </c>
      <c r="W161" s="209">
        <f t="shared" si="84"/>
        <v>0</v>
      </c>
      <c r="X161" s="209">
        <f t="shared" si="85"/>
        <v>0</v>
      </c>
      <c r="Y161" s="209">
        <f t="shared" si="86"/>
        <v>0</v>
      </c>
      <c r="Z161" s="209">
        <f t="shared" si="87"/>
        <v>-1</v>
      </c>
      <c r="AA161" s="205">
        <f t="shared" si="88"/>
        <v>0</v>
      </c>
      <c r="AB161" s="209">
        <f t="shared" si="89"/>
        <v>0</v>
      </c>
      <c r="AC161" s="205">
        <f t="shared" si="90"/>
        <v>0</v>
      </c>
      <c r="AD161" s="210">
        <f t="shared" si="91"/>
        <v>3.2638888893416151E-2</v>
      </c>
      <c r="AE161" s="210">
        <f t="shared" si="92"/>
        <v>0</v>
      </c>
      <c r="AF161" s="210">
        <f t="shared" si="93"/>
        <v>3.2638888893416151E-2</v>
      </c>
      <c r="AG161" s="210">
        <f t="shared" si="94"/>
        <v>0</v>
      </c>
    </row>
    <row r="162" spans="2:33" ht="15" customHeight="1" x14ac:dyDescent="0.3">
      <c r="B162" s="196" t="s">
        <v>5</v>
      </c>
      <c r="C162" s="197" t="s">
        <v>15</v>
      </c>
      <c r="D162" s="198" t="str">
        <f t="shared" si="76"/>
        <v>C</v>
      </c>
      <c r="E162" s="199">
        <v>44608.4375</v>
      </c>
      <c r="F162" s="200" t="s">
        <v>93</v>
      </c>
      <c r="G162" s="201">
        <v>14636.74</v>
      </c>
      <c r="H162" s="201">
        <v>14596.37</v>
      </c>
      <c r="I162" s="202">
        <f t="shared" si="77"/>
        <v>40.369999999998981</v>
      </c>
      <c r="J162" s="201">
        <v>15067.39</v>
      </c>
      <c r="K162" s="199">
        <v>44608.500694444447</v>
      </c>
      <c r="L162" s="201">
        <v>14596.37</v>
      </c>
      <c r="M162" s="203">
        <f t="shared" si="78"/>
        <v>-40.369999999999997</v>
      </c>
      <c r="N162" s="204">
        <f t="shared" si="79"/>
        <v>-1</v>
      </c>
      <c r="O162" s="205">
        <f t="shared" si="80"/>
        <v>0</v>
      </c>
      <c r="P162" s="206">
        <f t="shared" si="81"/>
        <v>0</v>
      </c>
      <c r="Q162" s="206">
        <f t="shared" si="82"/>
        <v>-1</v>
      </c>
      <c r="R16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11394</v>
      </c>
      <c r="T16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11494</v>
      </c>
      <c r="U162" s="208">
        <f ca="1">IF(Tabla336106734812[[#This Row],[Equity]]&lt;Tabla336106734812[[#This Row],[Equity Peak]],(Tabla336106734812[[#This Row],[Equity Peak]]-Tabla336106734812[[#This Row],[Equity]])/Tabla336106734812[[#This Row],[Equity Peak]],"")</f>
        <v>8.7001914042108934E-3</v>
      </c>
      <c r="V162" s="209">
        <f t="shared" si="83"/>
        <v>0</v>
      </c>
      <c r="W162" s="209">
        <f t="shared" si="84"/>
        <v>0</v>
      </c>
      <c r="X162" s="209">
        <f t="shared" si="85"/>
        <v>0</v>
      </c>
      <c r="Y162" s="209">
        <f t="shared" si="86"/>
        <v>0</v>
      </c>
      <c r="Z162" s="209">
        <f t="shared" si="87"/>
        <v>-1</v>
      </c>
      <c r="AA162" s="205">
        <f t="shared" si="88"/>
        <v>0</v>
      </c>
      <c r="AB162" s="209">
        <f t="shared" si="89"/>
        <v>0</v>
      </c>
      <c r="AC162" s="205">
        <f t="shared" si="90"/>
        <v>0</v>
      </c>
      <c r="AD162" s="210">
        <f t="shared" si="91"/>
        <v>6.3194444446708076E-2</v>
      </c>
      <c r="AE162" s="210">
        <f t="shared" si="92"/>
        <v>0</v>
      </c>
      <c r="AF162" s="210">
        <f t="shared" si="93"/>
        <v>6.3194444446708076E-2</v>
      </c>
      <c r="AG162" s="210">
        <f t="shared" si="94"/>
        <v>0</v>
      </c>
    </row>
    <row r="163" spans="2:33" ht="15" customHeight="1" x14ac:dyDescent="0.3">
      <c r="B163" s="196" t="s">
        <v>5</v>
      </c>
      <c r="C163" s="197" t="s">
        <v>13</v>
      </c>
      <c r="D163" s="198" t="str">
        <f t="shared" si="76"/>
        <v>C</v>
      </c>
      <c r="E163" s="199">
        <v>44603.833333333336</v>
      </c>
      <c r="F163" s="200" t="s">
        <v>93</v>
      </c>
      <c r="G163" s="201">
        <v>14511.44</v>
      </c>
      <c r="H163" s="201">
        <v>14570.34</v>
      </c>
      <c r="I163" s="202">
        <f t="shared" si="77"/>
        <v>58.899999999999636</v>
      </c>
      <c r="J163" s="201">
        <v>13883.14</v>
      </c>
      <c r="K163" s="199">
        <v>44606.613194444442</v>
      </c>
      <c r="L163" s="201">
        <v>14221.39</v>
      </c>
      <c r="M163" s="203">
        <f t="shared" si="78"/>
        <v>290.05</v>
      </c>
      <c r="N163" s="204">
        <f t="shared" si="79"/>
        <v>4.92</v>
      </c>
      <c r="O163" s="205">
        <f t="shared" si="80"/>
        <v>0</v>
      </c>
      <c r="P163" s="206">
        <f t="shared" si="81"/>
        <v>4.92</v>
      </c>
      <c r="Q163" s="206">
        <f t="shared" si="82"/>
        <v>0</v>
      </c>
      <c r="R16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11494</v>
      </c>
      <c r="T16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11494</v>
      </c>
      <c r="U163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63" s="209">
        <f t="shared" si="83"/>
        <v>0</v>
      </c>
      <c r="W163" s="209">
        <f t="shared" si="84"/>
        <v>0</v>
      </c>
      <c r="X163" s="209">
        <f t="shared" si="85"/>
        <v>0</v>
      </c>
      <c r="Y163" s="209">
        <f t="shared" si="86"/>
        <v>0</v>
      </c>
      <c r="Z163" s="209">
        <f t="shared" si="87"/>
        <v>4.92</v>
      </c>
      <c r="AA163" s="205">
        <f t="shared" si="88"/>
        <v>0</v>
      </c>
      <c r="AB163" s="209">
        <f t="shared" si="89"/>
        <v>0</v>
      </c>
      <c r="AC163" s="205">
        <f t="shared" si="90"/>
        <v>0</v>
      </c>
      <c r="AD163" s="210">
        <f t="shared" si="91"/>
        <v>2.7798611111065838</v>
      </c>
      <c r="AE163" s="210">
        <f t="shared" si="92"/>
        <v>2.7798611111065838</v>
      </c>
      <c r="AF163" s="210">
        <f t="shared" si="93"/>
        <v>0</v>
      </c>
      <c r="AG163" s="210">
        <f t="shared" si="94"/>
        <v>0</v>
      </c>
    </row>
    <row r="164" spans="2:33" ht="15" customHeight="1" x14ac:dyDescent="0.3">
      <c r="B164" s="196" t="s">
        <v>5</v>
      </c>
      <c r="C164" s="197" t="s">
        <v>13</v>
      </c>
      <c r="D164" s="198" t="str">
        <f t="shared" si="76"/>
        <v>C</v>
      </c>
      <c r="E164" s="199">
        <v>44603.28125</v>
      </c>
      <c r="F164" s="200" t="s">
        <v>93</v>
      </c>
      <c r="G164" s="201">
        <v>14586.74</v>
      </c>
      <c r="H164" s="201">
        <v>14645.41</v>
      </c>
      <c r="I164" s="202">
        <f t="shared" si="77"/>
        <v>58.670000000000073</v>
      </c>
      <c r="J164" s="201">
        <v>13960.93</v>
      </c>
      <c r="K164" s="199">
        <v>44603.422222222223</v>
      </c>
      <c r="L164" s="201">
        <v>14645.41</v>
      </c>
      <c r="M164" s="203">
        <f t="shared" si="78"/>
        <v>-58.67</v>
      </c>
      <c r="N164" s="204">
        <f t="shared" si="79"/>
        <v>-1</v>
      </c>
      <c r="O164" s="205">
        <f t="shared" si="80"/>
        <v>0</v>
      </c>
      <c r="P164" s="206">
        <f t="shared" si="81"/>
        <v>0</v>
      </c>
      <c r="Q164" s="206">
        <f t="shared" si="82"/>
        <v>-1</v>
      </c>
      <c r="R16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11002</v>
      </c>
      <c r="T16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11102</v>
      </c>
      <c r="U164" s="208">
        <f ca="1">IF(Tabla336106734812[[#This Row],[Equity]]&lt;Tabla336106734812[[#This Row],[Equity Peak]],(Tabla336106734812[[#This Row],[Equity Peak]]-Tabla336106734812[[#This Row],[Equity]])/Tabla336106734812[[#This Row],[Equity Peak]],"")</f>
        <v>9.0073860565663844E-3</v>
      </c>
      <c r="V164" s="209">
        <f t="shared" si="83"/>
        <v>0</v>
      </c>
      <c r="W164" s="209">
        <f t="shared" si="84"/>
        <v>0</v>
      </c>
      <c r="X164" s="209">
        <f t="shared" si="85"/>
        <v>0</v>
      </c>
      <c r="Y164" s="209">
        <f t="shared" si="86"/>
        <v>0</v>
      </c>
      <c r="Z164" s="209">
        <f t="shared" si="87"/>
        <v>-1</v>
      </c>
      <c r="AA164" s="205">
        <f t="shared" si="88"/>
        <v>0</v>
      </c>
      <c r="AB164" s="209">
        <f t="shared" si="89"/>
        <v>0</v>
      </c>
      <c r="AC164" s="205">
        <f t="shared" si="90"/>
        <v>0</v>
      </c>
      <c r="AD164" s="210">
        <f t="shared" si="91"/>
        <v>0.14097222222335404</v>
      </c>
      <c r="AE164" s="210">
        <f t="shared" si="92"/>
        <v>0</v>
      </c>
      <c r="AF164" s="210">
        <f t="shared" si="93"/>
        <v>0.14097222222335404</v>
      </c>
      <c r="AG164" s="210">
        <f t="shared" si="94"/>
        <v>0</v>
      </c>
    </row>
    <row r="165" spans="2:33" ht="15" customHeight="1" x14ac:dyDescent="0.3">
      <c r="B165" s="196" t="s">
        <v>5</v>
      </c>
      <c r="C165" s="197" t="s">
        <v>15</v>
      </c>
      <c r="D165" s="198" t="str">
        <f t="shared" si="76"/>
        <v>C</v>
      </c>
      <c r="E165" s="199">
        <v>44601.458333333336</v>
      </c>
      <c r="F165" s="200" t="s">
        <v>93</v>
      </c>
      <c r="G165" s="201">
        <v>14850.76</v>
      </c>
      <c r="H165" s="201">
        <v>14807.63</v>
      </c>
      <c r="I165" s="202">
        <f t="shared" si="77"/>
        <v>43.130000000001019</v>
      </c>
      <c r="J165" s="201">
        <v>15310.86</v>
      </c>
      <c r="K165" s="199">
        <v>44602.181250000001</v>
      </c>
      <c r="L165" s="201">
        <v>14989.14</v>
      </c>
      <c r="M165" s="203">
        <f t="shared" si="78"/>
        <v>138.38</v>
      </c>
      <c r="N165" s="204">
        <f t="shared" si="79"/>
        <v>3.21</v>
      </c>
      <c r="O165" s="205">
        <f t="shared" si="80"/>
        <v>0</v>
      </c>
      <c r="P165" s="206">
        <f t="shared" si="81"/>
        <v>3.21</v>
      </c>
      <c r="Q165" s="206">
        <f t="shared" si="82"/>
        <v>0</v>
      </c>
      <c r="R16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11102</v>
      </c>
      <c r="T16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11102</v>
      </c>
      <c r="U165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65" s="209">
        <f t="shared" si="83"/>
        <v>0</v>
      </c>
      <c r="W165" s="209">
        <f t="shared" si="84"/>
        <v>0</v>
      </c>
      <c r="X165" s="209">
        <f t="shared" si="85"/>
        <v>0</v>
      </c>
      <c r="Y165" s="209">
        <f t="shared" si="86"/>
        <v>0</v>
      </c>
      <c r="Z165" s="209">
        <f t="shared" si="87"/>
        <v>3.21</v>
      </c>
      <c r="AA165" s="205">
        <f t="shared" si="88"/>
        <v>0</v>
      </c>
      <c r="AB165" s="209">
        <f t="shared" si="89"/>
        <v>0</v>
      </c>
      <c r="AC165" s="205">
        <f t="shared" si="90"/>
        <v>0</v>
      </c>
      <c r="AD165" s="210">
        <f t="shared" si="91"/>
        <v>0.72291666666569654</v>
      </c>
      <c r="AE165" s="210">
        <f t="shared" si="92"/>
        <v>0.72291666666569654</v>
      </c>
      <c r="AF165" s="210">
        <f t="shared" si="93"/>
        <v>0</v>
      </c>
      <c r="AG165" s="210">
        <f t="shared" si="94"/>
        <v>0</v>
      </c>
    </row>
    <row r="166" spans="2:33" ht="15" customHeight="1" x14ac:dyDescent="0.3">
      <c r="B166" s="196" t="s">
        <v>5</v>
      </c>
      <c r="C166" s="197" t="s">
        <v>15</v>
      </c>
      <c r="D166" s="198" t="str">
        <f t="shared" si="76"/>
        <v>C</v>
      </c>
      <c r="E166" s="199">
        <v>44601.260416666664</v>
      </c>
      <c r="F166" s="200" t="s">
        <v>93</v>
      </c>
      <c r="G166" s="201">
        <v>14809.54</v>
      </c>
      <c r="H166" s="201">
        <v>14764.59</v>
      </c>
      <c r="I166" s="202">
        <f t="shared" si="77"/>
        <v>44.950000000000728</v>
      </c>
      <c r="J166" s="201">
        <v>15289.02</v>
      </c>
      <c r="K166" s="199">
        <v>44601.402777777781</v>
      </c>
      <c r="L166" s="201">
        <v>14764.59</v>
      </c>
      <c r="M166" s="203">
        <f t="shared" si="78"/>
        <v>-44.95</v>
      </c>
      <c r="N166" s="204">
        <f t="shared" si="79"/>
        <v>-1</v>
      </c>
      <c r="O166" s="205">
        <f t="shared" si="80"/>
        <v>0</v>
      </c>
      <c r="P166" s="206">
        <f t="shared" si="81"/>
        <v>0</v>
      </c>
      <c r="Q166" s="206">
        <f t="shared" si="82"/>
        <v>-1</v>
      </c>
      <c r="R16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10781</v>
      </c>
      <c r="T16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11011</v>
      </c>
      <c r="U166" s="208">
        <f ca="1">IF(Tabla336106734812[[#This Row],[Equity]]&lt;Tabla336106734812[[#This Row],[Equity Peak]],(Tabla336106734812[[#This Row],[Equity Peak]]-Tabla336106734812[[#This Row],[Equity]])/Tabla336106734812[[#This Row],[Equity Peak]],"")</f>
        <v>2.0888202706384525E-2</v>
      </c>
      <c r="V166" s="209">
        <f t="shared" si="83"/>
        <v>0</v>
      </c>
      <c r="W166" s="209">
        <f t="shared" si="84"/>
        <v>0</v>
      </c>
      <c r="X166" s="209">
        <f t="shared" si="85"/>
        <v>0</v>
      </c>
      <c r="Y166" s="209">
        <f t="shared" si="86"/>
        <v>0</v>
      </c>
      <c r="Z166" s="209">
        <f t="shared" si="87"/>
        <v>-1</v>
      </c>
      <c r="AA166" s="205">
        <f t="shared" si="88"/>
        <v>0</v>
      </c>
      <c r="AB166" s="209">
        <f t="shared" si="89"/>
        <v>0</v>
      </c>
      <c r="AC166" s="205">
        <f t="shared" si="90"/>
        <v>0</v>
      </c>
      <c r="AD166" s="210">
        <f t="shared" si="91"/>
        <v>0.14236111111677019</v>
      </c>
      <c r="AE166" s="210">
        <f t="shared" si="92"/>
        <v>0</v>
      </c>
      <c r="AF166" s="210">
        <f t="shared" si="93"/>
        <v>0.14236111111677019</v>
      </c>
      <c r="AG166" s="210">
        <f t="shared" si="94"/>
        <v>0</v>
      </c>
    </row>
    <row r="167" spans="2:33" ht="15" customHeight="1" x14ac:dyDescent="0.3">
      <c r="B167" s="196" t="s">
        <v>5</v>
      </c>
      <c r="C167" s="197" t="s">
        <v>13</v>
      </c>
      <c r="D167" s="198" t="str">
        <f t="shared" si="76"/>
        <v>C</v>
      </c>
      <c r="E167" s="199">
        <v>44596.666666666664</v>
      </c>
      <c r="F167" s="200" t="s">
        <v>93</v>
      </c>
      <c r="G167" s="201">
        <v>14421.01</v>
      </c>
      <c r="H167" s="201">
        <v>14486.1</v>
      </c>
      <c r="I167" s="202">
        <f t="shared" si="77"/>
        <v>65.090000000000146</v>
      </c>
      <c r="J167" s="201">
        <v>13726.7</v>
      </c>
      <c r="K167" s="199">
        <v>44596.679166666669</v>
      </c>
      <c r="L167" s="201">
        <v>14486.1</v>
      </c>
      <c r="M167" s="203">
        <f t="shared" si="78"/>
        <v>-65.09</v>
      </c>
      <c r="N167" s="204">
        <f t="shared" si="79"/>
        <v>-1</v>
      </c>
      <c r="O167" s="205">
        <f t="shared" si="80"/>
        <v>0</v>
      </c>
      <c r="P167" s="206">
        <f t="shared" si="81"/>
        <v>0</v>
      </c>
      <c r="Q167" s="206">
        <f t="shared" si="82"/>
        <v>-1</v>
      </c>
      <c r="R16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10881</v>
      </c>
      <c r="T16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11011</v>
      </c>
      <c r="U167" s="208">
        <f ca="1">IF(Tabla336106734812[[#This Row],[Equity]]&lt;Tabla336106734812[[#This Row],[Equity Peak]],(Tabla336106734812[[#This Row],[Equity Peak]]-Tabla336106734812[[#This Row],[Equity]])/Tabla336106734812[[#This Row],[Equity Peak]],"")</f>
        <v>1.1806375442739079E-2</v>
      </c>
      <c r="V167" s="209">
        <f t="shared" si="83"/>
        <v>0</v>
      </c>
      <c r="W167" s="209">
        <f t="shared" si="84"/>
        <v>0</v>
      </c>
      <c r="X167" s="209">
        <f t="shared" si="85"/>
        <v>0</v>
      </c>
      <c r="Y167" s="209">
        <f t="shared" si="86"/>
        <v>0</v>
      </c>
      <c r="Z167" s="209">
        <f t="shared" si="87"/>
        <v>-1</v>
      </c>
      <c r="AA167" s="205">
        <f t="shared" si="88"/>
        <v>0</v>
      </c>
      <c r="AB167" s="209">
        <f t="shared" si="89"/>
        <v>0</v>
      </c>
      <c r="AC167" s="205">
        <f t="shared" si="90"/>
        <v>0</v>
      </c>
      <c r="AD167" s="210">
        <f t="shared" si="91"/>
        <v>1.2500000004365575E-2</v>
      </c>
      <c r="AE167" s="210">
        <f t="shared" si="92"/>
        <v>0</v>
      </c>
      <c r="AF167" s="210">
        <f t="shared" si="93"/>
        <v>1.2500000004365575E-2</v>
      </c>
      <c r="AG167" s="210">
        <f t="shared" si="94"/>
        <v>0</v>
      </c>
    </row>
    <row r="168" spans="2:33" ht="15" customHeight="1" x14ac:dyDescent="0.3">
      <c r="B168" s="196" t="s">
        <v>5</v>
      </c>
      <c r="C168" s="197" t="s">
        <v>13</v>
      </c>
      <c r="D168" s="198" t="str">
        <f t="shared" si="76"/>
        <v>C</v>
      </c>
      <c r="E168" s="199">
        <v>44595.791666666664</v>
      </c>
      <c r="F168" s="200" t="s">
        <v>93</v>
      </c>
      <c r="G168" s="201">
        <v>14672.86</v>
      </c>
      <c r="H168" s="201">
        <v>14730.7</v>
      </c>
      <c r="I168" s="202">
        <f t="shared" si="77"/>
        <v>57.840000000000146</v>
      </c>
      <c r="J168" s="201">
        <v>14055.91</v>
      </c>
      <c r="K168" s="199">
        <v>44595.959722222222</v>
      </c>
      <c r="L168" s="201">
        <v>14632.37</v>
      </c>
      <c r="M168" s="203">
        <f t="shared" si="78"/>
        <v>40.49</v>
      </c>
      <c r="N168" s="204">
        <f t="shared" si="79"/>
        <v>0.7</v>
      </c>
      <c r="O168" s="205">
        <f t="shared" si="80"/>
        <v>0</v>
      </c>
      <c r="P168" s="206">
        <f t="shared" si="81"/>
        <v>0.7</v>
      </c>
      <c r="Q168" s="206">
        <f t="shared" si="82"/>
        <v>0</v>
      </c>
      <c r="R16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10981</v>
      </c>
      <c r="T16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11011</v>
      </c>
      <c r="U168" s="208">
        <f ca="1">IF(Tabla336106734812[[#This Row],[Equity]]&lt;Tabla336106734812[[#This Row],[Equity Peak]],(Tabla336106734812[[#This Row],[Equity Peak]]-Tabla336106734812[[#This Row],[Equity]])/Tabla336106734812[[#This Row],[Equity Peak]],"")</f>
        <v>2.7245481790936338E-3</v>
      </c>
      <c r="V168" s="209">
        <f t="shared" si="83"/>
        <v>0</v>
      </c>
      <c r="W168" s="209">
        <f t="shared" si="84"/>
        <v>0</v>
      </c>
      <c r="X168" s="209">
        <f t="shared" si="85"/>
        <v>0</v>
      </c>
      <c r="Y168" s="209">
        <f t="shared" si="86"/>
        <v>0</v>
      </c>
      <c r="Z168" s="209">
        <f t="shared" si="87"/>
        <v>0.7</v>
      </c>
      <c r="AA168" s="205">
        <f t="shared" si="88"/>
        <v>0</v>
      </c>
      <c r="AB168" s="209">
        <f t="shared" si="89"/>
        <v>0</v>
      </c>
      <c r="AC168" s="205">
        <f t="shared" si="90"/>
        <v>0</v>
      </c>
      <c r="AD168" s="210">
        <f t="shared" si="91"/>
        <v>0.1680555555576575</v>
      </c>
      <c r="AE168" s="210">
        <f t="shared" si="92"/>
        <v>0.1680555555576575</v>
      </c>
      <c r="AF168" s="210">
        <f t="shared" si="93"/>
        <v>0</v>
      </c>
      <c r="AG168" s="210">
        <f t="shared" si="94"/>
        <v>0</v>
      </c>
    </row>
    <row r="169" spans="2:33" ht="15" customHeight="1" x14ac:dyDescent="0.3">
      <c r="B169" s="196" t="s">
        <v>5</v>
      </c>
      <c r="C169" s="197" t="s">
        <v>13</v>
      </c>
      <c r="D169" s="198" t="str">
        <f t="shared" si="76"/>
        <v>C</v>
      </c>
      <c r="E169" s="199">
        <v>44595.666666666664</v>
      </c>
      <c r="F169" s="200" t="s">
        <v>93</v>
      </c>
      <c r="G169" s="201">
        <v>14705.88</v>
      </c>
      <c r="H169" s="201">
        <v>14766</v>
      </c>
      <c r="I169" s="202">
        <f t="shared" si="77"/>
        <v>60.1200000000008</v>
      </c>
      <c r="J169" s="201">
        <v>14064.62</v>
      </c>
      <c r="K169" s="199">
        <v>44595.692361111112</v>
      </c>
      <c r="L169" s="201">
        <v>14766</v>
      </c>
      <c r="M169" s="203">
        <f t="shared" si="78"/>
        <v>-60.12</v>
      </c>
      <c r="N169" s="204">
        <f t="shared" si="79"/>
        <v>-1</v>
      </c>
      <c r="O169" s="205">
        <f t="shared" si="80"/>
        <v>0</v>
      </c>
      <c r="P169" s="206">
        <f t="shared" si="81"/>
        <v>0</v>
      </c>
      <c r="Q169" s="206">
        <f t="shared" si="82"/>
        <v>-1</v>
      </c>
      <c r="R16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10911</v>
      </c>
      <c r="T16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11011</v>
      </c>
      <c r="U169" s="208">
        <f ca="1">IF(Tabla336106734812[[#This Row],[Equity]]&lt;Tabla336106734812[[#This Row],[Equity Peak]],(Tabla336106734812[[#This Row],[Equity Peak]]-Tabla336106734812[[#This Row],[Equity]])/Tabla336106734812[[#This Row],[Equity Peak]],"")</f>
        <v>9.0818272636454447E-3</v>
      </c>
      <c r="V169" s="209">
        <f t="shared" si="83"/>
        <v>0</v>
      </c>
      <c r="W169" s="209">
        <f t="shared" si="84"/>
        <v>0</v>
      </c>
      <c r="X169" s="209">
        <f t="shared" si="85"/>
        <v>0</v>
      </c>
      <c r="Y169" s="209">
        <f t="shared" si="86"/>
        <v>0</v>
      </c>
      <c r="Z169" s="209">
        <f t="shared" si="87"/>
        <v>-1</v>
      </c>
      <c r="AA169" s="205">
        <f t="shared" si="88"/>
        <v>0</v>
      </c>
      <c r="AB169" s="209">
        <f t="shared" si="89"/>
        <v>0</v>
      </c>
      <c r="AC169" s="205">
        <f t="shared" si="90"/>
        <v>0</v>
      </c>
      <c r="AD169" s="210">
        <f t="shared" si="91"/>
        <v>2.5694444448163267E-2</v>
      </c>
      <c r="AE169" s="210">
        <f t="shared" si="92"/>
        <v>0</v>
      </c>
      <c r="AF169" s="210">
        <f t="shared" si="93"/>
        <v>2.5694444448163267E-2</v>
      </c>
      <c r="AG169" s="210">
        <f t="shared" si="94"/>
        <v>0</v>
      </c>
    </row>
    <row r="170" spans="2:33" ht="15" customHeight="1" x14ac:dyDescent="0.3">
      <c r="B170" s="196" t="s">
        <v>5</v>
      </c>
      <c r="C170" s="197" t="s">
        <v>15</v>
      </c>
      <c r="D170" s="198" t="str">
        <f t="shared" si="76"/>
        <v>C</v>
      </c>
      <c r="E170" s="199">
        <v>44593.947916666664</v>
      </c>
      <c r="F170" s="200" t="s">
        <v>93</v>
      </c>
      <c r="G170" s="201">
        <v>14971.84</v>
      </c>
      <c r="H170" s="201">
        <v>14920.75</v>
      </c>
      <c r="I170" s="202">
        <f t="shared" si="77"/>
        <v>51.090000000000146</v>
      </c>
      <c r="J170" s="201">
        <v>15516.75</v>
      </c>
      <c r="K170" s="199">
        <v>44594.688194444447</v>
      </c>
      <c r="L170" s="201">
        <v>15149.66</v>
      </c>
      <c r="M170" s="203">
        <f t="shared" si="78"/>
        <v>177.82</v>
      </c>
      <c r="N170" s="204">
        <f t="shared" si="79"/>
        <v>3.48</v>
      </c>
      <c r="O170" s="205">
        <f t="shared" si="80"/>
        <v>0</v>
      </c>
      <c r="P170" s="206">
        <f t="shared" si="81"/>
        <v>3.48</v>
      </c>
      <c r="Q170" s="206">
        <f t="shared" si="82"/>
        <v>0</v>
      </c>
      <c r="R17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11011</v>
      </c>
      <c r="T17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11011</v>
      </c>
      <c r="U170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0" s="209">
        <f t="shared" si="83"/>
        <v>0</v>
      </c>
      <c r="W170" s="209">
        <f t="shared" si="84"/>
        <v>0</v>
      </c>
      <c r="X170" s="209">
        <f t="shared" si="85"/>
        <v>0</v>
      </c>
      <c r="Y170" s="209">
        <f t="shared" si="86"/>
        <v>0</v>
      </c>
      <c r="Z170" s="209">
        <f t="shared" si="87"/>
        <v>3.48</v>
      </c>
      <c r="AA170" s="205">
        <f t="shared" si="88"/>
        <v>0</v>
      </c>
      <c r="AB170" s="209">
        <f t="shared" si="89"/>
        <v>0</v>
      </c>
      <c r="AC170" s="205">
        <f t="shared" si="90"/>
        <v>0</v>
      </c>
      <c r="AD170" s="210">
        <f t="shared" si="91"/>
        <v>0.74027777778246673</v>
      </c>
      <c r="AE170" s="210">
        <f t="shared" si="92"/>
        <v>0.74027777778246673</v>
      </c>
      <c r="AF170" s="210">
        <f t="shared" si="93"/>
        <v>0</v>
      </c>
      <c r="AG170" s="210">
        <f t="shared" si="94"/>
        <v>0</v>
      </c>
    </row>
    <row r="171" spans="2:33" ht="15" customHeight="1" x14ac:dyDescent="0.3">
      <c r="B171" s="196" t="s">
        <v>5</v>
      </c>
      <c r="C171" s="197" t="s">
        <v>15</v>
      </c>
      <c r="D171" s="198" t="str">
        <f t="shared" si="76"/>
        <v>C</v>
      </c>
      <c r="E171" s="199">
        <v>44592.791666666664</v>
      </c>
      <c r="F171" s="200" t="s">
        <v>93</v>
      </c>
      <c r="G171" s="201">
        <v>14777.41</v>
      </c>
      <c r="H171" s="201">
        <v>14712.38</v>
      </c>
      <c r="I171" s="202">
        <f t="shared" si="77"/>
        <v>65.030000000000655</v>
      </c>
      <c r="J171" s="201">
        <v>15471.05</v>
      </c>
      <c r="K171" s="199">
        <v>44593.695833333331</v>
      </c>
      <c r="L171" s="201">
        <v>14842.63</v>
      </c>
      <c r="M171" s="203">
        <f t="shared" si="78"/>
        <v>65.22</v>
      </c>
      <c r="N171" s="204">
        <f t="shared" si="79"/>
        <v>1</v>
      </c>
      <c r="O171" s="205">
        <f t="shared" si="80"/>
        <v>0</v>
      </c>
      <c r="P171" s="206">
        <f t="shared" si="81"/>
        <v>1</v>
      </c>
      <c r="Q171" s="206">
        <f t="shared" si="82"/>
        <v>0</v>
      </c>
      <c r="R17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10663</v>
      </c>
      <c r="T17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10663</v>
      </c>
      <c r="U171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1" s="209">
        <f t="shared" si="83"/>
        <v>0</v>
      </c>
      <c r="W171" s="209">
        <f t="shared" si="84"/>
        <v>0</v>
      </c>
      <c r="X171" s="209">
        <f t="shared" si="85"/>
        <v>0</v>
      </c>
      <c r="Y171" s="209">
        <f t="shared" si="86"/>
        <v>0</v>
      </c>
      <c r="Z171" s="209">
        <f t="shared" si="87"/>
        <v>1</v>
      </c>
      <c r="AA171" s="205">
        <f t="shared" si="88"/>
        <v>0</v>
      </c>
      <c r="AB171" s="209">
        <f t="shared" si="89"/>
        <v>0</v>
      </c>
      <c r="AC171" s="205">
        <f t="shared" si="90"/>
        <v>0</v>
      </c>
      <c r="AD171" s="210">
        <f t="shared" si="91"/>
        <v>0.90416666666715173</v>
      </c>
      <c r="AE171" s="210">
        <f t="shared" si="92"/>
        <v>0.90416666666715173</v>
      </c>
      <c r="AF171" s="210">
        <f t="shared" si="93"/>
        <v>0</v>
      </c>
      <c r="AG171" s="210">
        <f t="shared" si="94"/>
        <v>0</v>
      </c>
    </row>
    <row r="172" spans="2:33" ht="15" customHeight="1" x14ac:dyDescent="0.3">
      <c r="B172" s="196" t="s">
        <v>5</v>
      </c>
      <c r="C172" s="197" t="s">
        <v>13</v>
      </c>
      <c r="D172" s="198" t="str">
        <f t="shared" si="76"/>
        <v>C</v>
      </c>
      <c r="E172" s="199">
        <v>44588.239583333336</v>
      </c>
      <c r="F172" s="200" t="s">
        <v>93</v>
      </c>
      <c r="G172" s="201">
        <v>13882.05</v>
      </c>
      <c r="H172" s="201">
        <v>13973.28</v>
      </c>
      <c r="I172" s="202">
        <f t="shared" si="77"/>
        <v>91.230000000001382</v>
      </c>
      <c r="J172" s="201">
        <v>12908.91</v>
      </c>
      <c r="K172" s="199">
        <v>44588.293749999997</v>
      </c>
      <c r="L172" s="201">
        <v>13973.28</v>
      </c>
      <c r="M172" s="203">
        <f t="shared" si="78"/>
        <v>-91.23</v>
      </c>
      <c r="N172" s="204">
        <f t="shared" si="79"/>
        <v>-1</v>
      </c>
      <c r="O172" s="205">
        <f t="shared" si="80"/>
        <v>0</v>
      </c>
      <c r="P172" s="206">
        <f t="shared" si="81"/>
        <v>0</v>
      </c>
      <c r="Q172" s="206">
        <f t="shared" si="82"/>
        <v>-1</v>
      </c>
      <c r="R17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10563</v>
      </c>
      <c r="T17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10663</v>
      </c>
      <c r="U172" s="208">
        <f ca="1">IF(Tabla336106734812[[#This Row],[Equity]]&lt;Tabla336106734812[[#This Row],[Equity Peak]],(Tabla336106734812[[#This Row],[Equity Peak]]-Tabla336106734812[[#This Row],[Equity]])/Tabla336106734812[[#This Row],[Equity Peak]],"")</f>
        <v>9.3782237644190192E-3</v>
      </c>
      <c r="V172" s="209">
        <f t="shared" si="83"/>
        <v>0</v>
      </c>
      <c r="W172" s="209">
        <f t="shared" si="84"/>
        <v>0</v>
      </c>
      <c r="X172" s="209">
        <f t="shared" si="85"/>
        <v>0</v>
      </c>
      <c r="Y172" s="209">
        <f t="shared" si="86"/>
        <v>0</v>
      </c>
      <c r="Z172" s="209">
        <f t="shared" si="87"/>
        <v>-1</v>
      </c>
      <c r="AA172" s="205">
        <f t="shared" si="88"/>
        <v>0</v>
      </c>
      <c r="AB172" s="209">
        <f t="shared" si="89"/>
        <v>0</v>
      </c>
      <c r="AC172" s="205">
        <f t="shared" si="90"/>
        <v>0</v>
      </c>
      <c r="AD172" s="210">
        <f t="shared" si="91"/>
        <v>5.4166666661330964E-2</v>
      </c>
      <c r="AE172" s="210">
        <f t="shared" si="92"/>
        <v>0</v>
      </c>
      <c r="AF172" s="210">
        <f t="shared" si="93"/>
        <v>5.4166666661330964E-2</v>
      </c>
      <c r="AG172" s="210">
        <f t="shared" si="94"/>
        <v>0</v>
      </c>
    </row>
    <row r="173" spans="2:33" ht="15" customHeight="1" x14ac:dyDescent="0.3">
      <c r="B173" s="196" t="s">
        <v>5</v>
      </c>
      <c r="C173" s="197" t="s">
        <v>13</v>
      </c>
      <c r="D173" s="198" t="str">
        <f t="shared" si="76"/>
        <v>C</v>
      </c>
      <c r="E173" s="199">
        <v>44582.916666666664</v>
      </c>
      <c r="F173" s="200" t="s">
        <v>93</v>
      </c>
      <c r="G173" s="201">
        <v>14513.87</v>
      </c>
      <c r="H173" s="201">
        <v>14598.89</v>
      </c>
      <c r="I173" s="202">
        <f t="shared" si="77"/>
        <v>85.019999999998618</v>
      </c>
      <c r="J173" s="201">
        <v>13607.02</v>
      </c>
      <c r="K173" s="199">
        <v>44585.837500000001</v>
      </c>
      <c r="L173" s="201">
        <v>13981.21</v>
      </c>
      <c r="M173" s="203">
        <f t="shared" si="78"/>
        <v>532.66</v>
      </c>
      <c r="N173" s="204">
        <f t="shared" si="79"/>
        <v>6.27</v>
      </c>
      <c r="O173" s="205">
        <f t="shared" si="80"/>
        <v>0</v>
      </c>
      <c r="P173" s="206">
        <f t="shared" si="81"/>
        <v>6.27</v>
      </c>
      <c r="Q173" s="206">
        <f t="shared" si="82"/>
        <v>0</v>
      </c>
      <c r="R17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10663</v>
      </c>
      <c r="T17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10663</v>
      </c>
      <c r="U173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3" s="209">
        <f t="shared" si="83"/>
        <v>0</v>
      </c>
      <c r="W173" s="209">
        <f t="shared" si="84"/>
        <v>0</v>
      </c>
      <c r="X173" s="209">
        <f t="shared" si="85"/>
        <v>0</v>
      </c>
      <c r="Y173" s="209">
        <f t="shared" si="86"/>
        <v>0</v>
      </c>
      <c r="Z173" s="209">
        <f t="shared" si="87"/>
        <v>6.27</v>
      </c>
      <c r="AA173" s="205">
        <f t="shared" si="88"/>
        <v>0</v>
      </c>
      <c r="AB173" s="209">
        <f t="shared" si="89"/>
        <v>0</v>
      </c>
      <c r="AC173" s="205">
        <f t="shared" si="90"/>
        <v>0</v>
      </c>
      <c r="AD173" s="210">
        <f t="shared" si="91"/>
        <v>2.9208333333372138</v>
      </c>
      <c r="AE173" s="210">
        <f t="shared" si="92"/>
        <v>2.9208333333372138</v>
      </c>
      <c r="AF173" s="210">
        <f t="shared" si="93"/>
        <v>0</v>
      </c>
      <c r="AG173" s="210">
        <f t="shared" si="94"/>
        <v>0</v>
      </c>
    </row>
    <row r="174" spans="2:33" ht="15" customHeight="1" x14ac:dyDescent="0.3">
      <c r="B174" s="196" t="s">
        <v>5</v>
      </c>
      <c r="C174" s="197" t="s">
        <v>13</v>
      </c>
      <c r="D174" s="198" t="str">
        <f t="shared" si="76"/>
        <v>C</v>
      </c>
      <c r="E174" s="199">
        <v>44581.9375</v>
      </c>
      <c r="F174" s="200" t="s">
        <v>93</v>
      </c>
      <c r="G174" s="201">
        <v>14972.2</v>
      </c>
      <c r="H174" s="201">
        <v>15021.66</v>
      </c>
      <c r="I174" s="202">
        <f t="shared" si="77"/>
        <v>49.459999999999127</v>
      </c>
      <c r="J174" s="201">
        <v>14444.66</v>
      </c>
      <c r="K174" s="199">
        <v>44582.393750000003</v>
      </c>
      <c r="L174" s="201">
        <v>14764.28</v>
      </c>
      <c r="M174" s="203">
        <f t="shared" si="78"/>
        <v>207.92</v>
      </c>
      <c r="N174" s="204">
        <f t="shared" si="79"/>
        <v>4.2</v>
      </c>
      <c r="O174" s="205">
        <f t="shared" si="80"/>
        <v>0</v>
      </c>
      <c r="P174" s="206">
        <f t="shared" si="81"/>
        <v>4.2</v>
      </c>
      <c r="Q174" s="206">
        <f t="shared" si="82"/>
        <v>0</v>
      </c>
      <c r="R17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10036</v>
      </c>
      <c r="T17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74" s="208">
        <f ca="1">IF(Tabla336106734812[[#This Row],[Equity]]&lt;Tabla336106734812[[#This Row],[Equity Peak]],(Tabla336106734812[[#This Row],[Equity Peak]]-Tabla336106734812[[#This Row],[Equity]])/Tabla336106734812[[#This Row],[Equity Peak]],"")</f>
        <v>2.402022756005057E-2</v>
      </c>
      <c r="V174" s="209">
        <f t="shared" si="83"/>
        <v>0</v>
      </c>
      <c r="W174" s="209">
        <f t="shared" si="84"/>
        <v>0</v>
      </c>
      <c r="X174" s="209">
        <f t="shared" si="85"/>
        <v>0</v>
      </c>
      <c r="Y174" s="209">
        <f t="shared" si="86"/>
        <v>0</v>
      </c>
      <c r="Z174" s="209">
        <f t="shared" si="87"/>
        <v>4.2</v>
      </c>
      <c r="AA174" s="205">
        <f t="shared" si="88"/>
        <v>0</v>
      </c>
      <c r="AB174" s="209">
        <f t="shared" si="89"/>
        <v>0</v>
      </c>
      <c r="AC174" s="205">
        <f t="shared" si="90"/>
        <v>0</v>
      </c>
      <c r="AD174" s="210">
        <f t="shared" si="91"/>
        <v>0.45625000000291038</v>
      </c>
      <c r="AE174" s="210">
        <f t="shared" si="92"/>
        <v>0.45625000000291038</v>
      </c>
      <c r="AF174" s="210">
        <f t="shared" si="93"/>
        <v>0</v>
      </c>
      <c r="AG174" s="210">
        <f t="shared" si="94"/>
        <v>0</v>
      </c>
    </row>
    <row r="175" spans="2:33" ht="15" customHeight="1" x14ac:dyDescent="0.3">
      <c r="B175" s="196" t="s">
        <v>5</v>
      </c>
      <c r="C175" s="197" t="s">
        <v>13</v>
      </c>
      <c r="D175" s="198" t="str">
        <f t="shared" si="76"/>
        <v>C</v>
      </c>
      <c r="E175" s="199">
        <v>44580.958333333336</v>
      </c>
      <c r="F175" s="200" t="s">
        <v>93</v>
      </c>
      <c r="G175" s="201">
        <v>15039.82</v>
      </c>
      <c r="H175" s="201">
        <v>15098.65</v>
      </c>
      <c r="I175" s="202">
        <f t="shared" si="77"/>
        <v>58.829999999999927</v>
      </c>
      <c r="J175" s="201">
        <v>14412.29</v>
      </c>
      <c r="K175" s="199">
        <v>44581.234722222223</v>
      </c>
      <c r="L175" s="201">
        <v>15098.65</v>
      </c>
      <c r="M175" s="203">
        <f t="shared" si="78"/>
        <v>-58.83</v>
      </c>
      <c r="N175" s="204">
        <f t="shared" si="79"/>
        <v>-1</v>
      </c>
      <c r="O175" s="205">
        <f t="shared" si="80"/>
        <v>0</v>
      </c>
      <c r="P175" s="206">
        <f t="shared" si="81"/>
        <v>0</v>
      </c>
      <c r="Q175" s="206">
        <f t="shared" si="82"/>
        <v>-1</v>
      </c>
      <c r="R17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9616</v>
      </c>
      <c r="T17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75" s="208">
        <f ca="1">IF(Tabla336106734812[[#This Row],[Equity]]&lt;Tabla336106734812[[#This Row],[Equity Peak]],(Tabla336106734812[[#This Row],[Equity Peak]]-Tabla336106734812[[#This Row],[Equity]])/Tabla336106734812[[#This Row],[Equity Peak]],"")</f>
        <v>6.4864339200622387E-2</v>
      </c>
      <c r="V175" s="209">
        <f t="shared" si="83"/>
        <v>0</v>
      </c>
      <c r="W175" s="209">
        <f t="shared" si="84"/>
        <v>0</v>
      </c>
      <c r="X175" s="209">
        <f t="shared" si="85"/>
        <v>0</v>
      </c>
      <c r="Y175" s="209">
        <f t="shared" si="86"/>
        <v>0</v>
      </c>
      <c r="Z175" s="209">
        <f t="shared" si="87"/>
        <v>-1</v>
      </c>
      <c r="AA175" s="205">
        <f t="shared" si="88"/>
        <v>0</v>
      </c>
      <c r="AB175" s="209">
        <f t="shared" si="89"/>
        <v>0</v>
      </c>
      <c r="AC175" s="205">
        <f t="shared" si="90"/>
        <v>0</v>
      </c>
      <c r="AD175" s="210">
        <f t="shared" si="91"/>
        <v>0.27638888888759539</v>
      </c>
      <c r="AE175" s="210">
        <f t="shared" si="92"/>
        <v>0</v>
      </c>
      <c r="AF175" s="210">
        <f t="shared" si="93"/>
        <v>0.27638888888759539</v>
      </c>
      <c r="AG175" s="210">
        <f t="shared" si="94"/>
        <v>0</v>
      </c>
    </row>
    <row r="176" spans="2:33" ht="15" customHeight="1" x14ac:dyDescent="0.3">
      <c r="B176" s="196" t="s">
        <v>5</v>
      </c>
      <c r="C176" s="197" t="s">
        <v>13</v>
      </c>
      <c r="D176" s="198" t="str">
        <f t="shared" si="76"/>
        <v>C</v>
      </c>
      <c r="E176" s="199">
        <v>44580.197916666664</v>
      </c>
      <c r="F176" s="200" t="s">
        <v>93</v>
      </c>
      <c r="G176" s="201">
        <v>15141.42</v>
      </c>
      <c r="H176" s="201">
        <v>15198.04</v>
      </c>
      <c r="I176" s="202">
        <f t="shared" si="77"/>
        <v>56.6200000000008</v>
      </c>
      <c r="J176" s="201">
        <v>14537.45</v>
      </c>
      <c r="K176" s="199">
        <v>44580.454861111109</v>
      </c>
      <c r="L176" s="201">
        <v>15185.9</v>
      </c>
      <c r="M176" s="203">
        <f t="shared" si="78"/>
        <v>-44.48</v>
      </c>
      <c r="N176" s="204">
        <f t="shared" si="79"/>
        <v>-0.79</v>
      </c>
      <c r="O176" s="205">
        <f t="shared" si="80"/>
        <v>0</v>
      </c>
      <c r="P176" s="206">
        <f t="shared" si="81"/>
        <v>0</v>
      </c>
      <c r="Q176" s="206">
        <f t="shared" si="82"/>
        <v>-0.79</v>
      </c>
      <c r="R17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9716</v>
      </c>
      <c r="T17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76" s="208">
        <f ca="1">IF(Tabla336106734812[[#This Row],[Equity]]&lt;Tabla336106734812[[#This Row],[Equity Peak]],(Tabla336106734812[[#This Row],[Equity Peak]]-Tabla336106734812[[#This Row],[Equity]])/Tabla336106734812[[#This Row],[Equity Peak]],"")</f>
        <v>5.5139550714771952E-2</v>
      </c>
      <c r="V176" s="209">
        <f t="shared" si="83"/>
        <v>0</v>
      </c>
      <c r="W176" s="209">
        <f t="shared" si="84"/>
        <v>0</v>
      </c>
      <c r="X176" s="209">
        <f t="shared" si="85"/>
        <v>0</v>
      </c>
      <c r="Y176" s="209">
        <f t="shared" si="86"/>
        <v>0</v>
      </c>
      <c r="Z176" s="209">
        <f t="shared" si="87"/>
        <v>-0.79</v>
      </c>
      <c r="AA176" s="205">
        <f t="shared" si="88"/>
        <v>0</v>
      </c>
      <c r="AB176" s="209">
        <f t="shared" si="89"/>
        <v>0</v>
      </c>
      <c r="AC176" s="205">
        <f t="shared" si="90"/>
        <v>0</v>
      </c>
      <c r="AD176" s="210">
        <f t="shared" si="91"/>
        <v>0.25694444444525288</v>
      </c>
      <c r="AE176" s="210">
        <f t="shared" si="92"/>
        <v>0</v>
      </c>
      <c r="AF176" s="210">
        <f t="shared" si="93"/>
        <v>0.25694444444525288</v>
      </c>
      <c r="AG176" s="210">
        <f t="shared" si="94"/>
        <v>0</v>
      </c>
    </row>
    <row r="177" spans="2:33" ht="15" customHeight="1" x14ac:dyDescent="0.3">
      <c r="B177" s="196" t="s">
        <v>5</v>
      </c>
      <c r="C177" s="197" t="s">
        <v>13</v>
      </c>
      <c r="D177" s="198" t="str">
        <f t="shared" si="76"/>
        <v>C</v>
      </c>
      <c r="E177" s="199">
        <v>44579.947916666664</v>
      </c>
      <c r="F177" s="200" t="s">
        <v>93</v>
      </c>
      <c r="G177" s="201">
        <v>15192.95</v>
      </c>
      <c r="H177" s="201">
        <v>15245.82</v>
      </c>
      <c r="I177" s="202">
        <f t="shared" si="77"/>
        <v>52.869999999998981</v>
      </c>
      <c r="J177" s="201">
        <v>14628.99</v>
      </c>
      <c r="K177" s="199">
        <v>44580.043055555558</v>
      </c>
      <c r="L177" s="201">
        <v>15245.82</v>
      </c>
      <c r="M177" s="203">
        <f t="shared" si="78"/>
        <v>-52.87</v>
      </c>
      <c r="N177" s="204">
        <f t="shared" si="79"/>
        <v>-1</v>
      </c>
      <c r="O177" s="205">
        <f t="shared" si="80"/>
        <v>0</v>
      </c>
      <c r="P177" s="206">
        <f t="shared" si="81"/>
        <v>0</v>
      </c>
      <c r="Q177" s="206">
        <f t="shared" si="82"/>
        <v>-1</v>
      </c>
      <c r="R17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9795</v>
      </c>
      <c r="T17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77" s="208">
        <f ca="1">IF(Tabla336106734812[[#This Row],[Equity]]&lt;Tabla336106734812[[#This Row],[Equity Peak]],(Tabla336106734812[[#This Row],[Equity Peak]]-Tabla336106734812[[#This Row],[Equity]])/Tabla336106734812[[#This Row],[Equity Peak]],"")</f>
        <v>4.7456967810950115E-2</v>
      </c>
      <c r="V177" s="209">
        <f t="shared" si="83"/>
        <v>0</v>
      </c>
      <c r="W177" s="209">
        <f t="shared" si="84"/>
        <v>0</v>
      </c>
      <c r="X177" s="209">
        <f t="shared" si="85"/>
        <v>0</v>
      </c>
      <c r="Y177" s="209">
        <f t="shared" si="86"/>
        <v>0</v>
      </c>
      <c r="Z177" s="209">
        <f t="shared" si="87"/>
        <v>-1</v>
      </c>
      <c r="AA177" s="205">
        <f t="shared" si="88"/>
        <v>0</v>
      </c>
      <c r="AB177" s="209">
        <f t="shared" si="89"/>
        <v>0</v>
      </c>
      <c r="AC177" s="205">
        <f t="shared" si="90"/>
        <v>0</v>
      </c>
      <c r="AD177" s="210">
        <f t="shared" si="91"/>
        <v>9.5138888893416151E-2</v>
      </c>
      <c r="AE177" s="210">
        <f t="shared" si="92"/>
        <v>0</v>
      </c>
      <c r="AF177" s="210">
        <f t="shared" si="93"/>
        <v>9.5138888893416151E-2</v>
      </c>
      <c r="AG177" s="210">
        <f t="shared" si="94"/>
        <v>0</v>
      </c>
    </row>
    <row r="178" spans="2:33" ht="15" customHeight="1" x14ac:dyDescent="0.3">
      <c r="B178" s="196" t="s">
        <v>5</v>
      </c>
      <c r="C178" s="197" t="s">
        <v>13</v>
      </c>
      <c r="D178" s="198" t="str">
        <f t="shared" si="76"/>
        <v>C</v>
      </c>
      <c r="E178" s="199">
        <v>44579.833333333336</v>
      </c>
      <c r="F178" s="200" t="s">
        <v>93</v>
      </c>
      <c r="G178" s="201">
        <v>15257.32</v>
      </c>
      <c r="H178" s="201">
        <v>15306.17</v>
      </c>
      <c r="I178" s="202">
        <f t="shared" si="77"/>
        <v>48.850000000000364</v>
      </c>
      <c r="J178" s="201">
        <v>14736.21</v>
      </c>
      <c r="K178" s="199">
        <v>44579.907638888886</v>
      </c>
      <c r="L178" s="201">
        <v>15306.17</v>
      </c>
      <c r="M178" s="203">
        <f t="shared" si="78"/>
        <v>-48.85</v>
      </c>
      <c r="N178" s="204">
        <f t="shared" si="79"/>
        <v>-1</v>
      </c>
      <c r="O178" s="205">
        <f t="shared" si="80"/>
        <v>0</v>
      </c>
      <c r="P178" s="206">
        <f t="shared" si="81"/>
        <v>0</v>
      </c>
      <c r="Q178" s="206">
        <f t="shared" si="82"/>
        <v>-1</v>
      </c>
      <c r="R17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9895</v>
      </c>
      <c r="T17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78" s="208">
        <f ca="1">IF(Tabla336106734812[[#This Row],[Equity]]&lt;Tabla336106734812[[#This Row],[Equity Peak]],(Tabla336106734812[[#This Row],[Equity Peak]]-Tabla336106734812[[#This Row],[Equity]])/Tabla336106734812[[#This Row],[Equity Peak]],"")</f>
        <v>3.7732179325099681E-2</v>
      </c>
      <c r="V178" s="209">
        <f t="shared" si="83"/>
        <v>0</v>
      </c>
      <c r="W178" s="209">
        <f t="shared" si="84"/>
        <v>0</v>
      </c>
      <c r="X178" s="209">
        <f t="shared" si="85"/>
        <v>0</v>
      </c>
      <c r="Y178" s="209">
        <f t="shared" si="86"/>
        <v>0</v>
      </c>
      <c r="Z178" s="209">
        <f t="shared" si="87"/>
        <v>-1</v>
      </c>
      <c r="AA178" s="205">
        <f t="shared" si="88"/>
        <v>0</v>
      </c>
      <c r="AB178" s="209">
        <f t="shared" si="89"/>
        <v>0</v>
      </c>
      <c r="AC178" s="205">
        <f t="shared" si="90"/>
        <v>0</v>
      </c>
      <c r="AD178" s="210">
        <f t="shared" si="91"/>
        <v>7.4305555550381541E-2</v>
      </c>
      <c r="AE178" s="210">
        <f t="shared" si="92"/>
        <v>0</v>
      </c>
      <c r="AF178" s="210">
        <f t="shared" si="93"/>
        <v>7.4305555550381541E-2</v>
      </c>
      <c r="AG178" s="210">
        <f t="shared" si="94"/>
        <v>0</v>
      </c>
    </row>
    <row r="179" spans="2:33" ht="15" customHeight="1" x14ac:dyDescent="0.3">
      <c r="B179" s="196" t="s">
        <v>5</v>
      </c>
      <c r="C179" s="197" t="s">
        <v>13</v>
      </c>
      <c r="D179" s="198" t="str">
        <f t="shared" si="76"/>
        <v>C</v>
      </c>
      <c r="E179" s="199">
        <v>44579.479166666664</v>
      </c>
      <c r="F179" s="200" t="s">
        <v>93</v>
      </c>
      <c r="G179" s="201">
        <v>15299.72</v>
      </c>
      <c r="H179" s="201">
        <v>15333.06</v>
      </c>
      <c r="I179" s="202">
        <f t="shared" si="77"/>
        <v>33.340000000000146</v>
      </c>
      <c r="J179" s="201">
        <v>14944.08</v>
      </c>
      <c r="K179" s="199">
        <v>44579.501388888886</v>
      </c>
      <c r="L179" s="201">
        <v>15333.06</v>
      </c>
      <c r="M179" s="203">
        <f t="shared" si="78"/>
        <v>-33.340000000000003</v>
      </c>
      <c r="N179" s="204">
        <f t="shared" si="79"/>
        <v>-1</v>
      </c>
      <c r="O179" s="205">
        <f t="shared" si="80"/>
        <v>0</v>
      </c>
      <c r="P179" s="206">
        <f t="shared" si="81"/>
        <v>0</v>
      </c>
      <c r="Q179" s="206">
        <f t="shared" si="82"/>
        <v>-1</v>
      </c>
      <c r="R17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9995</v>
      </c>
      <c r="T17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79" s="208">
        <f ca="1">IF(Tabla336106734812[[#This Row],[Equity]]&lt;Tabla336106734812[[#This Row],[Equity Peak]],(Tabla336106734812[[#This Row],[Equity Peak]]-Tabla336106734812[[#This Row],[Equity]])/Tabla336106734812[[#This Row],[Equity Peak]],"")</f>
        <v>2.8007390839249247E-2</v>
      </c>
      <c r="V179" s="209">
        <f t="shared" si="83"/>
        <v>0</v>
      </c>
      <c r="W179" s="209">
        <f t="shared" si="84"/>
        <v>0</v>
      </c>
      <c r="X179" s="209">
        <f t="shared" si="85"/>
        <v>0</v>
      </c>
      <c r="Y179" s="209">
        <f t="shared" si="86"/>
        <v>0</v>
      </c>
      <c r="Z179" s="209">
        <f t="shared" si="87"/>
        <v>-1</v>
      </c>
      <c r="AA179" s="205">
        <f t="shared" si="88"/>
        <v>0</v>
      </c>
      <c r="AB179" s="209">
        <f t="shared" si="89"/>
        <v>0</v>
      </c>
      <c r="AC179" s="205">
        <f t="shared" si="90"/>
        <v>0</v>
      </c>
      <c r="AD179" s="210">
        <f t="shared" si="91"/>
        <v>2.2222222221898846E-2</v>
      </c>
      <c r="AE179" s="210">
        <f t="shared" si="92"/>
        <v>0</v>
      </c>
      <c r="AF179" s="210">
        <f t="shared" si="93"/>
        <v>2.2222222221898846E-2</v>
      </c>
      <c r="AG179" s="210">
        <f t="shared" si="94"/>
        <v>0</v>
      </c>
    </row>
    <row r="180" spans="2:33" ht="15" customHeight="1" x14ac:dyDescent="0.3">
      <c r="B180" s="196" t="s">
        <v>5</v>
      </c>
      <c r="C180" s="197" t="s">
        <v>13</v>
      </c>
      <c r="D180" s="198" t="str">
        <f t="shared" si="76"/>
        <v>C</v>
      </c>
      <c r="E180" s="199">
        <v>44574.947916666664</v>
      </c>
      <c r="F180" s="200" t="s">
        <v>93</v>
      </c>
      <c r="G180" s="201">
        <v>15537.26</v>
      </c>
      <c r="H180" s="201">
        <v>15579.59</v>
      </c>
      <c r="I180" s="202">
        <f t="shared" si="77"/>
        <v>42.329999999999927</v>
      </c>
      <c r="J180" s="201">
        <v>15085.73</v>
      </c>
      <c r="K180" s="199">
        <v>44575.383333333331</v>
      </c>
      <c r="L180" s="201">
        <v>15532.09</v>
      </c>
      <c r="M180" s="203">
        <f t="shared" si="78"/>
        <v>5.17</v>
      </c>
      <c r="N180" s="204">
        <f t="shared" si="79"/>
        <v>0.12</v>
      </c>
      <c r="O180" s="205">
        <f t="shared" si="80"/>
        <v>0</v>
      </c>
      <c r="P180" s="206">
        <f t="shared" si="81"/>
        <v>0.12</v>
      </c>
      <c r="Q180" s="206">
        <f t="shared" si="82"/>
        <v>0</v>
      </c>
      <c r="R18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10095</v>
      </c>
      <c r="T18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80" s="208">
        <f ca="1">IF(Tabla336106734812[[#This Row],[Equity]]&lt;Tabla336106734812[[#This Row],[Equity Peak]],(Tabla336106734812[[#This Row],[Equity Peak]]-Tabla336106734812[[#This Row],[Equity]])/Tabla336106734812[[#This Row],[Equity Peak]],"")</f>
        <v>1.8282602353398812E-2</v>
      </c>
      <c r="V180" s="209">
        <f t="shared" si="83"/>
        <v>0</v>
      </c>
      <c r="W180" s="209">
        <f t="shared" si="84"/>
        <v>0</v>
      </c>
      <c r="X180" s="209">
        <f t="shared" si="85"/>
        <v>0</v>
      </c>
      <c r="Y180" s="209">
        <f t="shared" si="86"/>
        <v>0</v>
      </c>
      <c r="Z180" s="209">
        <f t="shared" si="87"/>
        <v>0.12</v>
      </c>
      <c r="AA180" s="205">
        <f t="shared" si="88"/>
        <v>0</v>
      </c>
      <c r="AB180" s="209">
        <f t="shared" si="89"/>
        <v>0</v>
      </c>
      <c r="AC180" s="205">
        <f t="shared" si="90"/>
        <v>0</v>
      </c>
      <c r="AD180" s="210">
        <f t="shared" si="91"/>
        <v>0.43541666666715173</v>
      </c>
      <c r="AE180" s="210">
        <f t="shared" si="92"/>
        <v>0.43541666666715173</v>
      </c>
      <c r="AF180" s="210">
        <f t="shared" si="93"/>
        <v>0</v>
      </c>
      <c r="AG180" s="210">
        <f t="shared" si="94"/>
        <v>0</v>
      </c>
    </row>
    <row r="181" spans="2:33" ht="15" customHeight="1" x14ac:dyDescent="0.3">
      <c r="B181" s="196" t="s">
        <v>5</v>
      </c>
      <c r="C181" s="197" t="s">
        <v>15</v>
      </c>
      <c r="D181" s="198" t="str">
        <f t="shared" si="76"/>
        <v>C</v>
      </c>
      <c r="E181" s="199">
        <v>44573.71875</v>
      </c>
      <c r="F181" s="200" t="s">
        <v>93</v>
      </c>
      <c r="G181" s="201">
        <v>16004.81</v>
      </c>
      <c r="H181" s="201">
        <v>15962.56</v>
      </c>
      <c r="I181" s="202">
        <f t="shared" si="77"/>
        <v>42.25</v>
      </c>
      <c r="J181" s="201">
        <v>16455.490000000002</v>
      </c>
      <c r="K181" s="199">
        <v>44573.729861111111</v>
      </c>
      <c r="L181" s="201">
        <v>15962.56</v>
      </c>
      <c r="M181" s="203">
        <f t="shared" si="78"/>
        <v>-42.25</v>
      </c>
      <c r="N181" s="204">
        <f t="shared" si="79"/>
        <v>-1</v>
      </c>
      <c r="O181" s="205">
        <f t="shared" si="80"/>
        <v>0</v>
      </c>
      <c r="P181" s="206">
        <f t="shared" si="81"/>
        <v>0</v>
      </c>
      <c r="Q181" s="206">
        <f t="shared" si="82"/>
        <v>-1</v>
      </c>
      <c r="R18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10083</v>
      </c>
      <c r="T18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81" s="208">
        <f ca="1">IF(Tabla336106734812[[#This Row],[Equity]]&lt;Tabla336106734812[[#This Row],[Equity Peak]],(Tabla336106734812[[#This Row],[Equity Peak]]-Tabla336106734812[[#This Row],[Equity]])/Tabla336106734812[[#This Row],[Equity Peak]],"")</f>
        <v>1.9449576971700865E-2</v>
      </c>
      <c r="V181" s="209">
        <f t="shared" si="83"/>
        <v>0</v>
      </c>
      <c r="W181" s="209">
        <f t="shared" si="84"/>
        <v>0</v>
      </c>
      <c r="X181" s="209">
        <f t="shared" si="85"/>
        <v>0</v>
      </c>
      <c r="Y181" s="209">
        <f t="shared" si="86"/>
        <v>0</v>
      </c>
      <c r="Z181" s="209">
        <f t="shared" si="87"/>
        <v>-1</v>
      </c>
      <c r="AA181" s="205">
        <f t="shared" si="88"/>
        <v>0</v>
      </c>
      <c r="AB181" s="209">
        <f t="shared" si="89"/>
        <v>0</v>
      </c>
      <c r="AC181" s="205">
        <f t="shared" si="90"/>
        <v>0</v>
      </c>
      <c r="AD181" s="210">
        <f t="shared" si="91"/>
        <v>1.1111111110949423E-2</v>
      </c>
      <c r="AE181" s="210">
        <f t="shared" si="92"/>
        <v>0</v>
      </c>
      <c r="AF181" s="210">
        <f t="shared" si="93"/>
        <v>1.1111111110949423E-2</v>
      </c>
      <c r="AG181" s="210">
        <f t="shared" si="94"/>
        <v>0</v>
      </c>
    </row>
    <row r="182" spans="2:33" ht="15" customHeight="1" x14ac:dyDescent="0.3">
      <c r="B182" s="196" t="s">
        <v>5</v>
      </c>
      <c r="C182" s="197" t="s">
        <v>15</v>
      </c>
      <c r="D182" s="198" t="str">
        <f t="shared" si="76"/>
        <v>C</v>
      </c>
      <c r="E182" s="199">
        <v>44573.666666666664</v>
      </c>
      <c r="F182" s="200" t="s">
        <v>93</v>
      </c>
      <c r="G182" s="201">
        <v>15971.84</v>
      </c>
      <c r="H182" s="201">
        <v>15926.37</v>
      </c>
      <c r="I182" s="202">
        <f t="shared" si="77"/>
        <v>45.469999999999345</v>
      </c>
      <c r="J182" s="201">
        <v>16456.900000000001</v>
      </c>
      <c r="K182" s="199">
        <v>44573.695833333331</v>
      </c>
      <c r="L182" s="201">
        <v>15926.37</v>
      </c>
      <c r="M182" s="203">
        <f t="shared" si="78"/>
        <v>-45.47</v>
      </c>
      <c r="N182" s="204">
        <f t="shared" si="79"/>
        <v>-1</v>
      </c>
      <c r="O182" s="205">
        <f t="shared" si="80"/>
        <v>0</v>
      </c>
      <c r="P182" s="206">
        <f t="shared" si="81"/>
        <v>0</v>
      </c>
      <c r="Q182" s="206">
        <f t="shared" si="82"/>
        <v>-1</v>
      </c>
      <c r="R18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10183</v>
      </c>
      <c r="T18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82" s="208">
        <f ca="1">IF(Tabla336106734812[[#This Row],[Equity]]&lt;Tabla336106734812[[#This Row],[Equity Peak]],(Tabla336106734812[[#This Row],[Equity Peak]]-Tabla336106734812[[#This Row],[Equity]])/Tabla336106734812[[#This Row],[Equity Peak]],"")</f>
        <v>9.7247884858504326E-3</v>
      </c>
      <c r="V182" s="209">
        <f t="shared" si="83"/>
        <v>0</v>
      </c>
      <c r="W182" s="209">
        <f t="shared" si="84"/>
        <v>0</v>
      </c>
      <c r="X182" s="209">
        <f t="shared" si="85"/>
        <v>0</v>
      </c>
      <c r="Y182" s="209">
        <f t="shared" si="86"/>
        <v>0</v>
      </c>
      <c r="Z182" s="209">
        <f t="shared" si="87"/>
        <v>-1</v>
      </c>
      <c r="AA182" s="205">
        <f t="shared" si="88"/>
        <v>0</v>
      </c>
      <c r="AB182" s="209">
        <f t="shared" si="89"/>
        <v>0</v>
      </c>
      <c r="AC182" s="205">
        <f t="shared" si="90"/>
        <v>0</v>
      </c>
      <c r="AD182" s="210">
        <f t="shared" si="91"/>
        <v>2.9166666667151731E-2</v>
      </c>
      <c r="AE182" s="210">
        <f t="shared" si="92"/>
        <v>0</v>
      </c>
      <c r="AF182" s="210">
        <f t="shared" si="93"/>
        <v>2.9166666667151731E-2</v>
      </c>
      <c r="AG182" s="210">
        <f t="shared" si="94"/>
        <v>0</v>
      </c>
    </row>
    <row r="183" spans="2:33" ht="15" customHeight="1" x14ac:dyDescent="0.3">
      <c r="B183" s="196" t="s">
        <v>5</v>
      </c>
      <c r="C183" s="197" t="s">
        <v>13</v>
      </c>
      <c r="D183" s="198" t="str">
        <f t="shared" ref="D183:D187" si="95">IF(E183&lt;&gt;"",IF(K183&lt;&gt;"","C","O"),"")</f>
        <v>C</v>
      </c>
      <c r="E183" s="199">
        <v>44571.604166666664</v>
      </c>
      <c r="F183" s="200" t="s">
        <v>93</v>
      </c>
      <c r="G183" s="201">
        <v>15478.61</v>
      </c>
      <c r="H183" s="201">
        <v>15534.05</v>
      </c>
      <c r="I183" s="202">
        <f t="shared" ref="I183:I187" si="96">ABS(G183-H183)</f>
        <v>55.43999999999869</v>
      </c>
      <c r="J183" s="201">
        <v>14887.21</v>
      </c>
      <c r="K183" s="199">
        <v>44571.762499999997</v>
      </c>
      <c r="L183" s="201">
        <v>15285.47</v>
      </c>
      <c r="M183" s="203">
        <f t="shared" ref="M183:M187" si="97">ROUND(IF(C183="L",(L183-G183),(G183-L183)),4)</f>
        <v>193.14</v>
      </c>
      <c r="N183" s="204">
        <f t="shared" ref="N183:N187" si="98">IFERROR(ROUND((M183/I183),2),"")</f>
        <v>3.48</v>
      </c>
      <c r="O183" s="205">
        <f t="shared" ref="O183:O187" si="99">IF(D183="O",IF(N183&lt;0,N183,0),0)</f>
        <v>0</v>
      </c>
      <c r="P183" s="206">
        <f t="shared" si="81"/>
        <v>3.48</v>
      </c>
      <c r="Q183" s="206">
        <f t="shared" si="82"/>
        <v>0</v>
      </c>
      <c r="R18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10283</v>
      </c>
      <c r="T18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10283</v>
      </c>
      <c r="U183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83" s="209">
        <f t="shared" si="83"/>
        <v>0</v>
      </c>
      <c r="W183" s="209">
        <f t="shared" ref="W183:W187" si="100">IF(D183="O",IF(V183&lt;0,V183,0),0)</f>
        <v>0</v>
      </c>
      <c r="X183" s="209">
        <f t="shared" si="85"/>
        <v>0</v>
      </c>
      <c r="Y183" s="209">
        <f t="shared" ref="Y183:Y187" si="101">IF(D183="O",IF(X183&lt;0,X183,0),0)</f>
        <v>0</v>
      </c>
      <c r="Z183" s="209">
        <f t="shared" si="87"/>
        <v>3.48</v>
      </c>
      <c r="AA183" s="205">
        <f t="shared" ref="AA183:AA187" si="102">IF(D183="O",IF(Z183&lt;0,Z183,0),0)</f>
        <v>0</v>
      </c>
      <c r="AB183" s="209">
        <f t="shared" si="89"/>
        <v>0</v>
      </c>
      <c r="AC183" s="205">
        <f t="shared" ref="AC183:AC187" si="103">IF(D183="O",IF(AB183&lt;0,AB183,0),0)</f>
        <v>0</v>
      </c>
      <c r="AD183" s="210">
        <f t="shared" si="91"/>
        <v>0.15833333333284827</v>
      </c>
      <c r="AE183" s="210">
        <f t="shared" ref="AE183:AE187" si="104">IF(N183&gt;0,AD183,0)</f>
        <v>0.15833333333284827</v>
      </c>
      <c r="AF183" s="210">
        <f t="shared" si="93"/>
        <v>0</v>
      </c>
      <c r="AG183" s="210">
        <f t="shared" si="94"/>
        <v>0</v>
      </c>
    </row>
    <row r="184" spans="2:33" ht="15" customHeight="1" x14ac:dyDescent="0.3">
      <c r="B184" s="196" t="s">
        <v>5</v>
      </c>
      <c r="C184" s="197" t="s">
        <v>13</v>
      </c>
      <c r="D184" s="198" t="str">
        <f t="shared" si="95"/>
        <v>C</v>
      </c>
      <c r="E184" s="199">
        <v>44568.739583333336</v>
      </c>
      <c r="F184" s="200" t="s">
        <v>93</v>
      </c>
      <c r="G184" s="201">
        <v>15587.86</v>
      </c>
      <c r="H184" s="201">
        <v>15640.04</v>
      </c>
      <c r="I184" s="202">
        <f t="shared" si="96"/>
        <v>52.180000000000291</v>
      </c>
      <c r="J184" s="201">
        <v>15031.27</v>
      </c>
      <c r="K184" s="199">
        <v>44568.783333333333</v>
      </c>
      <c r="L184" s="201">
        <v>15640.04</v>
      </c>
      <c r="M184" s="203">
        <f t="shared" si="97"/>
        <v>-52.18</v>
      </c>
      <c r="N184" s="204">
        <f t="shared" si="98"/>
        <v>-1</v>
      </c>
      <c r="O184" s="205">
        <f t="shared" si="99"/>
        <v>0</v>
      </c>
      <c r="P184" s="206">
        <f t="shared" si="81"/>
        <v>0</v>
      </c>
      <c r="Q184" s="206">
        <f t="shared" si="82"/>
        <v>-1</v>
      </c>
      <c r="R18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9935</v>
      </c>
      <c r="T18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10035</v>
      </c>
      <c r="U184" s="208">
        <f ca="1">IF(Tabla336106734812[[#This Row],[Equity]]&lt;Tabla336106734812[[#This Row],[Equity Peak]],(Tabla336106734812[[#This Row],[Equity Peak]]-Tabla336106734812[[#This Row],[Equity]])/Tabla336106734812[[#This Row],[Equity Peak]],"")</f>
        <v>9.9651220727453912E-3</v>
      </c>
      <c r="V184" s="209">
        <f t="shared" si="83"/>
        <v>0</v>
      </c>
      <c r="W184" s="209">
        <f t="shared" si="100"/>
        <v>0</v>
      </c>
      <c r="X184" s="209">
        <f t="shared" si="85"/>
        <v>0</v>
      </c>
      <c r="Y184" s="209">
        <f t="shared" si="101"/>
        <v>0</v>
      </c>
      <c r="Z184" s="209">
        <f t="shared" si="87"/>
        <v>-1</v>
      </c>
      <c r="AA184" s="205">
        <f t="shared" si="102"/>
        <v>0</v>
      </c>
      <c r="AB184" s="209">
        <f t="shared" si="89"/>
        <v>0</v>
      </c>
      <c r="AC184" s="205">
        <f t="shared" si="103"/>
        <v>0</v>
      </c>
      <c r="AD184" s="210">
        <f t="shared" si="91"/>
        <v>4.3749999997089617E-2</v>
      </c>
      <c r="AE184" s="210">
        <f t="shared" si="104"/>
        <v>0</v>
      </c>
      <c r="AF184" s="210">
        <f t="shared" si="93"/>
        <v>4.3749999997089617E-2</v>
      </c>
      <c r="AG184" s="210">
        <f t="shared" si="94"/>
        <v>0</v>
      </c>
    </row>
    <row r="185" spans="2:33" ht="15" customHeight="1" x14ac:dyDescent="0.3">
      <c r="B185" s="196" t="s">
        <v>5</v>
      </c>
      <c r="C185" s="197" t="s">
        <v>13</v>
      </c>
      <c r="D185" s="198" t="str">
        <f t="shared" si="95"/>
        <v>C</v>
      </c>
      <c r="E185" s="199">
        <v>44565.739583333336</v>
      </c>
      <c r="F185" s="200" t="s">
        <v>93</v>
      </c>
      <c r="G185" s="201">
        <v>16284.25</v>
      </c>
      <c r="H185" s="201">
        <v>16311.97</v>
      </c>
      <c r="I185" s="202">
        <f t="shared" si="96"/>
        <v>27.719999999999345</v>
      </c>
      <c r="J185" s="201">
        <v>15988.59</v>
      </c>
      <c r="K185" s="199">
        <v>44565.908333333333</v>
      </c>
      <c r="L185" s="201">
        <v>16219.12</v>
      </c>
      <c r="M185" s="203">
        <f t="shared" si="97"/>
        <v>65.13</v>
      </c>
      <c r="N185" s="204">
        <f t="shared" si="98"/>
        <v>2.35</v>
      </c>
      <c r="O185" s="205">
        <f t="shared" si="99"/>
        <v>0</v>
      </c>
      <c r="P185" s="206">
        <f t="shared" si="81"/>
        <v>2.35</v>
      </c>
      <c r="Q185" s="206">
        <f t="shared" si="82"/>
        <v>0</v>
      </c>
      <c r="R18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10035</v>
      </c>
      <c r="T18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10035</v>
      </c>
      <c r="U185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85" s="209">
        <f t="shared" si="83"/>
        <v>0</v>
      </c>
      <c r="W185" s="209">
        <f t="shared" si="100"/>
        <v>0</v>
      </c>
      <c r="X185" s="209">
        <f t="shared" si="85"/>
        <v>0</v>
      </c>
      <c r="Y185" s="209">
        <f t="shared" si="101"/>
        <v>0</v>
      </c>
      <c r="Z185" s="209">
        <f t="shared" si="87"/>
        <v>2.35</v>
      </c>
      <c r="AA185" s="205">
        <f t="shared" si="102"/>
        <v>0</v>
      </c>
      <c r="AB185" s="209">
        <f t="shared" si="89"/>
        <v>0</v>
      </c>
      <c r="AC185" s="205">
        <f t="shared" si="103"/>
        <v>0</v>
      </c>
      <c r="AD185" s="210">
        <f t="shared" si="91"/>
        <v>0.16874999999708962</v>
      </c>
      <c r="AE185" s="210">
        <f t="shared" si="104"/>
        <v>0.16874999999708962</v>
      </c>
      <c r="AF185" s="210">
        <f t="shared" si="93"/>
        <v>0</v>
      </c>
      <c r="AG185" s="210">
        <f t="shared" si="94"/>
        <v>0</v>
      </c>
    </row>
    <row r="186" spans="2:33" ht="15" customHeight="1" x14ac:dyDescent="0.3">
      <c r="B186" s="196" t="s">
        <v>5</v>
      </c>
      <c r="C186" s="197" t="s">
        <v>15</v>
      </c>
      <c r="D186" s="198" t="str">
        <f t="shared" si="95"/>
        <v>C</v>
      </c>
      <c r="E186" s="199">
        <v>44565.520833333336</v>
      </c>
      <c r="F186" s="200" t="s">
        <v>93</v>
      </c>
      <c r="G186" s="201">
        <v>16546.169999999998</v>
      </c>
      <c r="H186" s="201">
        <v>16515.93</v>
      </c>
      <c r="I186" s="202">
        <f t="shared" si="96"/>
        <v>30.239999999997963</v>
      </c>
      <c r="J186" s="201">
        <v>16868.759999999998</v>
      </c>
      <c r="K186" s="199">
        <v>44565.599305555559</v>
      </c>
      <c r="L186" s="201">
        <v>16515.93</v>
      </c>
      <c r="M186" s="203">
        <f t="shared" si="97"/>
        <v>-30.24</v>
      </c>
      <c r="N186" s="204">
        <f t="shared" si="98"/>
        <v>-1</v>
      </c>
      <c r="O186" s="205">
        <f t="shared" si="99"/>
        <v>0</v>
      </c>
      <c r="P186" s="206">
        <f t="shared" si="81"/>
        <v>0</v>
      </c>
      <c r="Q186" s="206">
        <f t="shared" si="82"/>
        <v>-1</v>
      </c>
      <c r="R18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18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9800</v>
      </c>
      <c r="T18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</v>
      </c>
      <c r="U186" s="208">
        <f ca="1">IF(Tabla336106734812[[#This Row],[Equity]]&lt;Tabla336106734812[[#This Row],[Equity Peak]],(Tabla336106734812[[#This Row],[Equity Peak]]-Tabla336106734812[[#This Row],[Equity]])/Tabla336106734812[[#This Row],[Equity Peak]],"")</f>
        <v>0.02</v>
      </c>
      <c r="V186" s="209">
        <f t="shared" si="83"/>
        <v>0</v>
      </c>
      <c r="W186" s="209">
        <f t="shared" si="100"/>
        <v>0</v>
      </c>
      <c r="X186" s="209">
        <f t="shared" si="85"/>
        <v>0</v>
      </c>
      <c r="Y186" s="209">
        <f t="shared" si="101"/>
        <v>0</v>
      </c>
      <c r="Z186" s="209">
        <f t="shared" si="87"/>
        <v>-1</v>
      </c>
      <c r="AA186" s="205">
        <f t="shared" si="102"/>
        <v>0</v>
      </c>
      <c r="AB186" s="209">
        <f t="shared" si="89"/>
        <v>0</v>
      </c>
      <c r="AC186" s="205">
        <f t="shared" si="103"/>
        <v>0</v>
      </c>
      <c r="AD186" s="210">
        <f t="shared" si="91"/>
        <v>7.8472222223354038E-2</v>
      </c>
      <c r="AE186" s="210">
        <f t="shared" si="104"/>
        <v>0</v>
      </c>
      <c r="AF186" s="210">
        <f t="shared" si="93"/>
        <v>7.8472222223354038E-2</v>
      </c>
      <c r="AG186" s="210">
        <f t="shared" si="94"/>
        <v>0</v>
      </c>
    </row>
    <row r="187" spans="2:33" ht="15" customHeight="1" x14ac:dyDescent="0.3">
      <c r="B187" s="181" t="s">
        <v>5</v>
      </c>
      <c r="C187" s="182" t="s">
        <v>15</v>
      </c>
      <c r="D187" s="183" t="str">
        <f t="shared" si="95"/>
        <v>C</v>
      </c>
      <c r="E187" s="184">
        <v>44565.270833333336</v>
      </c>
      <c r="F187" s="185" t="s">
        <v>93</v>
      </c>
      <c r="G187" s="186">
        <v>16517.189999999999</v>
      </c>
      <c r="H187" s="186">
        <v>16487.36</v>
      </c>
      <c r="I187" s="65">
        <f t="shared" si="96"/>
        <v>29.829999999998108</v>
      </c>
      <c r="J187" s="186">
        <v>16835.39</v>
      </c>
      <c r="K187" s="184">
        <v>44565.447222222225</v>
      </c>
      <c r="L187" s="186">
        <v>16487.36</v>
      </c>
      <c r="M187" s="187">
        <f t="shared" si="97"/>
        <v>-29.83</v>
      </c>
      <c r="N187" s="188">
        <f t="shared" si="98"/>
        <v>-1</v>
      </c>
      <c r="O187" s="189">
        <f t="shared" si="99"/>
        <v>0</v>
      </c>
      <c r="P187" s="190">
        <f t="shared" si="81"/>
        <v>0</v>
      </c>
      <c r="Q187" s="190">
        <f t="shared" si="82"/>
        <v>-1</v>
      </c>
      <c r="R187" s="190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187" s="191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9900</v>
      </c>
      <c r="T187" s="191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</v>
      </c>
      <c r="U187" s="192">
        <f ca="1">IF(Tabla336106734812[[#This Row],[Equity]]&lt;Tabla336106734812[[#This Row],[Equity Peak]],(Tabla336106734812[[#This Row],[Equity Peak]]-Tabla336106734812[[#This Row],[Equity]])/Tabla336106734812[[#This Row],[Equity Peak]],"")</f>
        <v>0.01</v>
      </c>
      <c r="V187" s="193">
        <f t="shared" si="83"/>
        <v>0</v>
      </c>
      <c r="W187" s="193">
        <f t="shared" si="100"/>
        <v>0</v>
      </c>
      <c r="X187" s="193">
        <f t="shared" si="85"/>
        <v>0</v>
      </c>
      <c r="Y187" s="193">
        <f t="shared" si="101"/>
        <v>0</v>
      </c>
      <c r="Z187" s="193">
        <f t="shared" si="87"/>
        <v>-1</v>
      </c>
      <c r="AA187" s="189">
        <f t="shared" si="102"/>
        <v>0</v>
      </c>
      <c r="AB187" s="193">
        <f t="shared" si="89"/>
        <v>0</v>
      </c>
      <c r="AC187" s="189">
        <f t="shared" si="103"/>
        <v>0</v>
      </c>
      <c r="AD187" s="194">
        <f t="shared" si="91"/>
        <v>0.17638888888905058</v>
      </c>
      <c r="AE187" s="194">
        <f t="shared" si="104"/>
        <v>0</v>
      </c>
      <c r="AF187" s="194">
        <f t="shared" si="93"/>
        <v>0.17638888888905058</v>
      </c>
      <c r="AG187" s="194">
        <f t="shared" si="94"/>
        <v>0</v>
      </c>
    </row>
  </sheetData>
  <sheetProtection algorithmName="SHA-512" hashValue="h7e6clXuMJSDI3ldFAG9PhutiUB/71dF5885Z250E8kYBS3o1s6ponKhqGYXzi98ZY64dZ4vONW2EbBuFmNHBQ==" saltValue="lK3Jbe6nL1OOfL3daDoc4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" priority="3" operator="equal">
      <formula>"OK"</formula>
    </cfRule>
    <cfRule type="cellIs" dxfId="6" priority="4" operator="equal">
      <formula>"warning"</formula>
    </cfRule>
  </conditionalFormatting>
  <conditionalFormatting sqref="F13">
    <cfRule type="cellIs" dxfId="5" priority="1" operator="equal">
      <formula>"OK"</formula>
    </cfRule>
    <cfRule type="cellIs" dxfId="4" priority="2" operator="equal">
      <formula>"Error!!"</formula>
    </cfRule>
  </conditionalFormatting>
  <conditionalFormatting sqref="E15:H15 K15:L15">
    <cfRule type="expression" dxfId="3" priority="5">
      <formula>+$D15=#REF!</formula>
    </cfRule>
    <cfRule type="expression" dxfId="2" priority="6">
      <formula>+$D15=#REF!</formula>
    </cfRule>
  </conditionalFormatting>
  <conditionalFormatting sqref="D15 K16:L19 D16:H187 J17:L187">
    <cfRule type="expression" dxfId="1" priority="7">
      <formula>+$D15=$AG$8</formula>
    </cfRule>
    <cfRule type="expression" dxfId="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23:B187" xr:uid="{E42B4B5B-1466-4C23-A919-445FAC5C5BCF}">
      <formula1>$AE$4:$AE$7</formula1>
    </dataValidation>
    <dataValidation type="list" allowBlank="1" showInputMessage="1" showErrorMessage="1" promptTitle="Instrument Type" prompt="Select Type from List_x000a_" sqref="B15:B22" xr:uid="{F85ABCA4-38C2-420F-875E-43386DED7162}">
      <formula1>$AE$4:$AE$6</formula1>
    </dataValidation>
    <dataValidation type="list" allowBlank="1" showInputMessage="1" showErrorMessage="1" promptTitle="Trade Direction" prompt="Select from List" sqref="C15:C23" xr:uid="{0AFBE46F-E6CB-4C42-B831-8A17AF005034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Master</vt:lpstr>
      <vt:lpstr>Profit Summary</vt:lpstr>
      <vt:lpstr>Reference Table</vt:lpstr>
      <vt:lpstr>Template</vt:lpstr>
      <vt:lpstr>EURUSD</vt:lpstr>
      <vt:lpstr>GBPJPY</vt:lpstr>
      <vt:lpstr>USDJPY</vt:lpstr>
      <vt:lpstr>XAUUSD</vt:lpstr>
      <vt:lpstr>GER30</vt:lpstr>
      <vt:lpstr>NDX100</vt:lpstr>
      <vt:lpstr>SPX500</vt:lpstr>
      <vt:lpstr>EURUSD!Print_Area</vt:lpstr>
      <vt:lpstr>GBPJPY!Print_Area</vt:lpstr>
      <vt:lpstr>'GER30'!Print_Area</vt:lpstr>
      <vt:lpstr>Master!Print_Area</vt:lpstr>
      <vt:lpstr>'NDX100'!Print_Area</vt:lpstr>
      <vt:lpstr>'SPX500'!Print_Area</vt:lpstr>
      <vt:lpstr>Template!Print_Area</vt:lpstr>
      <vt:lpstr>USDJPY!Print_Area</vt:lpstr>
      <vt:lpstr>XAUUSD!Print_Area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Simpson;Peter Hunt;Stacey Eaton</dc:creator>
  <cp:lastModifiedBy>Colin Simpson</cp:lastModifiedBy>
  <cp:lastPrinted>2022-10-04T13:08:24Z</cp:lastPrinted>
  <dcterms:created xsi:type="dcterms:W3CDTF">2011-04-10T08:00:21Z</dcterms:created>
  <dcterms:modified xsi:type="dcterms:W3CDTF">2022-11-15T21:40:28Z</dcterms:modified>
</cp:coreProperties>
</file>