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tables/table22.xml" ContentType="application/vnd.openxmlformats-officedocument.spreadsheetml.table+xml"/>
  <Override PartName="/xl/drawings/drawing22.xml" ContentType="application/vnd.openxmlformats-officedocument.drawing+xml"/>
  <Override PartName="/xl/tables/table23.xml" ContentType="application/vnd.openxmlformats-officedocument.spreadsheetml.table+xml"/>
  <Override PartName="/xl/drawings/drawing23.xml" ContentType="application/vnd.openxmlformats-officedocument.drawing+xml"/>
  <Override PartName="/xl/tables/table24.xml" ContentType="application/vnd.openxmlformats-officedocument.spreadsheetml.table+xml"/>
  <Override PartName="/xl/drawings/drawing24.xml" ContentType="application/vnd.openxmlformats-officedocument.drawing+xml"/>
  <Override PartName="/xl/tables/table2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radingmentor-my.sharepoint.com/personal/colin_aats_au/Documents/"/>
    </mc:Choice>
  </mc:AlternateContent>
  <xr:revisionPtr revIDLastSave="0" documentId="8_{4F5BE050-E033-4CC0-A3BC-089E1A889869}" xr6:coauthVersionLast="47" xr6:coauthVersionMax="47" xr10:uidLastSave="{00000000-0000-0000-0000-000000000000}"/>
  <bookViews>
    <workbookView xWindow="-120" yWindow="-120" windowWidth="29040" windowHeight="15840" tabRatio="862" firstSheet="5" activeTab="24" xr2:uid="{00000000-000D-0000-FFFF-FFFF00000000}"/>
  </bookViews>
  <sheets>
    <sheet name="Master" sheetId="34" r:id="rId1"/>
    <sheet name="Profit Summary" sheetId="6" r:id="rId2"/>
    <sheet name="Reference Table" sheetId="11" r:id="rId3"/>
    <sheet name="Template" sheetId="41" state="hidden" r:id="rId4"/>
    <sheet name="AUDJPY" sheetId="49" r:id="rId5"/>
    <sheet name="AUDUSD" sheetId="50" r:id="rId6"/>
    <sheet name="EURAUD" sheetId="55" r:id="rId7"/>
    <sheet name="EURGBP" sheetId="51" r:id="rId8"/>
    <sheet name="EURJPY" sheetId="52" r:id="rId9"/>
    <sheet name="EURUSD" sheetId="42" r:id="rId10"/>
    <sheet name="GBPAUD" sheetId="53" r:id="rId11"/>
    <sheet name="GBPJPY" sheetId="43" r:id="rId12"/>
    <sheet name="GBPUSD" sheetId="54" r:id="rId13"/>
    <sheet name="USDJPY" sheetId="44" r:id="rId14"/>
    <sheet name="XAGUSD" sheetId="56" r:id="rId15"/>
    <sheet name="XAUUSD" sheetId="45" r:id="rId16"/>
    <sheet name="USOUSD" sheetId="57" r:id="rId17"/>
    <sheet name="ASX200" sheetId="58" r:id="rId18"/>
    <sheet name="GER30" sheetId="46" r:id="rId19"/>
    <sheet name="NDX100" sheetId="47" r:id="rId20"/>
    <sheet name="SPX500" sheetId="48" r:id="rId21"/>
    <sheet name="UK100" sheetId="59" r:id="rId22"/>
    <sheet name="US30" sheetId="60" r:id="rId23"/>
    <sheet name="BTCUSD" sheetId="61" r:id="rId24"/>
    <sheet name="ETHUSD" sheetId="62" r:id="rId25"/>
  </sheets>
  <definedNames>
    <definedName name="_xlnm.Print_Area" localSheetId="17">'ASX200'!$A$1:$AH$16</definedName>
    <definedName name="_xlnm.Print_Area" localSheetId="4">AUDJPY!$A$1:$AH$16</definedName>
    <definedName name="_xlnm.Print_Area" localSheetId="5">AUDUSD!$A$1:$AH$16</definedName>
    <definedName name="_xlnm.Print_Area" localSheetId="23">BTCUSD!$A$1:$AH$16</definedName>
    <definedName name="_xlnm.Print_Area" localSheetId="24">ETHUSD!$A$1:$AH$16</definedName>
    <definedName name="_xlnm.Print_Area" localSheetId="6">EURAUD!$A$1:$AH$16</definedName>
    <definedName name="_xlnm.Print_Area" localSheetId="7">EURGBP!$A$1:$AH$16</definedName>
    <definedName name="_xlnm.Print_Area" localSheetId="8">EURJPY!$A$1:$AH$16</definedName>
    <definedName name="_xlnm.Print_Area" localSheetId="9">EURUSD!$A$1:$AH$16</definedName>
    <definedName name="_xlnm.Print_Area" localSheetId="10">GBPAUD!$A$1:$AH$16</definedName>
    <definedName name="_xlnm.Print_Area" localSheetId="11">GBPJPY!$A$1:$AH$16</definedName>
    <definedName name="_xlnm.Print_Area" localSheetId="12">GBPUSD!$A$1:$AH$16</definedName>
    <definedName name="_xlnm.Print_Area" localSheetId="18">'GER30'!$A$1:$AH$16</definedName>
    <definedName name="_xlnm.Print_Area" localSheetId="0">Master!$A$1:$AH$17</definedName>
    <definedName name="_xlnm.Print_Area" localSheetId="19">'NDX100'!$A$1:$AH$16</definedName>
    <definedName name="_xlnm.Print_Area" localSheetId="20">'SPX500'!$A$1:$AH$16</definedName>
    <definedName name="_xlnm.Print_Area" localSheetId="3">Template!$A$1:$AH$17</definedName>
    <definedName name="_xlnm.Print_Area" localSheetId="21">'UK100'!$A$1:$AH$16</definedName>
    <definedName name="_xlnm.Print_Area" localSheetId="22">'US30'!$A$1:$AH$16</definedName>
    <definedName name="_xlnm.Print_Area" localSheetId="13">USDJPY!$A$1:$AH$16</definedName>
    <definedName name="_xlnm.Print_Area" localSheetId="16">USOUSD!$A$1:$AH$16</definedName>
    <definedName name="_xlnm.Print_Area" localSheetId="14">XAGUSD!$A$1:$AH$16</definedName>
    <definedName name="_xlnm.Print_Area" localSheetId="15">XAUUSD!$A$1:$AH$16</definedName>
  </definedNames>
  <calcPr calcId="191029" concurrentCalc="0"/>
  <pivotCaches>
    <pivotCache cacheId="0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34" l="1"/>
  <c r="D56" i="34"/>
  <c r="D59" i="34"/>
  <c r="D64" i="34"/>
  <c r="D66" i="34"/>
  <c r="D79" i="34"/>
  <c r="D80" i="34"/>
  <c r="D90" i="34"/>
  <c r="D98" i="34"/>
  <c r="D158" i="34"/>
  <c r="D188" i="34"/>
  <c r="D189" i="34"/>
  <c r="D192" i="34"/>
  <c r="D195" i="34"/>
  <c r="D264" i="34"/>
  <c r="D274" i="34"/>
  <c r="D280" i="34"/>
  <c r="D287" i="34"/>
  <c r="D418" i="34"/>
  <c r="D433" i="34"/>
  <c r="D450" i="34"/>
  <c r="D454" i="34"/>
  <c r="D533" i="34"/>
  <c r="I25" i="34"/>
  <c r="I56" i="34"/>
  <c r="I59" i="34"/>
  <c r="I64" i="34"/>
  <c r="I66" i="34"/>
  <c r="I79" i="34"/>
  <c r="I80" i="34"/>
  <c r="I90" i="34"/>
  <c r="I98" i="34"/>
  <c r="I158" i="34"/>
  <c r="I188" i="34"/>
  <c r="I189" i="34"/>
  <c r="I192" i="34"/>
  <c r="I195" i="34"/>
  <c r="I264" i="34"/>
  <c r="I274" i="34"/>
  <c r="I280" i="34"/>
  <c r="I287" i="34"/>
  <c r="I418" i="34"/>
  <c r="I433" i="34"/>
  <c r="I450" i="34"/>
  <c r="I454" i="34"/>
  <c r="I533" i="34"/>
  <c r="M25" i="34"/>
  <c r="M56" i="34"/>
  <c r="M59" i="34"/>
  <c r="M64" i="34"/>
  <c r="M66" i="34"/>
  <c r="M79" i="34"/>
  <c r="M80" i="34"/>
  <c r="M90" i="34"/>
  <c r="M98" i="34"/>
  <c r="M158" i="34"/>
  <c r="M188" i="34"/>
  <c r="M189" i="34"/>
  <c r="M192" i="34"/>
  <c r="M195" i="34"/>
  <c r="M264" i="34"/>
  <c r="M274" i="34"/>
  <c r="M280" i="34"/>
  <c r="M287" i="34"/>
  <c r="M418" i="34"/>
  <c r="M433" i="34"/>
  <c r="M450" i="34"/>
  <c r="M454" i="34"/>
  <c r="M533" i="34"/>
  <c r="N25" i="34"/>
  <c r="N56" i="34"/>
  <c r="N59" i="34"/>
  <c r="N64" i="34"/>
  <c r="N66" i="34"/>
  <c r="N79" i="34"/>
  <c r="N80" i="34"/>
  <c r="N90" i="34"/>
  <c r="N98" i="34"/>
  <c r="N158" i="34"/>
  <c r="N188" i="34"/>
  <c r="N189" i="34"/>
  <c r="N192" i="34"/>
  <c r="N195" i="34"/>
  <c r="N264" i="34"/>
  <c r="N274" i="34"/>
  <c r="N280" i="34"/>
  <c r="N287" i="34"/>
  <c r="N418" i="34"/>
  <c r="N433" i="34"/>
  <c r="N450" i="34"/>
  <c r="N454" i="34"/>
  <c r="N533" i="34"/>
  <c r="O25" i="34"/>
  <c r="O56" i="34"/>
  <c r="O59" i="34"/>
  <c r="O64" i="34"/>
  <c r="O66" i="34"/>
  <c r="O79" i="34"/>
  <c r="O80" i="34"/>
  <c r="O90" i="34"/>
  <c r="O98" i="34"/>
  <c r="O158" i="34"/>
  <c r="O188" i="34"/>
  <c r="O189" i="34"/>
  <c r="O192" i="34"/>
  <c r="O195" i="34"/>
  <c r="O264" i="34"/>
  <c r="O274" i="34"/>
  <c r="O280" i="34"/>
  <c r="O287" i="34"/>
  <c r="O418" i="34"/>
  <c r="O433" i="34"/>
  <c r="O450" i="34"/>
  <c r="O454" i="34"/>
  <c r="O533" i="34"/>
  <c r="P25" i="34"/>
  <c r="P56" i="34"/>
  <c r="P59" i="34"/>
  <c r="P64" i="34"/>
  <c r="P66" i="34"/>
  <c r="P79" i="34"/>
  <c r="P80" i="34"/>
  <c r="P90" i="34"/>
  <c r="P98" i="34"/>
  <c r="P158" i="34"/>
  <c r="P188" i="34"/>
  <c r="P189" i="34"/>
  <c r="P192" i="34"/>
  <c r="P195" i="34"/>
  <c r="P264" i="34"/>
  <c r="P274" i="34"/>
  <c r="P280" i="34"/>
  <c r="P287" i="34"/>
  <c r="P418" i="34"/>
  <c r="P433" i="34"/>
  <c r="P450" i="34"/>
  <c r="P454" i="34"/>
  <c r="P533" i="34"/>
  <c r="Q25" i="34"/>
  <c r="Q56" i="34"/>
  <c r="Q59" i="34"/>
  <c r="Q64" i="34"/>
  <c r="Q66" i="34"/>
  <c r="Q79" i="34"/>
  <c r="Q80" i="34"/>
  <c r="Q90" i="34"/>
  <c r="Q98" i="34"/>
  <c r="Q158" i="34"/>
  <c r="Q188" i="34"/>
  <c r="Q189" i="34"/>
  <c r="Q192" i="34"/>
  <c r="Q195" i="34"/>
  <c r="Q264" i="34"/>
  <c r="Q274" i="34"/>
  <c r="Q280" i="34"/>
  <c r="Q287" i="34"/>
  <c r="Q418" i="34"/>
  <c r="Q433" i="34"/>
  <c r="Q450" i="34"/>
  <c r="Q454" i="34"/>
  <c r="Q533" i="34"/>
  <c r="M551" i="34"/>
  <c r="I551" i="34"/>
  <c r="N551" i="34"/>
  <c r="S551" i="34"/>
  <c r="M550" i="34"/>
  <c r="I550" i="34"/>
  <c r="N550" i="34"/>
  <c r="S550" i="34"/>
  <c r="M549" i="34"/>
  <c r="I549" i="34"/>
  <c r="N549" i="34"/>
  <c r="S549" i="34"/>
  <c r="M548" i="34"/>
  <c r="I548" i="34"/>
  <c r="N548" i="34"/>
  <c r="S548" i="34"/>
  <c r="M547" i="34"/>
  <c r="I547" i="34"/>
  <c r="N547" i="34"/>
  <c r="S547" i="34"/>
  <c r="M546" i="34"/>
  <c r="I546" i="34"/>
  <c r="N546" i="34"/>
  <c r="S546" i="34"/>
  <c r="M545" i="34"/>
  <c r="I545" i="34"/>
  <c r="N545" i="34"/>
  <c r="S545" i="34"/>
  <c r="M544" i="34"/>
  <c r="I544" i="34"/>
  <c r="N544" i="34"/>
  <c r="S544" i="34"/>
  <c r="M543" i="34"/>
  <c r="I543" i="34"/>
  <c r="N543" i="34"/>
  <c r="S543" i="34"/>
  <c r="M542" i="34"/>
  <c r="I542" i="34"/>
  <c r="N542" i="34"/>
  <c r="S542" i="34"/>
  <c r="M541" i="34"/>
  <c r="I541" i="34"/>
  <c r="N541" i="34"/>
  <c r="S541" i="34"/>
  <c r="M540" i="34"/>
  <c r="I540" i="34"/>
  <c r="N540" i="34"/>
  <c r="S540" i="34"/>
  <c r="M539" i="34"/>
  <c r="I539" i="34"/>
  <c r="N539" i="34"/>
  <c r="S539" i="34"/>
  <c r="M538" i="34"/>
  <c r="I538" i="34"/>
  <c r="N538" i="34"/>
  <c r="S538" i="34"/>
  <c r="M537" i="34"/>
  <c r="I537" i="34"/>
  <c r="N537" i="34"/>
  <c r="S537" i="34"/>
  <c r="M536" i="34"/>
  <c r="I536" i="34"/>
  <c r="N536" i="34"/>
  <c r="S536" i="34"/>
  <c r="M535" i="34"/>
  <c r="I535" i="34"/>
  <c r="N535" i="34"/>
  <c r="S535" i="34"/>
  <c r="M534" i="34"/>
  <c r="I534" i="34"/>
  <c r="N534" i="34"/>
  <c r="S534" i="34"/>
  <c r="S533" i="34"/>
  <c r="M532" i="34"/>
  <c r="I532" i="34"/>
  <c r="N532" i="34"/>
  <c r="S532" i="34"/>
  <c r="M531" i="34"/>
  <c r="I531" i="34"/>
  <c r="N531" i="34"/>
  <c r="S531" i="34"/>
  <c r="M530" i="34"/>
  <c r="I530" i="34"/>
  <c r="N530" i="34"/>
  <c r="S530" i="34"/>
  <c r="M529" i="34"/>
  <c r="I529" i="34"/>
  <c r="N529" i="34"/>
  <c r="S529" i="34"/>
  <c r="M528" i="34"/>
  <c r="I528" i="34"/>
  <c r="N528" i="34"/>
  <c r="S528" i="34"/>
  <c r="M527" i="34"/>
  <c r="I527" i="34"/>
  <c r="N527" i="34"/>
  <c r="S527" i="34"/>
  <c r="M526" i="34"/>
  <c r="I526" i="34"/>
  <c r="N526" i="34"/>
  <c r="S526" i="34"/>
  <c r="M525" i="34"/>
  <c r="I525" i="34"/>
  <c r="N525" i="34"/>
  <c r="S525" i="34"/>
  <c r="M524" i="34"/>
  <c r="I524" i="34"/>
  <c r="N524" i="34"/>
  <c r="S524" i="34"/>
  <c r="M523" i="34"/>
  <c r="I523" i="34"/>
  <c r="N523" i="34"/>
  <c r="S523" i="34"/>
  <c r="M522" i="34"/>
  <c r="I522" i="34"/>
  <c r="N522" i="34"/>
  <c r="S522" i="34"/>
  <c r="M521" i="34"/>
  <c r="I521" i="34"/>
  <c r="N521" i="34"/>
  <c r="S521" i="34"/>
  <c r="M520" i="34"/>
  <c r="I520" i="34"/>
  <c r="N520" i="34"/>
  <c r="S520" i="34"/>
  <c r="M519" i="34"/>
  <c r="I519" i="34"/>
  <c r="N519" i="34"/>
  <c r="S519" i="34"/>
  <c r="M518" i="34"/>
  <c r="I518" i="34"/>
  <c r="N518" i="34"/>
  <c r="S518" i="34"/>
  <c r="M517" i="34"/>
  <c r="I517" i="34"/>
  <c r="N517" i="34"/>
  <c r="S517" i="34"/>
  <c r="M516" i="34"/>
  <c r="I516" i="34"/>
  <c r="N516" i="34"/>
  <c r="S516" i="34"/>
  <c r="M515" i="34"/>
  <c r="I515" i="34"/>
  <c r="N515" i="34"/>
  <c r="S515" i="34"/>
  <c r="M514" i="34"/>
  <c r="I514" i="34"/>
  <c r="N514" i="34"/>
  <c r="S514" i="34"/>
  <c r="M513" i="34"/>
  <c r="I513" i="34"/>
  <c r="N513" i="34"/>
  <c r="S513" i="34"/>
  <c r="M512" i="34"/>
  <c r="I512" i="34"/>
  <c r="N512" i="34"/>
  <c r="S512" i="34"/>
  <c r="M511" i="34"/>
  <c r="I511" i="34"/>
  <c r="N511" i="34"/>
  <c r="S511" i="34"/>
  <c r="M510" i="34"/>
  <c r="I510" i="34"/>
  <c r="N510" i="34"/>
  <c r="S510" i="34"/>
  <c r="M509" i="34"/>
  <c r="I509" i="34"/>
  <c r="N509" i="34"/>
  <c r="S509" i="34"/>
  <c r="M508" i="34"/>
  <c r="I508" i="34"/>
  <c r="N508" i="34"/>
  <c r="S508" i="34"/>
  <c r="M507" i="34"/>
  <c r="I507" i="34"/>
  <c r="N507" i="34"/>
  <c r="S507" i="34"/>
  <c r="M506" i="34"/>
  <c r="I506" i="34"/>
  <c r="N506" i="34"/>
  <c r="S506" i="34"/>
  <c r="M505" i="34"/>
  <c r="I505" i="34"/>
  <c r="N505" i="34"/>
  <c r="S505" i="34"/>
  <c r="M504" i="34"/>
  <c r="I504" i="34"/>
  <c r="N504" i="34"/>
  <c r="S504" i="34"/>
  <c r="M503" i="34"/>
  <c r="I503" i="34"/>
  <c r="N503" i="34"/>
  <c r="S503" i="34"/>
  <c r="M502" i="34"/>
  <c r="I502" i="34"/>
  <c r="N502" i="34"/>
  <c r="S502" i="34"/>
  <c r="M501" i="34"/>
  <c r="I501" i="34"/>
  <c r="N501" i="34"/>
  <c r="S501" i="34"/>
  <c r="M500" i="34"/>
  <c r="I500" i="34"/>
  <c r="N500" i="34"/>
  <c r="S500" i="34"/>
  <c r="M499" i="34"/>
  <c r="I499" i="34"/>
  <c r="N499" i="34"/>
  <c r="S499" i="34"/>
  <c r="M498" i="34"/>
  <c r="I498" i="34"/>
  <c r="N498" i="34"/>
  <c r="S498" i="34"/>
  <c r="M497" i="34"/>
  <c r="I497" i="34"/>
  <c r="N497" i="34"/>
  <c r="S497" i="34"/>
  <c r="M496" i="34"/>
  <c r="I496" i="34"/>
  <c r="N496" i="34"/>
  <c r="S496" i="34"/>
  <c r="M495" i="34"/>
  <c r="I495" i="34"/>
  <c r="N495" i="34"/>
  <c r="S495" i="34"/>
  <c r="M494" i="34"/>
  <c r="I494" i="34"/>
  <c r="N494" i="34"/>
  <c r="S494" i="34"/>
  <c r="M493" i="34"/>
  <c r="I493" i="34"/>
  <c r="N493" i="34"/>
  <c r="S493" i="34"/>
  <c r="M492" i="34"/>
  <c r="I492" i="34"/>
  <c r="N492" i="34"/>
  <c r="S492" i="34"/>
  <c r="M491" i="34"/>
  <c r="I491" i="34"/>
  <c r="N491" i="34"/>
  <c r="S491" i="34"/>
  <c r="M490" i="34"/>
  <c r="I490" i="34"/>
  <c r="N490" i="34"/>
  <c r="S490" i="34"/>
  <c r="M489" i="34"/>
  <c r="I489" i="34"/>
  <c r="N489" i="34"/>
  <c r="S489" i="34"/>
  <c r="M488" i="34"/>
  <c r="I488" i="34"/>
  <c r="N488" i="34"/>
  <c r="S488" i="34"/>
  <c r="M487" i="34"/>
  <c r="I487" i="34"/>
  <c r="N487" i="34"/>
  <c r="S487" i="34"/>
  <c r="M486" i="34"/>
  <c r="I486" i="34"/>
  <c r="N486" i="34"/>
  <c r="S486" i="34"/>
  <c r="M485" i="34"/>
  <c r="I485" i="34"/>
  <c r="N485" i="34"/>
  <c r="S485" i="34"/>
  <c r="M484" i="34"/>
  <c r="I484" i="34"/>
  <c r="N484" i="34"/>
  <c r="S484" i="34"/>
  <c r="M483" i="34"/>
  <c r="I483" i="34"/>
  <c r="N483" i="34"/>
  <c r="S483" i="34"/>
  <c r="M482" i="34"/>
  <c r="I482" i="34"/>
  <c r="N482" i="34"/>
  <c r="S482" i="34"/>
  <c r="M481" i="34"/>
  <c r="I481" i="34"/>
  <c r="N481" i="34"/>
  <c r="S481" i="34"/>
  <c r="M480" i="34"/>
  <c r="I480" i="34"/>
  <c r="N480" i="34"/>
  <c r="S480" i="34"/>
  <c r="M479" i="34"/>
  <c r="I479" i="34"/>
  <c r="N479" i="34"/>
  <c r="S479" i="34"/>
  <c r="M478" i="34"/>
  <c r="I478" i="34"/>
  <c r="N478" i="34"/>
  <c r="S478" i="34"/>
  <c r="M477" i="34"/>
  <c r="I477" i="34"/>
  <c r="N477" i="34"/>
  <c r="S477" i="34"/>
  <c r="M476" i="34"/>
  <c r="I476" i="34"/>
  <c r="N476" i="34"/>
  <c r="S476" i="34"/>
  <c r="M475" i="34"/>
  <c r="I475" i="34"/>
  <c r="N475" i="34"/>
  <c r="S475" i="34"/>
  <c r="M474" i="34"/>
  <c r="I474" i="34"/>
  <c r="N474" i="34"/>
  <c r="S474" i="34"/>
  <c r="M473" i="34"/>
  <c r="I473" i="34"/>
  <c r="N473" i="34"/>
  <c r="S473" i="34"/>
  <c r="M472" i="34"/>
  <c r="I472" i="34"/>
  <c r="N472" i="34"/>
  <c r="S472" i="34"/>
  <c r="M471" i="34"/>
  <c r="I471" i="34"/>
  <c r="N471" i="34"/>
  <c r="S471" i="34"/>
  <c r="M470" i="34"/>
  <c r="I470" i="34"/>
  <c r="N470" i="34"/>
  <c r="S470" i="34"/>
  <c r="M469" i="34"/>
  <c r="I469" i="34"/>
  <c r="N469" i="34"/>
  <c r="S469" i="34"/>
  <c r="M468" i="34"/>
  <c r="I468" i="34"/>
  <c r="N468" i="34"/>
  <c r="S468" i="34"/>
  <c r="M467" i="34"/>
  <c r="I467" i="34"/>
  <c r="N467" i="34"/>
  <c r="S467" i="34"/>
  <c r="M466" i="34"/>
  <c r="I466" i="34"/>
  <c r="N466" i="34"/>
  <c r="S466" i="34"/>
  <c r="M465" i="34"/>
  <c r="I465" i="34"/>
  <c r="N465" i="34"/>
  <c r="S465" i="34"/>
  <c r="M464" i="34"/>
  <c r="I464" i="34"/>
  <c r="N464" i="34"/>
  <c r="S464" i="34"/>
  <c r="M463" i="34"/>
  <c r="I463" i="34"/>
  <c r="N463" i="34"/>
  <c r="S463" i="34"/>
  <c r="M462" i="34"/>
  <c r="I462" i="34"/>
  <c r="N462" i="34"/>
  <c r="S462" i="34"/>
  <c r="M461" i="34"/>
  <c r="I461" i="34"/>
  <c r="N461" i="34"/>
  <c r="S461" i="34"/>
  <c r="M460" i="34"/>
  <c r="I460" i="34"/>
  <c r="N460" i="34"/>
  <c r="S460" i="34"/>
  <c r="M459" i="34"/>
  <c r="I459" i="34"/>
  <c r="N459" i="34"/>
  <c r="S459" i="34"/>
  <c r="M458" i="34"/>
  <c r="I458" i="34"/>
  <c r="N458" i="34"/>
  <c r="S458" i="34"/>
  <c r="M457" i="34"/>
  <c r="I457" i="34"/>
  <c r="N457" i="34"/>
  <c r="S457" i="34"/>
  <c r="M456" i="34"/>
  <c r="I456" i="34"/>
  <c r="N456" i="34"/>
  <c r="S456" i="34"/>
  <c r="M455" i="34"/>
  <c r="I455" i="34"/>
  <c r="N455" i="34"/>
  <c r="S455" i="34"/>
  <c r="S454" i="34"/>
  <c r="M453" i="34"/>
  <c r="I453" i="34"/>
  <c r="N453" i="34"/>
  <c r="S453" i="34"/>
  <c r="M452" i="34"/>
  <c r="I452" i="34"/>
  <c r="N452" i="34"/>
  <c r="S452" i="34"/>
  <c r="M451" i="34"/>
  <c r="I451" i="34"/>
  <c r="N451" i="34"/>
  <c r="S451" i="34"/>
  <c r="S450" i="34"/>
  <c r="M449" i="34"/>
  <c r="I449" i="34"/>
  <c r="N449" i="34"/>
  <c r="S449" i="34"/>
  <c r="M448" i="34"/>
  <c r="I448" i="34"/>
  <c r="N448" i="34"/>
  <c r="S448" i="34"/>
  <c r="M447" i="34"/>
  <c r="I447" i="34"/>
  <c r="N447" i="34"/>
  <c r="S447" i="34"/>
  <c r="M446" i="34"/>
  <c r="I446" i="34"/>
  <c r="N446" i="34"/>
  <c r="S446" i="34"/>
  <c r="M445" i="34"/>
  <c r="I445" i="34"/>
  <c r="N445" i="34"/>
  <c r="S445" i="34"/>
  <c r="M444" i="34"/>
  <c r="I444" i="34"/>
  <c r="N444" i="34"/>
  <c r="S444" i="34"/>
  <c r="M443" i="34"/>
  <c r="I443" i="34"/>
  <c r="N443" i="34"/>
  <c r="S443" i="34"/>
  <c r="M442" i="34"/>
  <c r="I442" i="34"/>
  <c r="N442" i="34"/>
  <c r="S442" i="34"/>
  <c r="M441" i="34"/>
  <c r="I441" i="34"/>
  <c r="N441" i="34"/>
  <c r="S441" i="34"/>
  <c r="M440" i="34"/>
  <c r="I440" i="34"/>
  <c r="N440" i="34"/>
  <c r="S440" i="34"/>
  <c r="M439" i="34"/>
  <c r="I439" i="34"/>
  <c r="N439" i="34"/>
  <c r="S439" i="34"/>
  <c r="M438" i="34"/>
  <c r="I438" i="34"/>
  <c r="N438" i="34"/>
  <c r="S438" i="34"/>
  <c r="M437" i="34"/>
  <c r="I437" i="34"/>
  <c r="N437" i="34"/>
  <c r="S437" i="34"/>
  <c r="M436" i="34"/>
  <c r="I436" i="34"/>
  <c r="N436" i="34"/>
  <c r="S436" i="34"/>
  <c r="M435" i="34"/>
  <c r="I435" i="34"/>
  <c r="N435" i="34"/>
  <c r="S435" i="34"/>
  <c r="M434" i="34"/>
  <c r="I434" i="34"/>
  <c r="N434" i="34"/>
  <c r="S434" i="34"/>
  <c r="S433" i="34"/>
  <c r="M432" i="34"/>
  <c r="I432" i="34"/>
  <c r="N432" i="34"/>
  <c r="S432" i="34"/>
  <c r="M431" i="34"/>
  <c r="I431" i="34"/>
  <c r="N431" i="34"/>
  <c r="S431" i="34"/>
  <c r="M430" i="34"/>
  <c r="I430" i="34"/>
  <c r="N430" i="34"/>
  <c r="S430" i="34"/>
  <c r="M429" i="34"/>
  <c r="I429" i="34"/>
  <c r="N429" i="34"/>
  <c r="S429" i="34"/>
  <c r="M428" i="34"/>
  <c r="I428" i="34"/>
  <c r="N428" i="34"/>
  <c r="S428" i="34"/>
  <c r="M427" i="34"/>
  <c r="I427" i="34"/>
  <c r="N427" i="34"/>
  <c r="S427" i="34"/>
  <c r="M426" i="34"/>
  <c r="I426" i="34"/>
  <c r="N426" i="34"/>
  <c r="S426" i="34"/>
  <c r="M425" i="34"/>
  <c r="I425" i="34"/>
  <c r="N425" i="34"/>
  <c r="S425" i="34"/>
  <c r="M424" i="34"/>
  <c r="I424" i="34"/>
  <c r="N424" i="34"/>
  <c r="S424" i="34"/>
  <c r="M423" i="34"/>
  <c r="I423" i="34"/>
  <c r="N423" i="34"/>
  <c r="S423" i="34"/>
  <c r="M422" i="34"/>
  <c r="I422" i="34"/>
  <c r="N422" i="34"/>
  <c r="S422" i="34"/>
  <c r="M421" i="34"/>
  <c r="I421" i="34"/>
  <c r="N421" i="34"/>
  <c r="S421" i="34"/>
  <c r="M420" i="34"/>
  <c r="I420" i="34"/>
  <c r="N420" i="34"/>
  <c r="S420" i="34"/>
  <c r="M419" i="34"/>
  <c r="I419" i="34"/>
  <c r="N419" i="34"/>
  <c r="S419" i="34"/>
  <c r="S418" i="34"/>
  <c r="M417" i="34"/>
  <c r="I417" i="34"/>
  <c r="N417" i="34"/>
  <c r="S417" i="34"/>
  <c r="M416" i="34"/>
  <c r="I416" i="34"/>
  <c r="N416" i="34"/>
  <c r="S416" i="34"/>
  <c r="M415" i="34"/>
  <c r="I415" i="34"/>
  <c r="N415" i="34"/>
  <c r="S415" i="34"/>
  <c r="M414" i="34"/>
  <c r="I414" i="34"/>
  <c r="N414" i="34"/>
  <c r="S414" i="34"/>
  <c r="M413" i="34"/>
  <c r="I413" i="34"/>
  <c r="N413" i="34"/>
  <c r="S413" i="34"/>
  <c r="M412" i="34"/>
  <c r="I412" i="34"/>
  <c r="N412" i="34"/>
  <c r="S412" i="34"/>
  <c r="M411" i="34"/>
  <c r="I411" i="34"/>
  <c r="N411" i="34"/>
  <c r="S411" i="34"/>
  <c r="M410" i="34"/>
  <c r="I410" i="34"/>
  <c r="N410" i="34"/>
  <c r="S410" i="34"/>
  <c r="M409" i="34"/>
  <c r="I409" i="34"/>
  <c r="N409" i="34"/>
  <c r="S409" i="34"/>
  <c r="M408" i="34"/>
  <c r="I408" i="34"/>
  <c r="N408" i="34"/>
  <c r="S408" i="34"/>
  <c r="M407" i="34"/>
  <c r="I407" i="34"/>
  <c r="N407" i="34"/>
  <c r="S407" i="34"/>
  <c r="M406" i="34"/>
  <c r="I406" i="34"/>
  <c r="N406" i="34"/>
  <c r="S406" i="34"/>
  <c r="M405" i="34"/>
  <c r="I405" i="34"/>
  <c r="N405" i="34"/>
  <c r="S405" i="34"/>
  <c r="M404" i="34"/>
  <c r="I404" i="34"/>
  <c r="N404" i="34"/>
  <c r="S404" i="34"/>
  <c r="M403" i="34"/>
  <c r="I403" i="34"/>
  <c r="N403" i="34"/>
  <c r="S403" i="34"/>
  <c r="M402" i="34"/>
  <c r="I402" i="34"/>
  <c r="N402" i="34"/>
  <c r="S402" i="34"/>
  <c r="M401" i="34"/>
  <c r="I401" i="34"/>
  <c r="N401" i="34"/>
  <c r="S401" i="34"/>
  <c r="M400" i="34"/>
  <c r="I400" i="34"/>
  <c r="N400" i="34"/>
  <c r="S400" i="34"/>
  <c r="M399" i="34"/>
  <c r="I399" i="34"/>
  <c r="N399" i="34"/>
  <c r="S399" i="34"/>
  <c r="M398" i="34"/>
  <c r="I398" i="34"/>
  <c r="N398" i="34"/>
  <c r="S398" i="34"/>
  <c r="M397" i="34"/>
  <c r="I397" i="34"/>
  <c r="N397" i="34"/>
  <c r="S397" i="34"/>
  <c r="M396" i="34"/>
  <c r="I396" i="34"/>
  <c r="N396" i="34"/>
  <c r="S396" i="34"/>
  <c r="M395" i="34"/>
  <c r="I395" i="34"/>
  <c r="N395" i="34"/>
  <c r="S395" i="34"/>
  <c r="M394" i="34"/>
  <c r="I394" i="34"/>
  <c r="N394" i="34"/>
  <c r="S394" i="34"/>
  <c r="M393" i="34"/>
  <c r="I393" i="34"/>
  <c r="N393" i="34"/>
  <c r="S393" i="34"/>
  <c r="M392" i="34"/>
  <c r="I392" i="34"/>
  <c r="N392" i="34"/>
  <c r="S392" i="34"/>
  <c r="M391" i="34"/>
  <c r="I391" i="34"/>
  <c r="N391" i="34"/>
  <c r="S391" i="34"/>
  <c r="M390" i="34"/>
  <c r="I390" i="34"/>
  <c r="N390" i="34"/>
  <c r="S390" i="34"/>
  <c r="M389" i="34"/>
  <c r="I389" i="34"/>
  <c r="N389" i="34"/>
  <c r="S389" i="34"/>
  <c r="M388" i="34"/>
  <c r="I388" i="34"/>
  <c r="N388" i="34"/>
  <c r="S388" i="34"/>
  <c r="M387" i="34"/>
  <c r="I387" i="34"/>
  <c r="N387" i="34"/>
  <c r="S387" i="34"/>
  <c r="M386" i="34"/>
  <c r="I386" i="34"/>
  <c r="N386" i="34"/>
  <c r="S386" i="34"/>
  <c r="M385" i="34"/>
  <c r="I385" i="34"/>
  <c r="N385" i="34"/>
  <c r="S385" i="34"/>
  <c r="M384" i="34"/>
  <c r="I384" i="34"/>
  <c r="N384" i="34"/>
  <c r="S384" i="34"/>
  <c r="M383" i="34"/>
  <c r="I383" i="34"/>
  <c r="N383" i="34"/>
  <c r="S383" i="34"/>
  <c r="M382" i="34"/>
  <c r="I382" i="34"/>
  <c r="N382" i="34"/>
  <c r="S382" i="34"/>
  <c r="M381" i="34"/>
  <c r="I381" i="34"/>
  <c r="N381" i="34"/>
  <c r="S381" i="34"/>
  <c r="M380" i="34"/>
  <c r="I380" i="34"/>
  <c r="N380" i="34"/>
  <c r="S380" i="34"/>
  <c r="M379" i="34"/>
  <c r="I379" i="34"/>
  <c r="N379" i="34"/>
  <c r="S379" i="34"/>
  <c r="M378" i="34"/>
  <c r="I378" i="34"/>
  <c r="N378" i="34"/>
  <c r="S378" i="34"/>
  <c r="M377" i="34"/>
  <c r="I377" i="34"/>
  <c r="N377" i="34"/>
  <c r="S377" i="34"/>
  <c r="M376" i="34"/>
  <c r="I376" i="34"/>
  <c r="N376" i="34"/>
  <c r="S376" i="34"/>
  <c r="M375" i="34"/>
  <c r="I375" i="34"/>
  <c r="N375" i="34"/>
  <c r="S375" i="34"/>
  <c r="M374" i="34"/>
  <c r="I374" i="34"/>
  <c r="N374" i="34"/>
  <c r="S374" i="34"/>
  <c r="M373" i="34"/>
  <c r="I373" i="34"/>
  <c r="N373" i="34"/>
  <c r="S373" i="34"/>
  <c r="M372" i="34"/>
  <c r="I372" i="34"/>
  <c r="N372" i="34"/>
  <c r="S372" i="34"/>
  <c r="M371" i="34"/>
  <c r="I371" i="34"/>
  <c r="N371" i="34"/>
  <c r="S371" i="34"/>
  <c r="M370" i="34"/>
  <c r="I370" i="34"/>
  <c r="N370" i="34"/>
  <c r="S370" i="34"/>
  <c r="M369" i="34"/>
  <c r="I369" i="34"/>
  <c r="N369" i="34"/>
  <c r="S369" i="34"/>
  <c r="M368" i="34"/>
  <c r="I368" i="34"/>
  <c r="N368" i="34"/>
  <c r="S368" i="34"/>
  <c r="M367" i="34"/>
  <c r="I367" i="34"/>
  <c r="N367" i="34"/>
  <c r="S367" i="34"/>
  <c r="M366" i="34"/>
  <c r="I366" i="34"/>
  <c r="N366" i="34"/>
  <c r="S366" i="34"/>
  <c r="M365" i="34"/>
  <c r="I365" i="34"/>
  <c r="N365" i="34"/>
  <c r="S365" i="34"/>
  <c r="M364" i="34"/>
  <c r="I364" i="34"/>
  <c r="N364" i="34"/>
  <c r="S364" i="34"/>
  <c r="M363" i="34"/>
  <c r="I363" i="34"/>
  <c r="N363" i="34"/>
  <c r="S363" i="34"/>
  <c r="M362" i="34"/>
  <c r="I362" i="34"/>
  <c r="N362" i="34"/>
  <c r="S362" i="34"/>
  <c r="M361" i="34"/>
  <c r="I361" i="34"/>
  <c r="N361" i="34"/>
  <c r="S361" i="34"/>
  <c r="M360" i="34"/>
  <c r="I360" i="34"/>
  <c r="N360" i="34"/>
  <c r="S360" i="34"/>
  <c r="M359" i="34"/>
  <c r="I359" i="34"/>
  <c r="N359" i="34"/>
  <c r="S359" i="34"/>
  <c r="M358" i="34"/>
  <c r="I358" i="34"/>
  <c r="N358" i="34"/>
  <c r="S358" i="34"/>
  <c r="M357" i="34"/>
  <c r="I357" i="34"/>
  <c r="N357" i="34"/>
  <c r="S357" i="34"/>
  <c r="M356" i="34"/>
  <c r="I356" i="34"/>
  <c r="N356" i="34"/>
  <c r="S356" i="34"/>
  <c r="M355" i="34"/>
  <c r="I355" i="34"/>
  <c r="N355" i="34"/>
  <c r="S355" i="34"/>
  <c r="M354" i="34"/>
  <c r="I354" i="34"/>
  <c r="N354" i="34"/>
  <c r="S354" i="34"/>
  <c r="M353" i="34"/>
  <c r="I353" i="34"/>
  <c r="N353" i="34"/>
  <c r="S353" i="34"/>
  <c r="M352" i="34"/>
  <c r="I352" i="34"/>
  <c r="N352" i="34"/>
  <c r="S352" i="34"/>
  <c r="M351" i="34"/>
  <c r="I351" i="34"/>
  <c r="N351" i="34"/>
  <c r="S351" i="34"/>
  <c r="M350" i="34"/>
  <c r="I350" i="34"/>
  <c r="N350" i="34"/>
  <c r="S350" i="34"/>
  <c r="M349" i="34"/>
  <c r="I349" i="34"/>
  <c r="N349" i="34"/>
  <c r="S349" i="34"/>
  <c r="M348" i="34"/>
  <c r="I348" i="34"/>
  <c r="N348" i="34"/>
  <c r="S348" i="34"/>
  <c r="M347" i="34"/>
  <c r="I347" i="34"/>
  <c r="N347" i="34"/>
  <c r="S347" i="34"/>
  <c r="M346" i="34"/>
  <c r="I346" i="34"/>
  <c r="N346" i="34"/>
  <c r="S346" i="34"/>
  <c r="M345" i="34"/>
  <c r="I345" i="34"/>
  <c r="N345" i="34"/>
  <c r="S345" i="34"/>
  <c r="M344" i="34"/>
  <c r="I344" i="34"/>
  <c r="N344" i="34"/>
  <c r="S344" i="34"/>
  <c r="M343" i="34"/>
  <c r="I343" i="34"/>
  <c r="N343" i="34"/>
  <c r="S343" i="34"/>
  <c r="M342" i="34"/>
  <c r="I342" i="34"/>
  <c r="N342" i="34"/>
  <c r="S342" i="34"/>
  <c r="M341" i="34"/>
  <c r="I341" i="34"/>
  <c r="N341" i="34"/>
  <c r="S341" i="34"/>
  <c r="M340" i="34"/>
  <c r="I340" i="34"/>
  <c r="N340" i="34"/>
  <c r="S340" i="34"/>
  <c r="M339" i="34"/>
  <c r="I339" i="34"/>
  <c r="N339" i="34"/>
  <c r="S339" i="34"/>
  <c r="M338" i="34"/>
  <c r="I338" i="34"/>
  <c r="N338" i="34"/>
  <c r="S338" i="34"/>
  <c r="M337" i="34"/>
  <c r="I337" i="34"/>
  <c r="N337" i="34"/>
  <c r="S337" i="34"/>
  <c r="M336" i="34"/>
  <c r="I336" i="34"/>
  <c r="N336" i="34"/>
  <c r="S336" i="34"/>
  <c r="M335" i="34"/>
  <c r="I335" i="34"/>
  <c r="N335" i="34"/>
  <c r="S335" i="34"/>
  <c r="M334" i="34"/>
  <c r="I334" i="34"/>
  <c r="N334" i="34"/>
  <c r="S334" i="34"/>
  <c r="M333" i="34"/>
  <c r="I333" i="34"/>
  <c r="N333" i="34"/>
  <c r="S333" i="34"/>
  <c r="M332" i="34"/>
  <c r="I332" i="34"/>
  <c r="N332" i="34"/>
  <c r="S332" i="34"/>
  <c r="M331" i="34"/>
  <c r="I331" i="34"/>
  <c r="N331" i="34"/>
  <c r="S331" i="34"/>
  <c r="M330" i="34"/>
  <c r="I330" i="34"/>
  <c r="N330" i="34"/>
  <c r="S330" i="34"/>
  <c r="M329" i="34"/>
  <c r="I329" i="34"/>
  <c r="N329" i="34"/>
  <c r="S329" i="34"/>
  <c r="M328" i="34"/>
  <c r="I328" i="34"/>
  <c r="N328" i="34"/>
  <c r="S328" i="34"/>
  <c r="M327" i="34"/>
  <c r="I327" i="34"/>
  <c r="N327" i="34"/>
  <c r="S327" i="34"/>
  <c r="M326" i="34"/>
  <c r="I326" i="34"/>
  <c r="N326" i="34"/>
  <c r="S326" i="34"/>
  <c r="M325" i="34"/>
  <c r="I325" i="34"/>
  <c r="N325" i="34"/>
  <c r="S325" i="34"/>
  <c r="M324" i="34"/>
  <c r="I324" i="34"/>
  <c r="N324" i="34"/>
  <c r="S324" i="34"/>
  <c r="M323" i="34"/>
  <c r="I323" i="34"/>
  <c r="N323" i="34"/>
  <c r="S323" i="34"/>
  <c r="M322" i="34"/>
  <c r="I322" i="34"/>
  <c r="N322" i="34"/>
  <c r="S322" i="34"/>
  <c r="M321" i="34"/>
  <c r="I321" i="34"/>
  <c r="N321" i="34"/>
  <c r="S321" i="34"/>
  <c r="M320" i="34"/>
  <c r="I320" i="34"/>
  <c r="N320" i="34"/>
  <c r="S320" i="34"/>
  <c r="M319" i="34"/>
  <c r="I319" i="34"/>
  <c r="N319" i="34"/>
  <c r="S319" i="34"/>
  <c r="M318" i="34"/>
  <c r="I318" i="34"/>
  <c r="N318" i="34"/>
  <c r="S318" i="34"/>
  <c r="M317" i="34"/>
  <c r="I317" i="34"/>
  <c r="N317" i="34"/>
  <c r="S317" i="34"/>
  <c r="M316" i="34"/>
  <c r="I316" i="34"/>
  <c r="N316" i="34"/>
  <c r="S316" i="34"/>
  <c r="M315" i="34"/>
  <c r="I315" i="34"/>
  <c r="N315" i="34"/>
  <c r="S315" i="34"/>
  <c r="M314" i="34"/>
  <c r="I314" i="34"/>
  <c r="N314" i="34"/>
  <c r="S314" i="34"/>
  <c r="M313" i="34"/>
  <c r="I313" i="34"/>
  <c r="N313" i="34"/>
  <c r="S313" i="34"/>
  <c r="M312" i="34"/>
  <c r="I312" i="34"/>
  <c r="N312" i="34"/>
  <c r="S312" i="34"/>
  <c r="M311" i="34"/>
  <c r="I311" i="34"/>
  <c r="N311" i="34"/>
  <c r="S311" i="34"/>
  <c r="M310" i="34"/>
  <c r="I310" i="34"/>
  <c r="N310" i="34"/>
  <c r="S310" i="34"/>
  <c r="M309" i="34"/>
  <c r="I309" i="34"/>
  <c r="N309" i="34"/>
  <c r="S309" i="34"/>
  <c r="M308" i="34"/>
  <c r="I308" i="34"/>
  <c r="N308" i="34"/>
  <c r="S308" i="34"/>
  <c r="M307" i="34"/>
  <c r="I307" i="34"/>
  <c r="N307" i="34"/>
  <c r="S307" i="34"/>
  <c r="M306" i="34"/>
  <c r="I306" i="34"/>
  <c r="N306" i="34"/>
  <c r="S306" i="34"/>
  <c r="M305" i="34"/>
  <c r="I305" i="34"/>
  <c r="N305" i="34"/>
  <c r="S305" i="34"/>
  <c r="M304" i="34"/>
  <c r="I304" i="34"/>
  <c r="N304" i="34"/>
  <c r="S304" i="34"/>
  <c r="M303" i="34"/>
  <c r="I303" i="34"/>
  <c r="N303" i="34"/>
  <c r="S303" i="34"/>
  <c r="M302" i="34"/>
  <c r="I302" i="34"/>
  <c r="N302" i="34"/>
  <c r="S302" i="34"/>
  <c r="M301" i="34"/>
  <c r="I301" i="34"/>
  <c r="N301" i="34"/>
  <c r="S301" i="34"/>
  <c r="M300" i="34"/>
  <c r="I300" i="34"/>
  <c r="N300" i="34"/>
  <c r="S300" i="34"/>
  <c r="M299" i="34"/>
  <c r="I299" i="34"/>
  <c r="N299" i="34"/>
  <c r="S299" i="34"/>
  <c r="M298" i="34"/>
  <c r="I298" i="34"/>
  <c r="N298" i="34"/>
  <c r="S298" i="34"/>
  <c r="M297" i="34"/>
  <c r="I297" i="34"/>
  <c r="N297" i="34"/>
  <c r="S297" i="34"/>
  <c r="M296" i="34"/>
  <c r="I296" i="34"/>
  <c r="N296" i="34"/>
  <c r="S296" i="34"/>
  <c r="M295" i="34"/>
  <c r="I295" i="34"/>
  <c r="N295" i="34"/>
  <c r="S295" i="34"/>
  <c r="M294" i="34"/>
  <c r="I294" i="34"/>
  <c r="N294" i="34"/>
  <c r="S294" i="34"/>
  <c r="M293" i="34"/>
  <c r="I293" i="34"/>
  <c r="N293" i="34"/>
  <c r="S293" i="34"/>
  <c r="M292" i="34"/>
  <c r="I292" i="34"/>
  <c r="N292" i="34"/>
  <c r="S292" i="34"/>
  <c r="M291" i="34"/>
  <c r="I291" i="34"/>
  <c r="N291" i="34"/>
  <c r="S291" i="34"/>
  <c r="M290" i="34"/>
  <c r="I290" i="34"/>
  <c r="N290" i="34"/>
  <c r="S290" i="34"/>
  <c r="M289" i="34"/>
  <c r="I289" i="34"/>
  <c r="N289" i="34"/>
  <c r="S289" i="34"/>
  <c r="M288" i="34"/>
  <c r="I288" i="34"/>
  <c r="N288" i="34"/>
  <c r="S288" i="34"/>
  <c r="S287" i="34"/>
  <c r="M286" i="34"/>
  <c r="I286" i="34"/>
  <c r="N286" i="34"/>
  <c r="S286" i="34"/>
  <c r="M285" i="34"/>
  <c r="I285" i="34"/>
  <c r="N285" i="34"/>
  <c r="S285" i="34"/>
  <c r="M284" i="34"/>
  <c r="I284" i="34"/>
  <c r="N284" i="34"/>
  <c r="S284" i="34"/>
  <c r="M283" i="34"/>
  <c r="I283" i="34"/>
  <c r="N283" i="34"/>
  <c r="S283" i="34"/>
  <c r="M282" i="34"/>
  <c r="I282" i="34"/>
  <c r="N282" i="34"/>
  <c r="S282" i="34"/>
  <c r="M281" i="34"/>
  <c r="I281" i="34"/>
  <c r="N281" i="34"/>
  <c r="S281" i="34"/>
  <c r="S280" i="34"/>
  <c r="M279" i="34"/>
  <c r="I279" i="34"/>
  <c r="N279" i="34"/>
  <c r="S279" i="34"/>
  <c r="M278" i="34"/>
  <c r="I278" i="34"/>
  <c r="N278" i="34"/>
  <c r="S278" i="34"/>
  <c r="M277" i="34"/>
  <c r="I277" i="34"/>
  <c r="N277" i="34"/>
  <c r="S277" i="34"/>
  <c r="M276" i="34"/>
  <c r="I276" i="34"/>
  <c r="N276" i="34"/>
  <c r="S276" i="34"/>
  <c r="M275" i="34"/>
  <c r="I275" i="34"/>
  <c r="N275" i="34"/>
  <c r="S275" i="34"/>
  <c r="S274" i="34"/>
  <c r="M273" i="34"/>
  <c r="I273" i="34"/>
  <c r="N273" i="34"/>
  <c r="S273" i="34"/>
  <c r="M272" i="34"/>
  <c r="I272" i="34"/>
  <c r="N272" i="34"/>
  <c r="S272" i="34"/>
  <c r="M271" i="34"/>
  <c r="I271" i="34"/>
  <c r="N271" i="34"/>
  <c r="S271" i="34"/>
  <c r="M270" i="34"/>
  <c r="I270" i="34"/>
  <c r="N270" i="34"/>
  <c r="S270" i="34"/>
  <c r="M269" i="34"/>
  <c r="I269" i="34"/>
  <c r="N269" i="34"/>
  <c r="S269" i="34"/>
  <c r="M268" i="34"/>
  <c r="I268" i="34"/>
  <c r="N268" i="34"/>
  <c r="S268" i="34"/>
  <c r="M267" i="34"/>
  <c r="I267" i="34"/>
  <c r="N267" i="34"/>
  <c r="S267" i="34"/>
  <c r="M266" i="34"/>
  <c r="I266" i="34"/>
  <c r="N266" i="34"/>
  <c r="S266" i="34"/>
  <c r="M265" i="34"/>
  <c r="I265" i="34"/>
  <c r="N265" i="34"/>
  <c r="S265" i="34"/>
  <c r="S264" i="34"/>
  <c r="M263" i="34"/>
  <c r="I263" i="34"/>
  <c r="N263" i="34"/>
  <c r="S263" i="34"/>
  <c r="M262" i="34"/>
  <c r="I262" i="34"/>
  <c r="N262" i="34"/>
  <c r="S262" i="34"/>
  <c r="M261" i="34"/>
  <c r="I261" i="34"/>
  <c r="N261" i="34"/>
  <c r="S261" i="34"/>
  <c r="M260" i="34"/>
  <c r="I260" i="34"/>
  <c r="N260" i="34"/>
  <c r="S260" i="34"/>
  <c r="M259" i="34"/>
  <c r="I259" i="34"/>
  <c r="N259" i="34"/>
  <c r="S259" i="34"/>
  <c r="M258" i="34"/>
  <c r="I258" i="34"/>
  <c r="N258" i="34"/>
  <c r="S258" i="34"/>
  <c r="M257" i="34"/>
  <c r="I257" i="34"/>
  <c r="N257" i="34"/>
  <c r="S257" i="34"/>
  <c r="M256" i="34"/>
  <c r="I256" i="34"/>
  <c r="N256" i="34"/>
  <c r="S256" i="34"/>
  <c r="M255" i="34"/>
  <c r="I255" i="34"/>
  <c r="N255" i="34"/>
  <c r="S255" i="34"/>
  <c r="M254" i="34"/>
  <c r="I254" i="34"/>
  <c r="N254" i="34"/>
  <c r="S254" i="34"/>
  <c r="M253" i="34"/>
  <c r="I253" i="34"/>
  <c r="N253" i="34"/>
  <c r="S253" i="34"/>
  <c r="M252" i="34"/>
  <c r="I252" i="34"/>
  <c r="N252" i="34"/>
  <c r="S252" i="34"/>
  <c r="M251" i="34"/>
  <c r="I251" i="34"/>
  <c r="N251" i="34"/>
  <c r="S251" i="34"/>
  <c r="M250" i="34"/>
  <c r="I250" i="34"/>
  <c r="N250" i="34"/>
  <c r="S250" i="34"/>
  <c r="M249" i="34"/>
  <c r="I249" i="34"/>
  <c r="N249" i="34"/>
  <c r="S249" i="34"/>
  <c r="M248" i="34"/>
  <c r="I248" i="34"/>
  <c r="N248" i="34"/>
  <c r="S248" i="34"/>
  <c r="M247" i="34"/>
  <c r="I247" i="34"/>
  <c r="N247" i="34"/>
  <c r="S247" i="34"/>
  <c r="M246" i="34"/>
  <c r="I246" i="34"/>
  <c r="N246" i="34"/>
  <c r="S246" i="34"/>
  <c r="M245" i="34"/>
  <c r="I245" i="34"/>
  <c r="N245" i="34"/>
  <c r="S245" i="34"/>
  <c r="M244" i="34"/>
  <c r="I244" i="34"/>
  <c r="N244" i="34"/>
  <c r="S244" i="34"/>
  <c r="M243" i="34"/>
  <c r="I243" i="34"/>
  <c r="N243" i="34"/>
  <c r="S243" i="34"/>
  <c r="M242" i="34"/>
  <c r="I242" i="34"/>
  <c r="N242" i="34"/>
  <c r="S242" i="34"/>
  <c r="M241" i="34"/>
  <c r="I241" i="34"/>
  <c r="N241" i="34"/>
  <c r="S241" i="34"/>
  <c r="M240" i="34"/>
  <c r="I240" i="34"/>
  <c r="N240" i="34"/>
  <c r="S240" i="34"/>
  <c r="M239" i="34"/>
  <c r="I239" i="34"/>
  <c r="N239" i="34"/>
  <c r="S239" i="34"/>
  <c r="M238" i="34"/>
  <c r="I238" i="34"/>
  <c r="N238" i="34"/>
  <c r="S238" i="34"/>
  <c r="M237" i="34"/>
  <c r="I237" i="34"/>
  <c r="N237" i="34"/>
  <c r="S237" i="34"/>
  <c r="M236" i="34"/>
  <c r="I236" i="34"/>
  <c r="N236" i="34"/>
  <c r="S236" i="34"/>
  <c r="M235" i="34"/>
  <c r="I235" i="34"/>
  <c r="N235" i="34"/>
  <c r="S235" i="34"/>
  <c r="M234" i="34"/>
  <c r="I234" i="34"/>
  <c r="N234" i="34"/>
  <c r="S234" i="34"/>
  <c r="M233" i="34"/>
  <c r="I233" i="34"/>
  <c r="N233" i="34"/>
  <c r="S233" i="34"/>
  <c r="M232" i="34"/>
  <c r="I232" i="34"/>
  <c r="N232" i="34"/>
  <c r="S232" i="34"/>
  <c r="M231" i="34"/>
  <c r="I231" i="34"/>
  <c r="N231" i="34"/>
  <c r="S231" i="34"/>
  <c r="M230" i="34"/>
  <c r="I230" i="34"/>
  <c r="N230" i="34"/>
  <c r="S230" i="34"/>
  <c r="M229" i="34"/>
  <c r="I229" i="34"/>
  <c r="N229" i="34"/>
  <c r="S229" i="34"/>
  <c r="M228" i="34"/>
  <c r="I228" i="34"/>
  <c r="N228" i="34"/>
  <c r="S228" i="34"/>
  <c r="M227" i="34"/>
  <c r="I227" i="34"/>
  <c r="N227" i="34"/>
  <c r="S227" i="34"/>
  <c r="M226" i="34"/>
  <c r="I226" i="34"/>
  <c r="N226" i="34"/>
  <c r="S226" i="34"/>
  <c r="M225" i="34"/>
  <c r="I225" i="34"/>
  <c r="N225" i="34"/>
  <c r="S225" i="34"/>
  <c r="M224" i="34"/>
  <c r="I224" i="34"/>
  <c r="N224" i="34"/>
  <c r="S224" i="34"/>
  <c r="M223" i="34"/>
  <c r="I223" i="34"/>
  <c r="N223" i="34"/>
  <c r="S223" i="34"/>
  <c r="M222" i="34"/>
  <c r="I222" i="34"/>
  <c r="N222" i="34"/>
  <c r="S222" i="34"/>
  <c r="M221" i="34"/>
  <c r="I221" i="34"/>
  <c r="N221" i="34"/>
  <c r="S221" i="34"/>
  <c r="M220" i="34"/>
  <c r="I220" i="34"/>
  <c r="N220" i="34"/>
  <c r="S220" i="34"/>
  <c r="M219" i="34"/>
  <c r="I219" i="34"/>
  <c r="N219" i="34"/>
  <c r="S219" i="34"/>
  <c r="M218" i="34"/>
  <c r="I218" i="34"/>
  <c r="N218" i="34"/>
  <c r="S218" i="34"/>
  <c r="M217" i="34"/>
  <c r="I217" i="34"/>
  <c r="N217" i="34"/>
  <c r="S217" i="34"/>
  <c r="M216" i="34"/>
  <c r="I216" i="34"/>
  <c r="N216" i="34"/>
  <c r="S216" i="34"/>
  <c r="M215" i="34"/>
  <c r="I215" i="34"/>
  <c r="N215" i="34"/>
  <c r="S215" i="34"/>
  <c r="M214" i="34"/>
  <c r="I214" i="34"/>
  <c r="N214" i="34"/>
  <c r="S214" i="34"/>
  <c r="M213" i="34"/>
  <c r="I213" i="34"/>
  <c r="N213" i="34"/>
  <c r="S213" i="34"/>
  <c r="M212" i="34"/>
  <c r="I212" i="34"/>
  <c r="N212" i="34"/>
  <c r="S212" i="34"/>
  <c r="M211" i="34"/>
  <c r="I211" i="34"/>
  <c r="N211" i="34"/>
  <c r="S211" i="34"/>
  <c r="M210" i="34"/>
  <c r="I210" i="34"/>
  <c r="N210" i="34"/>
  <c r="S210" i="34"/>
  <c r="M209" i="34"/>
  <c r="I209" i="34"/>
  <c r="N209" i="34"/>
  <c r="S209" i="34"/>
  <c r="M208" i="34"/>
  <c r="I208" i="34"/>
  <c r="N208" i="34"/>
  <c r="S208" i="34"/>
  <c r="M207" i="34"/>
  <c r="I207" i="34"/>
  <c r="N207" i="34"/>
  <c r="S207" i="34"/>
  <c r="M206" i="34"/>
  <c r="I206" i="34"/>
  <c r="N206" i="34"/>
  <c r="S206" i="34"/>
  <c r="M205" i="34"/>
  <c r="I205" i="34"/>
  <c r="N205" i="34"/>
  <c r="S205" i="34"/>
  <c r="M204" i="34"/>
  <c r="I204" i="34"/>
  <c r="N204" i="34"/>
  <c r="S204" i="34"/>
  <c r="M203" i="34"/>
  <c r="I203" i="34"/>
  <c r="N203" i="34"/>
  <c r="S203" i="34"/>
  <c r="M202" i="34"/>
  <c r="I202" i="34"/>
  <c r="N202" i="34"/>
  <c r="S202" i="34"/>
  <c r="M201" i="34"/>
  <c r="I201" i="34"/>
  <c r="N201" i="34"/>
  <c r="S201" i="34"/>
  <c r="M200" i="34"/>
  <c r="I200" i="34"/>
  <c r="N200" i="34"/>
  <c r="S200" i="34"/>
  <c r="M199" i="34"/>
  <c r="I199" i="34"/>
  <c r="N199" i="34"/>
  <c r="S199" i="34"/>
  <c r="M198" i="34"/>
  <c r="I198" i="34"/>
  <c r="N198" i="34"/>
  <c r="S198" i="34"/>
  <c r="M197" i="34"/>
  <c r="I197" i="34"/>
  <c r="N197" i="34"/>
  <c r="S197" i="34"/>
  <c r="M196" i="34"/>
  <c r="I196" i="34"/>
  <c r="N196" i="34"/>
  <c r="S196" i="34"/>
  <c r="S195" i="34"/>
  <c r="M194" i="34"/>
  <c r="I194" i="34"/>
  <c r="N194" i="34"/>
  <c r="S194" i="34"/>
  <c r="M193" i="34"/>
  <c r="I193" i="34"/>
  <c r="N193" i="34"/>
  <c r="S193" i="34"/>
  <c r="S192" i="34"/>
  <c r="M191" i="34"/>
  <c r="I191" i="34"/>
  <c r="N191" i="34"/>
  <c r="S191" i="34"/>
  <c r="M190" i="34"/>
  <c r="I190" i="34"/>
  <c r="N190" i="34"/>
  <c r="S190" i="34"/>
  <c r="S189" i="34"/>
  <c r="S188" i="34"/>
  <c r="M187" i="34"/>
  <c r="I187" i="34"/>
  <c r="N187" i="34"/>
  <c r="S187" i="34"/>
  <c r="M186" i="34"/>
  <c r="I186" i="34"/>
  <c r="N186" i="34"/>
  <c r="S186" i="34"/>
  <c r="M185" i="34"/>
  <c r="I185" i="34"/>
  <c r="N185" i="34"/>
  <c r="S185" i="34"/>
  <c r="M184" i="34"/>
  <c r="I184" i="34"/>
  <c r="N184" i="34"/>
  <c r="S184" i="34"/>
  <c r="M183" i="34"/>
  <c r="I183" i="34"/>
  <c r="N183" i="34"/>
  <c r="S183" i="34"/>
  <c r="M182" i="34"/>
  <c r="I182" i="34"/>
  <c r="N182" i="34"/>
  <c r="S182" i="34"/>
  <c r="M181" i="34"/>
  <c r="I181" i="34"/>
  <c r="N181" i="34"/>
  <c r="S181" i="34"/>
  <c r="M180" i="34"/>
  <c r="I180" i="34"/>
  <c r="N180" i="34"/>
  <c r="S180" i="34"/>
  <c r="M179" i="34"/>
  <c r="I179" i="34"/>
  <c r="N179" i="34"/>
  <c r="S179" i="34"/>
  <c r="M178" i="34"/>
  <c r="I178" i="34"/>
  <c r="N178" i="34"/>
  <c r="S178" i="34"/>
  <c r="M177" i="34"/>
  <c r="I177" i="34"/>
  <c r="N177" i="34"/>
  <c r="S177" i="34"/>
  <c r="M176" i="34"/>
  <c r="I176" i="34"/>
  <c r="N176" i="34"/>
  <c r="S176" i="34"/>
  <c r="M175" i="34"/>
  <c r="I175" i="34"/>
  <c r="N175" i="34"/>
  <c r="S175" i="34"/>
  <c r="M174" i="34"/>
  <c r="I174" i="34"/>
  <c r="N174" i="34"/>
  <c r="S174" i="34"/>
  <c r="M173" i="34"/>
  <c r="I173" i="34"/>
  <c r="N173" i="34"/>
  <c r="S173" i="34"/>
  <c r="M172" i="34"/>
  <c r="I172" i="34"/>
  <c r="N172" i="34"/>
  <c r="S172" i="34"/>
  <c r="M171" i="34"/>
  <c r="I171" i="34"/>
  <c r="N171" i="34"/>
  <c r="S171" i="34"/>
  <c r="M170" i="34"/>
  <c r="I170" i="34"/>
  <c r="N170" i="34"/>
  <c r="S170" i="34"/>
  <c r="M169" i="34"/>
  <c r="I169" i="34"/>
  <c r="N169" i="34"/>
  <c r="S169" i="34"/>
  <c r="M168" i="34"/>
  <c r="I168" i="34"/>
  <c r="N168" i="34"/>
  <c r="S168" i="34"/>
  <c r="M167" i="34"/>
  <c r="I167" i="34"/>
  <c r="N167" i="34"/>
  <c r="S167" i="34"/>
  <c r="M166" i="34"/>
  <c r="I166" i="34"/>
  <c r="N166" i="34"/>
  <c r="S166" i="34"/>
  <c r="M165" i="34"/>
  <c r="I165" i="34"/>
  <c r="N165" i="34"/>
  <c r="S165" i="34"/>
  <c r="M164" i="34"/>
  <c r="I164" i="34"/>
  <c r="N164" i="34"/>
  <c r="S164" i="34"/>
  <c r="M163" i="34"/>
  <c r="I163" i="34"/>
  <c r="N163" i="34"/>
  <c r="S163" i="34"/>
  <c r="M162" i="34"/>
  <c r="I162" i="34"/>
  <c r="N162" i="34"/>
  <c r="S162" i="34"/>
  <c r="M161" i="34"/>
  <c r="I161" i="34"/>
  <c r="N161" i="34"/>
  <c r="S161" i="34"/>
  <c r="M160" i="34"/>
  <c r="I160" i="34"/>
  <c r="N160" i="34"/>
  <c r="S160" i="34"/>
  <c r="M159" i="34"/>
  <c r="I159" i="34"/>
  <c r="N159" i="34"/>
  <c r="S159" i="34"/>
  <c r="S158" i="34"/>
  <c r="M157" i="34"/>
  <c r="I157" i="34"/>
  <c r="N157" i="34"/>
  <c r="S157" i="34"/>
  <c r="M156" i="34"/>
  <c r="I156" i="34"/>
  <c r="N156" i="34"/>
  <c r="S156" i="34"/>
  <c r="M155" i="34"/>
  <c r="I155" i="34"/>
  <c r="N155" i="34"/>
  <c r="S155" i="34"/>
  <c r="M154" i="34"/>
  <c r="I154" i="34"/>
  <c r="N154" i="34"/>
  <c r="S154" i="34"/>
  <c r="M153" i="34"/>
  <c r="I153" i="34"/>
  <c r="N153" i="34"/>
  <c r="S153" i="34"/>
  <c r="M152" i="34"/>
  <c r="I152" i="34"/>
  <c r="N152" i="34"/>
  <c r="S152" i="34"/>
  <c r="M151" i="34"/>
  <c r="I151" i="34"/>
  <c r="N151" i="34"/>
  <c r="S151" i="34"/>
  <c r="M150" i="34"/>
  <c r="I150" i="34"/>
  <c r="N150" i="34"/>
  <c r="S150" i="34"/>
  <c r="M149" i="34"/>
  <c r="I149" i="34"/>
  <c r="N149" i="34"/>
  <c r="S149" i="34"/>
  <c r="M148" i="34"/>
  <c r="I148" i="34"/>
  <c r="N148" i="34"/>
  <c r="S148" i="34"/>
  <c r="M147" i="34"/>
  <c r="I147" i="34"/>
  <c r="N147" i="34"/>
  <c r="S147" i="34"/>
  <c r="M146" i="34"/>
  <c r="I146" i="34"/>
  <c r="N146" i="34"/>
  <c r="S146" i="34"/>
  <c r="M145" i="34"/>
  <c r="I145" i="34"/>
  <c r="N145" i="34"/>
  <c r="S145" i="34"/>
  <c r="M144" i="34"/>
  <c r="I144" i="34"/>
  <c r="N144" i="34"/>
  <c r="S144" i="34"/>
  <c r="M143" i="34"/>
  <c r="I143" i="34"/>
  <c r="N143" i="34"/>
  <c r="S143" i="34"/>
  <c r="M142" i="34"/>
  <c r="I142" i="34"/>
  <c r="N142" i="34"/>
  <c r="S142" i="34"/>
  <c r="M141" i="34"/>
  <c r="I141" i="34"/>
  <c r="N141" i="34"/>
  <c r="S141" i="34"/>
  <c r="M140" i="34"/>
  <c r="I140" i="34"/>
  <c r="N140" i="34"/>
  <c r="S140" i="34"/>
  <c r="M139" i="34"/>
  <c r="I139" i="34"/>
  <c r="N139" i="34"/>
  <c r="S139" i="34"/>
  <c r="M138" i="34"/>
  <c r="I138" i="34"/>
  <c r="N138" i="34"/>
  <c r="S138" i="34"/>
  <c r="M137" i="34"/>
  <c r="I137" i="34"/>
  <c r="N137" i="34"/>
  <c r="S137" i="34"/>
  <c r="M136" i="34"/>
  <c r="I136" i="34"/>
  <c r="N136" i="34"/>
  <c r="S136" i="34"/>
  <c r="M135" i="34"/>
  <c r="I135" i="34"/>
  <c r="N135" i="34"/>
  <c r="S135" i="34"/>
  <c r="M134" i="34"/>
  <c r="I134" i="34"/>
  <c r="N134" i="34"/>
  <c r="S134" i="34"/>
  <c r="M133" i="34"/>
  <c r="I133" i="34"/>
  <c r="N133" i="34"/>
  <c r="S133" i="34"/>
  <c r="M132" i="34"/>
  <c r="I132" i="34"/>
  <c r="N132" i="34"/>
  <c r="S132" i="34"/>
  <c r="M131" i="34"/>
  <c r="I131" i="34"/>
  <c r="N131" i="34"/>
  <c r="S131" i="34"/>
  <c r="M130" i="34"/>
  <c r="I130" i="34"/>
  <c r="N130" i="34"/>
  <c r="S130" i="34"/>
  <c r="M129" i="34"/>
  <c r="I129" i="34"/>
  <c r="N129" i="34"/>
  <c r="S129" i="34"/>
  <c r="M128" i="34"/>
  <c r="I128" i="34"/>
  <c r="N128" i="34"/>
  <c r="S128" i="34"/>
  <c r="M127" i="34"/>
  <c r="I127" i="34"/>
  <c r="N127" i="34"/>
  <c r="S127" i="34"/>
  <c r="M126" i="34"/>
  <c r="I126" i="34"/>
  <c r="N126" i="34"/>
  <c r="S126" i="34"/>
  <c r="M125" i="34"/>
  <c r="I125" i="34"/>
  <c r="N125" i="34"/>
  <c r="S125" i="34"/>
  <c r="M124" i="34"/>
  <c r="I124" i="34"/>
  <c r="N124" i="34"/>
  <c r="S124" i="34"/>
  <c r="M123" i="34"/>
  <c r="I123" i="34"/>
  <c r="N123" i="34"/>
  <c r="S123" i="34"/>
  <c r="M122" i="34"/>
  <c r="I122" i="34"/>
  <c r="N122" i="34"/>
  <c r="S122" i="34"/>
  <c r="M121" i="34"/>
  <c r="I121" i="34"/>
  <c r="N121" i="34"/>
  <c r="S121" i="34"/>
  <c r="M120" i="34"/>
  <c r="I120" i="34"/>
  <c r="N120" i="34"/>
  <c r="S120" i="34"/>
  <c r="M119" i="34"/>
  <c r="I119" i="34"/>
  <c r="N119" i="34"/>
  <c r="S119" i="34"/>
  <c r="M118" i="34"/>
  <c r="I118" i="34"/>
  <c r="N118" i="34"/>
  <c r="S118" i="34"/>
  <c r="M117" i="34"/>
  <c r="I117" i="34"/>
  <c r="N117" i="34"/>
  <c r="S117" i="34"/>
  <c r="M116" i="34"/>
  <c r="I116" i="34"/>
  <c r="N116" i="34"/>
  <c r="S116" i="34"/>
  <c r="M115" i="34"/>
  <c r="I115" i="34"/>
  <c r="N115" i="34"/>
  <c r="S115" i="34"/>
  <c r="M114" i="34"/>
  <c r="I114" i="34"/>
  <c r="N114" i="34"/>
  <c r="S114" i="34"/>
  <c r="M113" i="34"/>
  <c r="I113" i="34"/>
  <c r="N113" i="34"/>
  <c r="S113" i="34"/>
  <c r="M112" i="34"/>
  <c r="I112" i="34"/>
  <c r="N112" i="34"/>
  <c r="S112" i="34"/>
  <c r="M111" i="34"/>
  <c r="I111" i="34"/>
  <c r="N111" i="34"/>
  <c r="S111" i="34"/>
  <c r="M110" i="34"/>
  <c r="I110" i="34"/>
  <c r="N110" i="34"/>
  <c r="S110" i="34"/>
  <c r="M109" i="34"/>
  <c r="I109" i="34"/>
  <c r="N109" i="34"/>
  <c r="S109" i="34"/>
  <c r="M108" i="34"/>
  <c r="I108" i="34"/>
  <c r="N108" i="34"/>
  <c r="S108" i="34"/>
  <c r="M107" i="34"/>
  <c r="I107" i="34"/>
  <c r="N107" i="34"/>
  <c r="S107" i="34"/>
  <c r="M106" i="34"/>
  <c r="I106" i="34"/>
  <c r="N106" i="34"/>
  <c r="S106" i="34"/>
  <c r="M105" i="34"/>
  <c r="I105" i="34"/>
  <c r="N105" i="34"/>
  <c r="S105" i="34"/>
  <c r="M104" i="34"/>
  <c r="I104" i="34"/>
  <c r="N104" i="34"/>
  <c r="S104" i="34"/>
  <c r="M103" i="34"/>
  <c r="I103" i="34"/>
  <c r="N103" i="34"/>
  <c r="S103" i="34"/>
  <c r="M102" i="34"/>
  <c r="I102" i="34"/>
  <c r="N102" i="34"/>
  <c r="S102" i="34"/>
  <c r="M101" i="34"/>
  <c r="I101" i="34"/>
  <c r="N101" i="34"/>
  <c r="S101" i="34"/>
  <c r="M100" i="34"/>
  <c r="I100" i="34"/>
  <c r="N100" i="34"/>
  <c r="S100" i="34"/>
  <c r="M99" i="34"/>
  <c r="I99" i="34"/>
  <c r="N99" i="34"/>
  <c r="S99" i="34"/>
  <c r="S98" i="34"/>
  <c r="M97" i="34"/>
  <c r="I97" i="34"/>
  <c r="N97" i="34"/>
  <c r="S97" i="34"/>
  <c r="M96" i="34"/>
  <c r="I96" i="34"/>
  <c r="N96" i="34"/>
  <c r="S96" i="34"/>
  <c r="M95" i="34"/>
  <c r="I95" i="34"/>
  <c r="N95" i="34"/>
  <c r="S95" i="34"/>
  <c r="M94" i="34"/>
  <c r="I94" i="34"/>
  <c r="N94" i="34"/>
  <c r="S94" i="34"/>
  <c r="M93" i="34"/>
  <c r="I93" i="34"/>
  <c r="N93" i="34"/>
  <c r="S93" i="34"/>
  <c r="M92" i="34"/>
  <c r="I92" i="34"/>
  <c r="N92" i="34"/>
  <c r="S92" i="34"/>
  <c r="M91" i="34"/>
  <c r="I91" i="34"/>
  <c r="N91" i="34"/>
  <c r="S91" i="34"/>
  <c r="S90" i="34"/>
  <c r="M89" i="34"/>
  <c r="I89" i="34"/>
  <c r="N89" i="34"/>
  <c r="S89" i="34"/>
  <c r="M88" i="34"/>
  <c r="I88" i="34"/>
  <c r="N88" i="34"/>
  <c r="S88" i="34"/>
  <c r="M87" i="34"/>
  <c r="I87" i="34"/>
  <c r="N87" i="34"/>
  <c r="S87" i="34"/>
  <c r="M86" i="34"/>
  <c r="I86" i="34"/>
  <c r="N86" i="34"/>
  <c r="S86" i="34"/>
  <c r="M85" i="34"/>
  <c r="I85" i="34"/>
  <c r="N85" i="34"/>
  <c r="S85" i="34"/>
  <c r="M84" i="34"/>
  <c r="I84" i="34"/>
  <c r="N84" i="34"/>
  <c r="S84" i="34"/>
  <c r="M83" i="34"/>
  <c r="I83" i="34"/>
  <c r="N83" i="34"/>
  <c r="S83" i="34"/>
  <c r="M82" i="34"/>
  <c r="I82" i="34"/>
  <c r="N82" i="34"/>
  <c r="S82" i="34"/>
  <c r="M81" i="34"/>
  <c r="I81" i="34"/>
  <c r="N81" i="34"/>
  <c r="S81" i="34"/>
  <c r="S80" i="34"/>
  <c r="S79" i="34"/>
  <c r="M78" i="34"/>
  <c r="I78" i="34"/>
  <c r="N78" i="34"/>
  <c r="S78" i="34"/>
  <c r="M77" i="34"/>
  <c r="I77" i="34"/>
  <c r="N77" i="34"/>
  <c r="S77" i="34"/>
  <c r="M76" i="34"/>
  <c r="I76" i="34"/>
  <c r="N76" i="34"/>
  <c r="S76" i="34"/>
  <c r="M75" i="34"/>
  <c r="I75" i="34"/>
  <c r="N75" i="34"/>
  <c r="S75" i="34"/>
  <c r="M74" i="34"/>
  <c r="I74" i="34"/>
  <c r="N74" i="34"/>
  <c r="S74" i="34"/>
  <c r="M73" i="34"/>
  <c r="I73" i="34"/>
  <c r="N73" i="34"/>
  <c r="S73" i="34"/>
  <c r="M72" i="34"/>
  <c r="I72" i="34"/>
  <c r="N72" i="34"/>
  <c r="S72" i="34"/>
  <c r="M71" i="34"/>
  <c r="I71" i="34"/>
  <c r="N71" i="34"/>
  <c r="S71" i="34"/>
  <c r="M70" i="34"/>
  <c r="I70" i="34"/>
  <c r="N70" i="34"/>
  <c r="S70" i="34"/>
  <c r="M69" i="34"/>
  <c r="I69" i="34"/>
  <c r="N69" i="34"/>
  <c r="S69" i="34"/>
  <c r="M68" i="34"/>
  <c r="I68" i="34"/>
  <c r="N68" i="34"/>
  <c r="S68" i="34"/>
  <c r="M67" i="34"/>
  <c r="I67" i="34"/>
  <c r="N67" i="34"/>
  <c r="S67" i="34"/>
  <c r="S66" i="34"/>
  <c r="M65" i="34"/>
  <c r="I65" i="34"/>
  <c r="N65" i="34"/>
  <c r="S65" i="34"/>
  <c r="S64" i="34"/>
  <c r="M63" i="34"/>
  <c r="I63" i="34"/>
  <c r="N63" i="34"/>
  <c r="S63" i="34"/>
  <c r="M62" i="34"/>
  <c r="I62" i="34"/>
  <c r="N62" i="34"/>
  <c r="S62" i="34"/>
  <c r="M61" i="34"/>
  <c r="I61" i="34"/>
  <c r="N61" i="34"/>
  <c r="S61" i="34"/>
  <c r="M60" i="34"/>
  <c r="I60" i="34"/>
  <c r="N60" i="34"/>
  <c r="S60" i="34"/>
  <c r="S59" i="34"/>
  <c r="M58" i="34"/>
  <c r="I58" i="34"/>
  <c r="N58" i="34"/>
  <c r="S58" i="34"/>
  <c r="M57" i="34"/>
  <c r="I57" i="34"/>
  <c r="N57" i="34"/>
  <c r="S57" i="34"/>
  <c r="S56" i="34"/>
  <c r="R551" i="34"/>
  <c r="R550" i="34"/>
  <c r="R549" i="34"/>
  <c r="R548" i="34"/>
  <c r="R547" i="34"/>
  <c r="R546" i="34"/>
  <c r="R545" i="34"/>
  <c r="R544" i="34"/>
  <c r="R543" i="34"/>
  <c r="R542" i="34"/>
  <c r="R541" i="34"/>
  <c r="R540" i="34"/>
  <c r="R539" i="34"/>
  <c r="R538" i="34"/>
  <c r="R537" i="34"/>
  <c r="R536" i="34"/>
  <c r="R535" i="34"/>
  <c r="R534" i="34"/>
  <c r="R533" i="34"/>
  <c r="R532" i="34"/>
  <c r="R531" i="34"/>
  <c r="R530" i="34"/>
  <c r="R529" i="34"/>
  <c r="R528" i="34"/>
  <c r="R527" i="34"/>
  <c r="R526" i="34"/>
  <c r="R525" i="34"/>
  <c r="R524" i="34"/>
  <c r="R523" i="34"/>
  <c r="R522" i="34"/>
  <c r="R521" i="34"/>
  <c r="R520" i="34"/>
  <c r="R519" i="34"/>
  <c r="R518" i="34"/>
  <c r="R517" i="34"/>
  <c r="R516" i="34"/>
  <c r="R515" i="34"/>
  <c r="R514" i="34"/>
  <c r="R513" i="34"/>
  <c r="R512" i="34"/>
  <c r="R511" i="34"/>
  <c r="R510" i="34"/>
  <c r="R509" i="34"/>
  <c r="R508" i="34"/>
  <c r="R507" i="34"/>
  <c r="R506" i="34"/>
  <c r="R505" i="34"/>
  <c r="R504" i="34"/>
  <c r="R503" i="34"/>
  <c r="R502" i="34"/>
  <c r="R501" i="34"/>
  <c r="R500" i="34"/>
  <c r="R499" i="34"/>
  <c r="R498" i="34"/>
  <c r="R497" i="34"/>
  <c r="R496" i="34"/>
  <c r="R495" i="34"/>
  <c r="R494" i="34"/>
  <c r="R493" i="34"/>
  <c r="R492" i="34"/>
  <c r="R491" i="34"/>
  <c r="R490" i="34"/>
  <c r="R489" i="34"/>
  <c r="R488" i="34"/>
  <c r="R487" i="34"/>
  <c r="R486" i="34"/>
  <c r="R485" i="34"/>
  <c r="R484" i="34"/>
  <c r="R483" i="34"/>
  <c r="R482" i="34"/>
  <c r="R481" i="34"/>
  <c r="R480" i="34"/>
  <c r="R479" i="34"/>
  <c r="R478" i="34"/>
  <c r="R477" i="34"/>
  <c r="R476" i="34"/>
  <c r="R475" i="34"/>
  <c r="R474" i="34"/>
  <c r="R473" i="34"/>
  <c r="R472" i="34"/>
  <c r="R471" i="34"/>
  <c r="R470" i="34"/>
  <c r="R469" i="34"/>
  <c r="R468" i="34"/>
  <c r="R467" i="34"/>
  <c r="R466" i="34"/>
  <c r="R465" i="34"/>
  <c r="R464" i="34"/>
  <c r="R463" i="34"/>
  <c r="R462" i="34"/>
  <c r="R461" i="34"/>
  <c r="R460" i="34"/>
  <c r="R459" i="34"/>
  <c r="R458" i="34"/>
  <c r="R457" i="34"/>
  <c r="R456" i="34"/>
  <c r="R455" i="34"/>
  <c r="R454" i="34"/>
  <c r="R453" i="34"/>
  <c r="R452" i="34"/>
  <c r="R451" i="34"/>
  <c r="R450" i="34"/>
  <c r="R449" i="34"/>
  <c r="R448" i="34"/>
  <c r="R447" i="34"/>
  <c r="R446" i="34"/>
  <c r="R445" i="34"/>
  <c r="R444" i="34"/>
  <c r="R443" i="34"/>
  <c r="R442" i="34"/>
  <c r="R441" i="34"/>
  <c r="R440" i="34"/>
  <c r="R439" i="34"/>
  <c r="R438" i="34"/>
  <c r="R437" i="34"/>
  <c r="R436" i="34"/>
  <c r="R435" i="34"/>
  <c r="R434" i="34"/>
  <c r="R433" i="34"/>
  <c r="R432" i="34"/>
  <c r="R431" i="34"/>
  <c r="R430" i="34"/>
  <c r="R429" i="34"/>
  <c r="R428" i="34"/>
  <c r="R427" i="34"/>
  <c r="R426" i="34"/>
  <c r="R425" i="34"/>
  <c r="R424" i="34"/>
  <c r="R423" i="34"/>
  <c r="R422" i="34"/>
  <c r="R421" i="34"/>
  <c r="R420" i="34"/>
  <c r="R419" i="34"/>
  <c r="R418" i="34"/>
  <c r="R417" i="34"/>
  <c r="R416" i="34"/>
  <c r="R415" i="34"/>
  <c r="R414" i="34"/>
  <c r="R413" i="34"/>
  <c r="R412" i="34"/>
  <c r="R411" i="34"/>
  <c r="R410" i="34"/>
  <c r="R409" i="34"/>
  <c r="R408" i="34"/>
  <c r="R407" i="34"/>
  <c r="R406" i="34"/>
  <c r="R405" i="34"/>
  <c r="R404" i="34"/>
  <c r="R403" i="34"/>
  <c r="R402" i="34"/>
  <c r="R401" i="34"/>
  <c r="R400" i="34"/>
  <c r="R399" i="34"/>
  <c r="R398" i="34"/>
  <c r="R397" i="34"/>
  <c r="R396" i="34"/>
  <c r="R395" i="34"/>
  <c r="R394" i="34"/>
  <c r="R393" i="34"/>
  <c r="R392" i="34"/>
  <c r="R391" i="34"/>
  <c r="R390" i="34"/>
  <c r="R389" i="34"/>
  <c r="R388" i="34"/>
  <c r="R387" i="34"/>
  <c r="R386" i="34"/>
  <c r="R385" i="34"/>
  <c r="R384" i="34"/>
  <c r="R383" i="34"/>
  <c r="R382" i="34"/>
  <c r="R381" i="34"/>
  <c r="R380" i="34"/>
  <c r="R379" i="34"/>
  <c r="R378" i="34"/>
  <c r="R377" i="34"/>
  <c r="R376" i="34"/>
  <c r="R375" i="34"/>
  <c r="R374" i="34"/>
  <c r="R373" i="34"/>
  <c r="R372" i="34"/>
  <c r="R371" i="34"/>
  <c r="R370" i="34"/>
  <c r="R369" i="34"/>
  <c r="R368" i="34"/>
  <c r="R367" i="34"/>
  <c r="R366" i="34"/>
  <c r="R365" i="34"/>
  <c r="R364" i="34"/>
  <c r="R363" i="34"/>
  <c r="R362" i="34"/>
  <c r="R361" i="34"/>
  <c r="R360" i="34"/>
  <c r="R359" i="34"/>
  <c r="R358" i="34"/>
  <c r="R357" i="34"/>
  <c r="R356" i="34"/>
  <c r="R355" i="34"/>
  <c r="R354" i="34"/>
  <c r="R353" i="34"/>
  <c r="R352" i="34"/>
  <c r="R351" i="34"/>
  <c r="R350" i="34"/>
  <c r="R349" i="34"/>
  <c r="R348" i="34"/>
  <c r="R347" i="34"/>
  <c r="R346" i="34"/>
  <c r="R345" i="34"/>
  <c r="R344" i="34"/>
  <c r="R343" i="34"/>
  <c r="R342" i="34"/>
  <c r="R341" i="34"/>
  <c r="R340" i="34"/>
  <c r="R339" i="34"/>
  <c r="R338" i="34"/>
  <c r="R337" i="34"/>
  <c r="R336" i="34"/>
  <c r="R335" i="34"/>
  <c r="R334" i="34"/>
  <c r="R333" i="34"/>
  <c r="R332" i="34"/>
  <c r="R331" i="34"/>
  <c r="R330" i="34"/>
  <c r="R329" i="34"/>
  <c r="R328" i="34"/>
  <c r="R327" i="34"/>
  <c r="R326" i="34"/>
  <c r="R325" i="34"/>
  <c r="R324" i="34"/>
  <c r="R323" i="34"/>
  <c r="R322" i="34"/>
  <c r="R321" i="34"/>
  <c r="R320" i="34"/>
  <c r="R319" i="34"/>
  <c r="R318" i="34"/>
  <c r="R317" i="34"/>
  <c r="R316" i="34"/>
  <c r="R315" i="34"/>
  <c r="R314" i="34"/>
  <c r="R313" i="34"/>
  <c r="R312" i="34"/>
  <c r="R311" i="34"/>
  <c r="R310" i="34"/>
  <c r="R309" i="34"/>
  <c r="R308" i="34"/>
  <c r="R307" i="34"/>
  <c r="R306" i="34"/>
  <c r="R305" i="34"/>
  <c r="R304" i="34"/>
  <c r="R303" i="34"/>
  <c r="R302" i="34"/>
  <c r="R301" i="34"/>
  <c r="R300" i="34"/>
  <c r="R299" i="34"/>
  <c r="R298" i="34"/>
  <c r="R297" i="34"/>
  <c r="R296" i="34"/>
  <c r="R295" i="34"/>
  <c r="R294" i="34"/>
  <c r="R293" i="34"/>
  <c r="R292" i="34"/>
  <c r="R291" i="34"/>
  <c r="R290" i="34"/>
  <c r="R289" i="34"/>
  <c r="R288" i="34"/>
  <c r="R287" i="34"/>
  <c r="R286" i="34"/>
  <c r="R285" i="34"/>
  <c r="R284" i="34"/>
  <c r="R283" i="34"/>
  <c r="R282" i="34"/>
  <c r="R281" i="34"/>
  <c r="R280" i="34"/>
  <c r="R279" i="34"/>
  <c r="R278" i="34"/>
  <c r="R277" i="34"/>
  <c r="R276" i="34"/>
  <c r="R275" i="34"/>
  <c r="R274" i="34"/>
  <c r="R273" i="34"/>
  <c r="R272" i="34"/>
  <c r="R271" i="34"/>
  <c r="R270" i="34"/>
  <c r="R269" i="34"/>
  <c r="R268" i="34"/>
  <c r="R267" i="34"/>
  <c r="R266" i="34"/>
  <c r="R265" i="34"/>
  <c r="R264" i="34"/>
  <c r="R263" i="34"/>
  <c r="R262" i="34"/>
  <c r="R261" i="34"/>
  <c r="R260" i="34"/>
  <c r="R259" i="34"/>
  <c r="R258" i="34"/>
  <c r="R257" i="34"/>
  <c r="R256" i="34"/>
  <c r="R255" i="34"/>
  <c r="R254" i="34"/>
  <c r="R253" i="34"/>
  <c r="R252" i="34"/>
  <c r="R251" i="34"/>
  <c r="R250" i="34"/>
  <c r="R249" i="34"/>
  <c r="R248" i="34"/>
  <c r="R247" i="34"/>
  <c r="R246" i="34"/>
  <c r="R245" i="34"/>
  <c r="R244" i="34"/>
  <c r="R243" i="34"/>
  <c r="R242" i="34"/>
  <c r="R241" i="34"/>
  <c r="R240" i="34"/>
  <c r="R239" i="34"/>
  <c r="R238" i="34"/>
  <c r="R237" i="34"/>
  <c r="R236" i="34"/>
  <c r="R235" i="34"/>
  <c r="R234" i="34"/>
  <c r="R233" i="34"/>
  <c r="R232" i="34"/>
  <c r="R231" i="34"/>
  <c r="R230" i="34"/>
  <c r="R229" i="34"/>
  <c r="R228" i="34"/>
  <c r="R227" i="34"/>
  <c r="R226" i="34"/>
  <c r="R225" i="34"/>
  <c r="R224" i="34"/>
  <c r="R223" i="34"/>
  <c r="R222" i="34"/>
  <c r="R221" i="34"/>
  <c r="R220" i="34"/>
  <c r="R219" i="34"/>
  <c r="R218" i="34"/>
  <c r="R217" i="34"/>
  <c r="R216" i="34"/>
  <c r="R215" i="34"/>
  <c r="R214" i="34"/>
  <c r="R213" i="34"/>
  <c r="R212" i="34"/>
  <c r="R211" i="34"/>
  <c r="R210" i="34"/>
  <c r="R209" i="34"/>
  <c r="R208" i="34"/>
  <c r="R207" i="34"/>
  <c r="R206" i="34"/>
  <c r="R205" i="34"/>
  <c r="R204" i="34"/>
  <c r="R203" i="34"/>
  <c r="R202" i="34"/>
  <c r="R201" i="34"/>
  <c r="R200" i="34"/>
  <c r="R199" i="34"/>
  <c r="R198" i="34"/>
  <c r="R197" i="34"/>
  <c r="R196" i="34"/>
  <c r="R195" i="34"/>
  <c r="R194" i="34"/>
  <c r="R193" i="34"/>
  <c r="R192" i="34"/>
  <c r="R191" i="34"/>
  <c r="R190" i="34"/>
  <c r="R189" i="34"/>
  <c r="R188" i="34"/>
  <c r="R187" i="34"/>
  <c r="R186" i="34"/>
  <c r="R185" i="34"/>
  <c r="R184" i="34"/>
  <c r="R183" i="34"/>
  <c r="R182" i="34"/>
  <c r="R181" i="34"/>
  <c r="R180" i="34"/>
  <c r="R179" i="34"/>
  <c r="R178" i="34"/>
  <c r="R177" i="34"/>
  <c r="R176" i="34"/>
  <c r="R175" i="34"/>
  <c r="R174" i="34"/>
  <c r="R173" i="34"/>
  <c r="R172" i="34"/>
  <c r="R171" i="34"/>
  <c r="R170" i="34"/>
  <c r="R169" i="34"/>
  <c r="R168" i="34"/>
  <c r="R167" i="34"/>
  <c r="R166" i="34"/>
  <c r="R165" i="34"/>
  <c r="R164" i="34"/>
  <c r="R163" i="34"/>
  <c r="R162" i="34"/>
  <c r="R161" i="34"/>
  <c r="R160" i="34"/>
  <c r="R159" i="34"/>
  <c r="R158" i="34"/>
  <c r="R157" i="34"/>
  <c r="R156" i="34"/>
  <c r="R155" i="34"/>
  <c r="R154" i="34"/>
  <c r="R153" i="34"/>
  <c r="R152" i="34"/>
  <c r="R151" i="34"/>
  <c r="R150" i="34"/>
  <c r="R149" i="34"/>
  <c r="R148" i="34"/>
  <c r="R147" i="34"/>
  <c r="R146" i="34"/>
  <c r="R145" i="34"/>
  <c r="R144" i="34"/>
  <c r="R143" i="34"/>
  <c r="R142" i="34"/>
  <c r="R141" i="34"/>
  <c r="R140" i="34"/>
  <c r="R139" i="34"/>
  <c r="R138" i="34"/>
  <c r="R137" i="34"/>
  <c r="R136" i="34"/>
  <c r="R135" i="34"/>
  <c r="R134" i="34"/>
  <c r="R133" i="34"/>
  <c r="R132" i="34"/>
  <c r="R131" i="34"/>
  <c r="R130" i="34"/>
  <c r="R129" i="34"/>
  <c r="R128" i="34"/>
  <c r="R127" i="34"/>
  <c r="R126" i="34"/>
  <c r="R125" i="34"/>
  <c r="R124" i="34"/>
  <c r="R123" i="34"/>
  <c r="R122" i="34"/>
  <c r="R121" i="34"/>
  <c r="R120" i="34"/>
  <c r="R119" i="34"/>
  <c r="R118" i="34"/>
  <c r="R117" i="34"/>
  <c r="R116" i="34"/>
  <c r="R115" i="34"/>
  <c r="R114" i="34"/>
  <c r="R113" i="34"/>
  <c r="R112" i="34"/>
  <c r="R111" i="34"/>
  <c r="R110" i="34"/>
  <c r="R109" i="34"/>
  <c r="R108" i="34"/>
  <c r="R107" i="34"/>
  <c r="R106" i="34"/>
  <c r="R105" i="34"/>
  <c r="R104" i="34"/>
  <c r="R103" i="34"/>
  <c r="R102" i="34"/>
  <c r="R101" i="34"/>
  <c r="R100" i="34"/>
  <c r="R99" i="34"/>
  <c r="R98" i="34"/>
  <c r="R97" i="34"/>
  <c r="R96" i="34"/>
  <c r="R95" i="34"/>
  <c r="R94" i="34"/>
  <c r="R93" i="34"/>
  <c r="R92" i="34"/>
  <c r="R91" i="34"/>
  <c r="R90" i="34"/>
  <c r="R89" i="34"/>
  <c r="R88" i="34"/>
  <c r="R87" i="34"/>
  <c r="R86" i="34"/>
  <c r="R85" i="34"/>
  <c r="R84" i="34"/>
  <c r="R83" i="34"/>
  <c r="R82" i="34"/>
  <c r="R81" i="34"/>
  <c r="R80" i="34"/>
  <c r="R79" i="34"/>
  <c r="R78" i="34"/>
  <c r="R77" i="34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M55" i="34"/>
  <c r="I55" i="34"/>
  <c r="N55" i="34"/>
  <c r="S55" i="34"/>
  <c r="M54" i="34"/>
  <c r="I54" i="34"/>
  <c r="N54" i="34"/>
  <c r="S54" i="34"/>
  <c r="M53" i="34"/>
  <c r="I53" i="34"/>
  <c r="N53" i="34"/>
  <c r="S53" i="34"/>
  <c r="M52" i="34"/>
  <c r="I52" i="34"/>
  <c r="N52" i="34"/>
  <c r="S52" i="34"/>
  <c r="M51" i="34"/>
  <c r="I51" i="34"/>
  <c r="N51" i="34"/>
  <c r="S51" i="34"/>
  <c r="M50" i="34"/>
  <c r="I50" i="34"/>
  <c r="N50" i="34"/>
  <c r="S50" i="34"/>
  <c r="M49" i="34"/>
  <c r="I49" i="34"/>
  <c r="N49" i="34"/>
  <c r="S49" i="34"/>
  <c r="M48" i="34"/>
  <c r="I48" i="34"/>
  <c r="N48" i="34"/>
  <c r="S48" i="34"/>
  <c r="M47" i="34"/>
  <c r="I47" i="34"/>
  <c r="N47" i="34"/>
  <c r="S47" i="34"/>
  <c r="M46" i="34"/>
  <c r="I46" i="34"/>
  <c r="N46" i="34"/>
  <c r="S46" i="34"/>
  <c r="M45" i="34"/>
  <c r="I45" i="34"/>
  <c r="N45" i="34"/>
  <c r="S45" i="34"/>
  <c r="M44" i="34"/>
  <c r="I44" i="34"/>
  <c r="N44" i="34"/>
  <c r="S44" i="34"/>
  <c r="M43" i="34"/>
  <c r="I43" i="34"/>
  <c r="N43" i="34"/>
  <c r="S43" i="34"/>
  <c r="M42" i="34"/>
  <c r="I42" i="34"/>
  <c r="N42" i="34"/>
  <c r="S42" i="34"/>
  <c r="M41" i="34"/>
  <c r="I41" i="34"/>
  <c r="N41" i="34"/>
  <c r="S41" i="34"/>
  <c r="M40" i="34"/>
  <c r="I40" i="34"/>
  <c r="N40" i="34"/>
  <c r="S40" i="34"/>
  <c r="M39" i="34"/>
  <c r="I39" i="34"/>
  <c r="N39" i="34"/>
  <c r="S39" i="34"/>
  <c r="M38" i="34"/>
  <c r="I38" i="34"/>
  <c r="N38" i="34"/>
  <c r="S38" i="34"/>
  <c r="M37" i="34"/>
  <c r="I37" i="34"/>
  <c r="N37" i="34"/>
  <c r="S37" i="34"/>
  <c r="M36" i="34"/>
  <c r="I36" i="34"/>
  <c r="N36" i="34"/>
  <c r="S36" i="34"/>
  <c r="M35" i="34"/>
  <c r="I35" i="34"/>
  <c r="N35" i="34"/>
  <c r="S35" i="34"/>
  <c r="M34" i="34"/>
  <c r="I34" i="34"/>
  <c r="N34" i="34"/>
  <c r="S34" i="34"/>
  <c r="M33" i="34"/>
  <c r="I33" i="34"/>
  <c r="N33" i="34"/>
  <c r="S33" i="34"/>
  <c r="M32" i="34"/>
  <c r="I32" i="34"/>
  <c r="N32" i="34"/>
  <c r="S32" i="34"/>
  <c r="M31" i="34"/>
  <c r="I31" i="34"/>
  <c r="N31" i="34"/>
  <c r="S31" i="34"/>
  <c r="M30" i="34"/>
  <c r="I30" i="34"/>
  <c r="N30" i="34"/>
  <c r="S30" i="34"/>
  <c r="M29" i="34"/>
  <c r="I29" i="34"/>
  <c r="N29" i="34"/>
  <c r="S29" i="34"/>
  <c r="M28" i="34"/>
  <c r="I28" i="34"/>
  <c r="N28" i="34"/>
  <c r="S28" i="34"/>
  <c r="M27" i="34"/>
  <c r="I27" i="34"/>
  <c r="N27" i="34"/>
  <c r="S27" i="34"/>
  <c r="M26" i="34"/>
  <c r="I26" i="34"/>
  <c r="N26" i="34"/>
  <c r="S2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S25" i="34"/>
  <c r="T551" i="34"/>
  <c r="T550" i="34"/>
  <c r="T549" i="34"/>
  <c r="T548" i="34"/>
  <c r="T547" i="34"/>
  <c r="T546" i="34"/>
  <c r="T545" i="34"/>
  <c r="T544" i="34"/>
  <c r="T543" i="34"/>
  <c r="T542" i="34"/>
  <c r="T541" i="34"/>
  <c r="T540" i="34"/>
  <c r="T539" i="34"/>
  <c r="T538" i="34"/>
  <c r="T537" i="34"/>
  <c r="T536" i="34"/>
  <c r="T535" i="34"/>
  <c r="T534" i="34"/>
  <c r="T533" i="34"/>
  <c r="T532" i="34"/>
  <c r="T531" i="34"/>
  <c r="T530" i="34"/>
  <c r="T529" i="34"/>
  <c r="T528" i="34"/>
  <c r="T527" i="34"/>
  <c r="T526" i="34"/>
  <c r="T525" i="34"/>
  <c r="T524" i="34"/>
  <c r="T523" i="34"/>
  <c r="T522" i="34"/>
  <c r="T521" i="34"/>
  <c r="T520" i="34"/>
  <c r="T519" i="34"/>
  <c r="T518" i="34"/>
  <c r="T517" i="34"/>
  <c r="T516" i="34"/>
  <c r="T515" i="34"/>
  <c r="T514" i="34"/>
  <c r="T513" i="34"/>
  <c r="T512" i="34"/>
  <c r="T511" i="34"/>
  <c r="T510" i="34"/>
  <c r="T509" i="34"/>
  <c r="T508" i="34"/>
  <c r="T507" i="34"/>
  <c r="T506" i="34"/>
  <c r="T505" i="34"/>
  <c r="T504" i="34"/>
  <c r="T503" i="34"/>
  <c r="T502" i="34"/>
  <c r="T501" i="34"/>
  <c r="T500" i="34"/>
  <c r="T499" i="34"/>
  <c r="T498" i="34"/>
  <c r="T497" i="34"/>
  <c r="T496" i="34"/>
  <c r="T495" i="34"/>
  <c r="T494" i="34"/>
  <c r="T493" i="34"/>
  <c r="T492" i="34"/>
  <c r="T491" i="34"/>
  <c r="T490" i="34"/>
  <c r="T489" i="34"/>
  <c r="T488" i="34"/>
  <c r="T487" i="34"/>
  <c r="T486" i="34"/>
  <c r="T485" i="34"/>
  <c r="T484" i="34"/>
  <c r="T483" i="34"/>
  <c r="T482" i="34"/>
  <c r="T481" i="34"/>
  <c r="T480" i="34"/>
  <c r="T479" i="34"/>
  <c r="T478" i="34"/>
  <c r="T477" i="34"/>
  <c r="T476" i="34"/>
  <c r="T475" i="34"/>
  <c r="T474" i="34"/>
  <c r="T473" i="34"/>
  <c r="T472" i="34"/>
  <c r="T471" i="34"/>
  <c r="T470" i="34"/>
  <c r="T469" i="34"/>
  <c r="T468" i="34"/>
  <c r="T467" i="34"/>
  <c r="T466" i="34"/>
  <c r="T465" i="34"/>
  <c r="T464" i="34"/>
  <c r="T463" i="34"/>
  <c r="T462" i="34"/>
  <c r="T461" i="34"/>
  <c r="T460" i="34"/>
  <c r="T459" i="34"/>
  <c r="T458" i="34"/>
  <c r="T457" i="34"/>
  <c r="T456" i="34"/>
  <c r="T455" i="34"/>
  <c r="T454" i="34"/>
  <c r="T453" i="34"/>
  <c r="T452" i="34"/>
  <c r="T451" i="34"/>
  <c r="T450" i="34"/>
  <c r="T449" i="34"/>
  <c r="T448" i="34"/>
  <c r="T447" i="34"/>
  <c r="T446" i="34"/>
  <c r="T445" i="34"/>
  <c r="T444" i="34"/>
  <c r="T443" i="34"/>
  <c r="T442" i="34"/>
  <c r="T441" i="34"/>
  <c r="T440" i="34"/>
  <c r="T439" i="34"/>
  <c r="T438" i="34"/>
  <c r="T437" i="34"/>
  <c r="T436" i="34"/>
  <c r="T435" i="34"/>
  <c r="T434" i="34"/>
  <c r="T433" i="34"/>
  <c r="T432" i="34"/>
  <c r="T431" i="34"/>
  <c r="T430" i="34"/>
  <c r="T429" i="34"/>
  <c r="T428" i="34"/>
  <c r="T427" i="34"/>
  <c r="T426" i="34"/>
  <c r="T425" i="34"/>
  <c r="T424" i="34"/>
  <c r="T423" i="34"/>
  <c r="T422" i="34"/>
  <c r="T421" i="34"/>
  <c r="T420" i="34"/>
  <c r="T419" i="34"/>
  <c r="T418" i="34"/>
  <c r="T417" i="34"/>
  <c r="T416" i="34"/>
  <c r="T415" i="34"/>
  <c r="T414" i="34"/>
  <c r="T413" i="34"/>
  <c r="T412" i="34"/>
  <c r="T411" i="34"/>
  <c r="T410" i="34"/>
  <c r="T409" i="34"/>
  <c r="T408" i="34"/>
  <c r="T407" i="34"/>
  <c r="T406" i="34"/>
  <c r="T405" i="34"/>
  <c r="T404" i="34"/>
  <c r="T403" i="34"/>
  <c r="T402" i="34"/>
  <c r="T401" i="34"/>
  <c r="T400" i="34"/>
  <c r="T399" i="34"/>
  <c r="T398" i="34"/>
  <c r="T397" i="34"/>
  <c r="T396" i="34"/>
  <c r="T395" i="34"/>
  <c r="T394" i="34"/>
  <c r="T393" i="34"/>
  <c r="T392" i="34"/>
  <c r="T391" i="34"/>
  <c r="T390" i="34"/>
  <c r="T389" i="34"/>
  <c r="T388" i="34"/>
  <c r="T387" i="34"/>
  <c r="T386" i="34"/>
  <c r="T385" i="34"/>
  <c r="T384" i="34"/>
  <c r="T383" i="34"/>
  <c r="T382" i="34"/>
  <c r="T381" i="34"/>
  <c r="T380" i="34"/>
  <c r="T379" i="34"/>
  <c r="T378" i="34"/>
  <c r="T377" i="34"/>
  <c r="T376" i="34"/>
  <c r="T375" i="34"/>
  <c r="T374" i="34"/>
  <c r="T373" i="34"/>
  <c r="T372" i="34"/>
  <c r="T371" i="34"/>
  <c r="T370" i="34"/>
  <c r="T369" i="34"/>
  <c r="T368" i="34"/>
  <c r="T367" i="34"/>
  <c r="T366" i="34"/>
  <c r="T365" i="34"/>
  <c r="T364" i="34"/>
  <c r="T363" i="34"/>
  <c r="T362" i="34"/>
  <c r="T361" i="34"/>
  <c r="T360" i="34"/>
  <c r="T359" i="34"/>
  <c r="T358" i="34"/>
  <c r="T357" i="34"/>
  <c r="T356" i="34"/>
  <c r="T355" i="34"/>
  <c r="T354" i="34"/>
  <c r="T353" i="34"/>
  <c r="T352" i="34"/>
  <c r="T351" i="34"/>
  <c r="T350" i="34"/>
  <c r="T349" i="34"/>
  <c r="T348" i="34"/>
  <c r="T347" i="34"/>
  <c r="T346" i="34"/>
  <c r="T345" i="34"/>
  <c r="T344" i="34"/>
  <c r="T343" i="34"/>
  <c r="T342" i="34"/>
  <c r="T341" i="34"/>
  <c r="T340" i="34"/>
  <c r="T339" i="34"/>
  <c r="T338" i="34"/>
  <c r="T337" i="34"/>
  <c r="T336" i="34"/>
  <c r="T335" i="34"/>
  <c r="T334" i="34"/>
  <c r="T333" i="34"/>
  <c r="T332" i="34"/>
  <c r="T331" i="34"/>
  <c r="T330" i="34"/>
  <c r="T329" i="34"/>
  <c r="T328" i="34"/>
  <c r="T327" i="34"/>
  <c r="T326" i="34"/>
  <c r="T325" i="34"/>
  <c r="T324" i="34"/>
  <c r="T323" i="34"/>
  <c r="T322" i="34"/>
  <c r="T321" i="34"/>
  <c r="T320" i="34"/>
  <c r="T319" i="34"/>
  <c r="T318" i="34"/>
  <c r="T317" i="34"/>
  <c r="T316" i="34"/>
  <c r="T315" i="34"/>
  <c r="T314" i="34"/>
  <c r="T313" i="34"/>
  <c r="T312" i="34"/>
  <c r="T311" i="34"/>
  <c r="T310" i="34"/>
  <c r="T309" i="34"/>
  <c r="T308" i="34"/>
  <c r="T307" i="34"/>
  <c r="T306" i="34"/>
  <c r="T305" i="34"/>
  <c r="T304" i="34"/>
  <c r="T303" i="34"/>
  <c r="T302" i="34"/>
  <c r="T301" i="34"/>
  <c r="T300" i="34"/>
  <c r="T299" i="34"/>
  <c r="T298" i="34"/>
  <c r="T297" i="34"/>
  <c r="T296" i="34"/>
  <c r="T295" i="34"/>
  <c r="T294" i="34"/>
  <c r="T293" i="34"/>
  <c r="T292" i="34"/>
  <c r="T291" i="34"/>
  <c r="T290" i="34"/>
  <c r="T289" i="34"/>
  <c r="T288" i="34"/>
  <c r="T287" i="34"/>
  <c r="T286" i="34"/>
  <c r="T285" i="34"/>
  <c r="T284" i="34"/>
  <c r="T283" i="34"/>
  <c r="T282" i="34"/>
  <c r="T281" i="34"/>
  <c r="T280" i="34"/>
  <c r="T279" i="34"/>
  <c r="T278" i="34"/>
  <c r="T277" i="34"/>
  <c r="T276" i="34"/>
  <c r="T275" i="34"/>
  <c r="T274" i="34"/>
  <c r="T273" i="34"/>
  <c r="T272" i="34"/>
  <c r="T271" i="34"/>
  <c r="T270" i="34"/>
  <c r="T269" i="34"/>
  <c r="T268" i="34"/>
  <c r="T267" i="34"/>
  <c r="T266" i="34"/>
  <c r="T265" i="34"/>
  <c r="T264" i="34"/>
  <c r="T263" i="34"/>
  <c r="T262" i="34"/>
  <c r="T261" i="34"/>
  <c r="T260" i="34"/>
  <c r="T259" i="34"/>
  <c r="T258" i="34"/>
  <c r="T257" i="34"/>
  <c r="T256" i="34"/>
  <c r="T255" i="34"/>
  <c r="T254" i="34"/>
  <c r="T253" i="34"/>
  <c r="T252" i="34"/>
  <c r="T251" i="34"/>
  <c r="T250" i="34"/>
  <c r="T249" i="34"/>
  <c r="T248" i="34"/>
  <c r="T247" i="34"/>
  <c r="T246" i="34"/>
  <c r="T245" i="34"/>
  <c r="T244" i="34"/>
  <c r="T243" i="34"/>
  <c r="T242" i="34"/>
  <c r="T241" i="34"/>
  <c r="T240" i="34"/>
  <c r="T239" i="34"/>
  <c r="T238" i="34"/>
  <c r="T237" i="34"/>
  <c r="T236" i="34"/>
  <c r="T235" i="34"/>
  <c r="T234" i="34"/>
  <c r="T233" i="34"/>
  <c r="T232" i="34"/>
  <c r="T231" i="34"/>
  <c r="T230" i="34"/>
  <c r="T229" i="34"/>
  <c r="T228" i="34"/>
  <c r="T227" i="34"/>
  <c r="T226" i="34"/>
  <c r="T225" i="34"/>
  <c r="T224" i="34"/>
  <c r="T223" i="34"/>
  <c r="T222" i="34"/>
  <c r="T221" i="34"/>
  <c r="T220" i="34"/>
  <c r="T219" i="34"/>
  <c r="T218" i="34"/>
  <c r="T217" i="34"/>
  <c r="T216" i="34"/>
  <c r="T215" i="34"/>
  <c r="T214" i="34"/>
  <c r="T213" i="34"/>
  <c r="T212" i="34"/>
  <c r="T211" i="34"/>
  <c r="T210" i="34"/>
  <c r="T209" i="34"/>
  <c r="T208" i="34"/>
  <c r="T207" i="34"/>
  <c r="T206" i="34"/>
  <c r="T205" i="34"/>
  <c r="T204" i="34"/>
  <c r="T203" i="34"/>
  <c r="T202" i="34"/>
  <c r="T201" i="34"/>
  <c r="T200" i="34"/>
  <c r="T199" i="34"/>
  <c r="T198" i="34"/>
  <c r="T197" i="34"/>
  <c r="T196" i="34"/>
  <c r="T195" i="34"/>
  <c r="T194" i="34"/>
  <c r="T193" i="34"/>
  <c r="T192" i="34"/>
  <c r="T191" i="34"/>
  <c r="T190" i="34"/>
  <c r="T189" i="34"/>
  <c r="T188" i="34"/>
  <c r="T187" i="34"/>
  <c r="T186" i="34"/>
  <c r="T185" i="34"/>
  <c r="T184" i="34"/>
  <c r="T183" i="34"/>
  <c r="T182" i="34"/>
  <c r="T181" i="34"/>
  <c r="T180" i="34"/>
  <c r="T179" i="34"/>
  <c r="T178" i="34"/>
  <c r="T177" i="34"/>
  <c r="T176" i="34"/>
  <c r="T175" i="34"/>
  <c r="T174" i="34"/>
  <c r="T173" i="34"/>
  <c r="T172" i="34"/>
  <c r="T171" i="34"/>
  <c r="T170" i="34"/>
  <c r="T169" i="34"/>
  <c r="T168" i="34"/>
  <c r="T167" i="34"/>
  <c r="T166" i="34"/>
  <c r="T165" i="34"/>
  <c r="T164" i="34"/>
  <c r="T163" i="34"/>
  <c r="T162" i="34"/>
  <c r="T161" i="34"/>
  <c r="T160" i="34"/>
  <c r="T159" i="34"/>
  <c r="T158" i="34"/>
  <c r="T157" i="34"/>
  <c r="T156" i="34"/>
  <c r="T155" i="34"/>
  <c r="T154" i="34"/>
  <c r="T153" i="34"/>
  <c r="T152" i="34"/>
  <c r="T151" i="34"/>
  <c r="T150" i="34"/>
  <c r="T149" i="34"/>
  <c r="T148" i="34"/>
  <c r="T147" i="34"/>
  <c r="T146" i="34"/>
  <c r="T145" i="34"/>
  <c r="T144" i="34"/>
  <c r="T143" i="34"/>
  <c r="T142" i="34"/>
  <c r="T141" i="34"/>
  <c r="T140" i="34"/>
  <c r="T139" i="34"/>
  <c r="T138" i="34"/>
  <c r="T137" i="34"/>
  <c r="T136" i="34"/>
  <c r="T135" i="34"/>
  <c r="T134" i="34"/>
  <c r="T133" i="34"/>
  <c r="T132" i="34"/>
  <c r="T131" i="34"/>
  <c r="T130" i="34"/>
  <c r="T129" i="34"/>
  <c r="T128" i="34"/>
  <c r="T127" i="34"/>
  <c r="T126" i="34"/>
  <c r="T125" i="34"/>
  <c r="T124" i="34"/>
  <c r="T123" i="34"/>
  <c r="T122" i="34"/>
  <c r="T121" i="34"/>
  <c r="T120" i="34"/>
  <c r="T119" i="34"/>
  <c r="T118" i="34"/>
  <c r="T117" i="34"/>
  <c r="T116" i="34"/>
  <c r="T115" i="34"/>
  <c r="T114" i="34"/>
  <c r="T113" i="34"/>
  <c r="T112" i="34"/>
  <c r="T111" i="34"/>
  <c r="T110" i="34"/>
  <c r="T109" i="34"/>
  <c r="T108" i="34"/>
  <c r="T107" i="34"/>
  <c r="T106" i="34"/>
  <c r="T105" i="34"/>
  <c r="T104" i="34"/>
  <c r="T103" i="34"/>
  <c r="T102" i="34"/>
  <c r="T101" i="34"/>
  <c r="T100" i="34"/>
  <c r="T99" i="34"/>
  <c r="T98" i="34"/>
  <c r="T97" i="34"/>
  <c r="T96" i="34"/>
  <c r="T95" i="34"/>
  <c r="T94" i="34"/>
  <c r="T93" i="34"/>
  <c r="T92" i="34"/>
  <c r="T91" i="34"/>
  <c r="T90" i="34"/>
  <c r="T89" i="34"/>
  <c r="T88" i="34"/>
  <c r="T87" i="34"/>
  <c r="T86" i="34"/>
  <c r="T85" i="34"/>
  <c r="T84" i="34"/>
  <c r="T83" i="34"/>
  <c r="T82" i="34"/>
  <c r="T81" i="34"/>
  <c r="T80" i="34"/>
  <c r="T79" i="34"/>
  <c r="T78" i="34"/>
  <c r="T77" i="34"/>
  <c r="T76" i="34"/>
  <c r="T75" i="34"/>
  <c r="T74" i="34"/>
  <c r="T73" i="34"/>
  <c r="T72" i="34"/>
  <c r="T71" i="34"/>
  <c r="T70" i="34"/>
  <c r="T69" i="34"/>
  <c r="T68" i="34"/>
  <c r="T67" i="34"/>
  <c r="T66" i="34"/>
  <c r="T65" i="34"/>
  <c r="T64" i="34"/>
  <c r="T63" i="34"/>
  <c r="T62" i="34"/>
  <c r="T61" i="34"/>
  <c r="T60" i="34"/>
  <c r="T59" i="34"/>
  <c r="T58" i="34"/>
  <c r="T57" i="34"/>
  <c r="T56" i="34"/>
  <c r="T55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2" i="34"/>
  <c r="T41" i="34"/>
  <c r="T40" i="34"/>
  <c r="T39" i="34"/>
  <c r="T38" i="34"/>
  <c r="T37" i="34"/>
  <c r="T36" i="34"/>
  <c r="T35" i="34"/>
  <c r="T34" i="34"/>
  <c r="T33" i="34"/>
  <c r="T32" i="34"/>
  <c r="T31" i="34"/>
  <c r="T30" i="34"/>
  <c r="T29" i="34"/>
  <c r="T28" i="34"/>
  <c r="T27" i="34"/>
  <c r="T26" i="34"/>
  <c r="T25" i="34"/>
  <c r="U25" i="34"/>
  <c r="U56" i="34"/>
  <c r="U59" i="34"/>
  <c r="U64" i="34"/>
  <c r="U66" i="34"/>
  <c r="U79" i="34"/>
  <c r="U80" i="34"/>
  <c r="U90" i="34"/>
  <c r="U98" i="34"/>
  <c r="U158" i="34"/>
  <c r="U188" i="34"/>
  <c r="U189" i="34"/>
  <c r="U192" i="34"/>
  <c r="U195" i="34"/>
  <c r="U264" i="34"/>
  <c r="U274" i="34"/>
  <c r="U280" i="34"/>
  <c r="U287" i="34"/>
  <c r="U418" i="34"/>
  <c r="U433" i="34"/>
  <c r="U450" i="34"/>
  <c r="U454" i="34"/>
  <c r="U533" i="34"/>
  <c r="V25" i="34"/>
  <c r="V56" i="34"/>
  <c r="V59" i="34"/>
  <c r="V64" i="34"/>
  <c r="V66" i="34"/>
  <c r="V79" i="34"/>
  <c r="V80" i="34"/>
  <c r="V90" i="34"/>
  <c r="V98" i="34"/>
  <c r="V158" i="34"/>
  <c r="V188" i="34"/>
  <c r="V189" i="34"/>
  <c r="V192" i="34"/>
  <c r="V195" i="34"/>
  <c r="V264" i="34"/>
  <c r="V274" i="34"/>
  <c r="V280" i="34"/>
  <c r="V287" i="34"/>
  <c r="V418" i="34"/>
  <c r="V433" i="34"/>
  <c r="V450" i="34"/>
  <c r="V454" i="34"/>
  <c r="V533" i="34"/>
  <c r="W25" i="34"/>
  <c r="W56" i="34"/>
  <c r="W59" i="34"/>
  <c r="W64" i="34"/>
  <c r="W66" i="34"/>
  <c r="W79" i="34"/>
  <c r="W80" i="34"/>
  <c r="W90" i="34"/>
  <c r="W98" i="34"/>
  <c r="W158" i="34"/>
  <c r="W188" i="34"/>
  <c r="W189" i="34"/>
  <c r="W192" i="34"/>
  <c r="W195" i="34"/>
  <c r="W264" i="34"/>
  <c r="W274" i="34"/>
  <c r="W280" i="34"/>
  <c r="W287" i="34"/>
  <c r="W418" i="34"/>
  <c r="W433" i="34"/>
  <c r="W450" i="34"/>
  <c r="W454" i="34"/>
  <c r="W533" i="34"/>
  <c r="X25" i="34"/>
  <c r="X56" i="34"/>
  <c r="X59" i="34"/>
  <c r="X64" i="34"/>
  <c r="X66" i="34"/>
  <c r="X79" i="34"/>
  <c r="X80" i="34"/>
  <c r="X90" i="34"/>
  <c r="X98" i="34"/>
  <c r="X158" i="34"/>
  <c r="X188" i="34"/>
  <c r="X189" i="34"/>
  <c r="X192" i="34"/>
  <c r="X195" i="34"/>
  <c r="X264" i="34"/>
  <c r="X274" i="34"/>
  <c r="X280" i="34"/>
  <c r="X287" i="34"/>
  <c r="X418" i="34"/>
  <c r="X433" i="34"/>
  <c r="X450" i="34"/>
  <c r="X454" i="34"/>
  <c r="X533" i="34"/>
  <c r="Y25" i="34"/>
  <c r="Y56" i="34"/>
  <c r="Y59" i="34"/>
  <c r="Y64" i="34"/>
  <c r="Y66" i="34"/>
  <c r="Y79" i="34"/>
  <c r="Y80" i="34"/>
  <c r="Y90" i="34"/>
  <c r="Y98" i="34"/>
  <c r="Y158" i="34"/>
  <c r="Y188" i="34"/>
  <c r="Y189" i="34"/>
  <c r="Y192" i="34"/>
  <c r="Y195" i="34"/>
  <c r="Y264" i="34"/>
  <c r="Y274" i="34"/>
  <c r="Y280" i="34"/>
  <c r="Y287" i="34"/>
  <c r="Y418" i="34"/>
  <c r="Y433" i="34"/>
  <c r="Y450" i="34"/>
  <c r="Y454" i="34"/>
  <c r="Y533" i="34"/>
  <c r="Z25" i="34"/>
  <c r="Z56" i="34"/>
  <c r="Z59" i="34"/>
  <c r="Z64" i="34"/>
  <c r="Z66" i="34"/>
  <c r="Z79" i="34"/>
  <c r="Z80" i="34"/>
  <c r="Z90" i="34"/>
  <c r="Z98" i="34"/>
  <c r="Z158" i="34"/>
  <c r="Z188" i="34"/>
  <c r="Z189" i="34"/>
  <c r="Z192" i="34"/>
  <c r="Z195" i="34"/>
  <c r="Z264" i="34"/>
  <c r="Z274" i="34"/>
  <c r="Z280" i="34"/>
  <c r="Z287" i="34"/>
  <c r="Z418" i="34"/>
  <c r="Z433" i="34"/>
  <c r="Z450" i="34"/>
  <c r="Z454" i="34"/>
  <c r="Z533" i="34"/>
  <c r="AA25" i="34"/>
  <c r="AA56" i="34"/>
  <c r="AA59" i="34"/>
  <c r="AA64" i="34"/>
  <c r="AA66" i="34"/>
  <c r="AA79" i="34"/>
  <c r="AA80" i="34"/>
  <c r="AA90" i="34"/>
  <c r="AA98" i="34"/>
  <c r="AA158" i="34"/>
  <c r="AA188" i="34"/>
  <c r="AA189" i="34"/>
  <c r="AA192" i="34"/>
  <c r="AA195" i="34"/>
  <c r="AA264" i="34"/>
  <c r="AA274" i="34"/>
  <c r="AA280" i="34"/>
  <c r="AA287" i="34"/>
  <c r="AA418" i="34"/>
  <c r="AA433" i="34"/>
  <c r="AA450" i="34"/>
  <c r="AA454" i="34"/>
  <c r="AA533" i="34"/>
  <c r="AB25" i="34"/>
  <c r="AB56" i="34"/>
  <c r="AB59" i="34"/>
  <c r="AB64" i="34"/>
  <c r="AB66" i="34"/>
  <c r="AB79" i="34"/>
  <c r="AB80" i="34"/>
  <c r="AB90" i="34"/>
  <c r="AB98" i="34"/>
  <c r="AB158" i="34"/>
  <c r="AB188" i="34"/>
  <c r="AB189" i="34"/>
  <c r="AB192" i="34"/>
  <c r="AB195" i="34"/>
  <c r="AB264" i="34"/>
  <c r="AB274" i="34"/>
  <c r="AB280" i="34"/>
  <c r="AB287" i="34"/>
  <c r="AB418" i="34"/>
  <c r="AB433" i="34"/>
  <c r="AB450" i="34"/>
  <c r="AB454" i="34"/>
  <c r="AB533" i="34"/>
  <c r="AC25" i="34"/>
  <c r="AC56" i="34"/>
  <c r="AC59" i="34"/>
  <c r="AC64" i="34"/>
  <c r="AC66" i="34"/>
  <c r="AC79" i="34"/>
  <c r="AC80" i="34"/>
  <c r="AC90" i="34"/>
  <c r="AC98" i="34"/>
  <c r="AC158" i="34"/>
  <c r="AC188" i="34"/>
  <c r="AC189" i="34"/>
  <c r="AC192" i="34"/>
  <c r="AC195" i="34"/>
  <c r="AC264" i="34"/>
  <c r="AC274" i="34"/>
  <c r="AC280" i="34"/>
  <c r="AC287" i="34"/>
  <c r="AC418" i="34"/>
  <c r="AC433" i="34"/>
  <c r="AC450" i="34"/>
  <c r="AC454" i="34"/>
  <c r="AC533" i="34"/>
  <c r="AD25" i="34"/>
  <c r="AD56" i="34"/>
  <c r="AD59" i="34"/>
  <c r="AD64" i="34"/>
  <c r="AD66" i="34"/>
  <c r="AD79" i="34"/>
  <c r="AD80" i="34"/>
  <c r="AD90" i="34"/>
  <c r="AD98" i="34"/>
  <c r="AD158" i="34"/>
  <c r="AD188" i="34"/>
  <c r="AD189" i="34"/>
  <c r="AD192" i="34"/>
  <c r="AD195" i="34"/>
  <c r="AD264" i="34"/>
  <c r="AD274" i="34"/>
  <c r="AD280" i="34"/>
  <c r="AD287" i="34"/>
  <c r="AD418" i="34"/>
  <c r="AD433" i="34"/>
  <c r="AD450" i="34"/>
  <c r="AD454" i="34"/>
  <c r="AD533" i="34"/>
  <c r="AE25" i="34"/>
  <c r="AE56" i="34"/>
  <c r="AE59" i="34"/>
  <c r="AE64" i="34"/>
  <c r="AE66" i="34"/>
  <c r="AE79" i="34"/>
  <c r="AE80" i="34"/>
  <c r="AE90" i="34"/>
  <c r="AE98" i="34"/>
  <c r="AE158" i="34"/>
  <c r="AE188" i="34"/>
  <c r="AE189" i="34"/>
  <c r="AE192" i="34"/>
  <c r="AE195" i="34"/>
  <c r="AE264" i="34"/>
  <c r="AE274" i="34"/>
  <c r="AE280" i="34"/>
  <c r="AE287" i="34"/>
  <c r="AE418" i="34"/>
  <c r="AE433" i="34"/>
  <c r="AE450" i="34"/>
  <c r="AE454" i="34"/>
  <c r="AE533" i="34"/>
  <c r="AF25" i="34"/>
  <c r="AF56" i="34"/>
  <c r="AF59" i="34"/>
  <c r="AF64" i="34"/>
  <c r="AF66" i="34"/>
  <c r="AF79" i="34"/>
  <c r="AF80" i="34"/>
  <c r="AF90" i="34"/>
  <c r="AF98" i="34"/>
  <c r="AF158" i="34"/>
  <c r="AF188" i="34"/>
  <c r="AF189" i="34"/>
  <c r="AF192" i="34"/>
  <c r="AF195" i="34"/>
  <c r="AF264" i="34"/>
  <c r="AF274" i="34"/>
  <c r="AF280" i="34"/>
  <c r="AF287" i="34"/>
  <c r="AF418" i="34"/>
  <c r="AF433" i="34"/>
  <c r="AF450" i="34"/>
  <c r="AF454" i="34"/>
  <c r="AF533" i="34"/>
  <c r="AG25" i="34"/>
  <c r="AG56" i="34"/>
  <c r="AG59" i="34"/>
  <c r="AG64" i="34"/>
  <c r="AG66" i="34"/>
  <c r="AG79" i="34"/>
  <c r="AG80" i="34"/>
  <c r="AG90" i="34"/>
  <c r="AG98" i="34"/>
  <c r="AG158" i="34"/>
  <c r="AG188" i="34"/>
  <c r="AG189" i="34"/>
  <c r="AG192" i="34"/>
  <c r="AG195" i="34"/>
  <c r="AG264" i="34"/>
  <c r="AG274" i="34"/>
  <c r="AG280" i="34"/>
  <c r="AG287" i="34"/>
  <c r="AG418" i="34"/>
  <c r="AG433" i="34"/>
  <c r="AG450" i="34"/>
  <c r="AG454" i="34"/>
  <c r="AG533" i="34"/>
  <c r="D23" i="34"/>
  <c r="D37" i="34"/>
  <c r="D69" i="34"/>
  <c r="D70" i="34"/>
  <c r="D71" i="34"/>
  <c r="D73" i="34"/>
  <c r="D74" i="34"/>
  <c r="D78" i="34"/>
  <c r="D99" i="34"/>
  <c r="D100" i="34"/>
  <c r="D103" i="34"/>
  <c r="D111" i="34"/>
  <c r="D112" i="34"/>
  <c r="D114" i="34"/>
  <c r="D118" i="34"/>
  <c r="D120" i="34"/>
  <c r="D121" i="34"/>
  <c r="D123" i="34"/>
  <c r="D124" i="34"/>
  <c r="D127" i="34"/>
  <c r="D129" i="34"/>
  <c r="D144" i="34"/>
  <c r="D161" i="34"/>
  <c r="D190" i="34"/>
  <c r="D202" i="34"/>
  <c r="D212" i="34"/>
  <c r="D213" i="34"/>
  <c r="D246" i="34"/>
  <c r="D276" i="34"/>
  <c r="D281" i="34"/>
  <c r="D288" i="34"/>
  <c r="D294" i="34"/>
  <c r="D299" i="34"/>
  <c r="D310" i="34"/>
  <c r="D338" i="34"/>
  <c r="D350" i="34"/>
  <c r="D353" i="34"/>
  <c r="D360" i="34"/>
  <c r="D367" i="34"/>
  <c r="D369" i="34"/>
  <c r="D381" i="34"/>
  <c r="D397" i="34"/>
  <c r="D406" i="34"/>
  <c r="D419" i="34"/>
  <c r="D426" i="34"/>
  <c r="D432" i="34"/>
  <c r="D434" i="34"/>
  <c r="D443" i="34"/>
  <c r="D455" i="34"/>
  <c r="D463" i="34"/>
  <c r="D464" i="34"/>
  <c r="D466" i="34"/>
  <c r="D511" i="34"/>
  <c r="D512" i="34"/>
  <c r="I23" i="34"/>
  <c r="M23" i="34"/>
  <c r="N23" i="34"/>
  <c r="O23" i="34"/>
  <c r="O37" i="34"/>
  <c r="O69" i="34"/>
  <c r="O70" i="34"/>
  <c r="O71" i="34"/>
  <c r="O73" i="34"/>
  <c r="O74" i="34"/>
  <c r="O78" i="34"/>
  <c r="O99" i="34"/>
  <c r="O100" i="34"/>
  <c r="O103" i="34"/>
  <c r="O111" i="34"/>
  <c r="O112" i="34"/>
  <c r="O114" i="34"/>
  <c r="O118" i="34"/>
  <c r="O120" i="34"/>
  <c r="O121" i="34"/>
  <c r="O123" i="34"/>
  <c r="O124" i="34"/>
  <c r="O127" i="34"/>
  <c r="O129" i="34"/>
  <c r="O144" i="34"/>
  <c r="O161" i="34"/>
  <c r="O190" i="34"/>
  <c r="O202" i="34"/>
  <c r="O212" i="34"/>
  <c r="O213" i="34"/>
  <c r="O246" i="34"/>
  <c r="O276" i="34"/>
  <c r="O281" i="34"/>
  <c r="O288" i="34"/>
  <c r="O294" i="34"/>
  <c r="O299" i="34"/>
  <c r="O310" i="34"/>
  <c r="O338" i="34"/>
  <c r="O350" i="34"/>
  <c r="O353" i="34"/>
  <c r="O360" i="34"/>
  <c r="O367" i="34"/>
  <c r="O369" i="34"/>
  <c r="O381" i="34"/>
  <c r="O397" i="34"/>
  <c r="O406" i="34"/>
  <c r="O419" i="34"/>
  <c r="O426" i="34"/>
  <c r="O432" i="34"/>
  <c r="O434" i="34"/>
  <c r="O443" i="34"/>
  <c r="O455" i="34"/>
  <c r="O463" i="34"/>
  <c r="O464" i="34"/>
  <c r="O466" i="34"/>
  <c r="O511" i="34"/>
  <c r="O512" i="34"/>
  <c r="P23" i="34"/>
  <c r="P37" i="34"/>
  <c r="P69" i="34"/>
  <c r="P70" i="34"/>
  <c r="P71" i="34"/>
  <c r="P73" i="34"/>
  <c r="P74" i="34"/>
  <c r="P78" i="34"/>
  <c r="P99" i="34"/>
  <c r="P100" i="34"/>
  <c r="P103" i="34"/>
  <c r="P111" i="34"/>
  <c r="P112" i="34"/>
  <c r="P114" i="34"/>
  <c r="P118" i="34"/>
  <c r="P120" i="34"/>
  <c r="P121" i="34"/>
  <c r="P123" i="34"/>
  <c r="P124" i="34"/>
  <c r="P127" i="34"/>
  <c r="P129" i="34"/>
  <c r="P144" i="34"/>
  <c r="P161" i="34"/>
  <c r="P190" i="34"/>
  <c r="P202" i="34"/>
  <c r="P212" i="34"/>
  <c r="P213" i="34"/>
  <c r="P246" i="34"/>
  <c r="P276" i="34"/>
  <c r="P281" i="34"/>
  <c r="P288" i="34"/>
  <c r="P294" i="34"/>
  <c r="P299" i="34"/>
  <c r="P310" i="34"/>
  <c r="P338" i="34"/>
  <c r="P350" i="34"/>
  <c r="P353" i="34"/>
  <c r="P360" i="34"/>
  <c r="P367" i="34"/>
  <c r="P369" i="34"/>
  <c r="P381" i="34"/>
  <c r="P397" i="34"/>
  <c r="P406" i="34"/>
  <c r="P419" i="34"/>
  <c r="P426" i="34"/>
  <c r="P432" i="34"/>
  <c r="P434" i="34"/>
  <c r="P443" i="34"/>
  <c r="P455" i="34"/>
  <c r="P463" i="34"/>
  <c r="P464" i="34"/>
  <c r="P466" i="34"/>
  <c r="P511" i="34"/>
  <c r="P512" i="34"/>
  <c r="Q23" i="34"/>
  <c r="Q37" i="34"/>
  <c r="Q69" i="34"/>
  <c r="Q70" i="34"/>
  <c r="Q71" i="34"/>
  <c r="Q73" i="34"/>
  <c r="Q74" i="34"/>
  <c r="Q78" i="34"/>
  <c r="Q99" i="34"/>
  <c r="Q100" i="34"/>
  <c r="Q103" i="34"/>
  <c r="Q111" i="34"/>
  <c r="Q112" i="34"/>
  <c r="Q114" i="34"/>
  <c r="Q118" i="34"/>
  <c r="Q120" i="34"/>
  <c r="Q121" i="34"/>
  <c r="Q123" i="34"/>
  <c r="Q124" i="34"/>
  <c r="Q127" i="34"/>
  <c r="Q129" i="34"/>
  <c r="Q144" i="34"/>
  <c r="Q161" i="34"/>
  <c r="Q190" i="34"/>
  <c r="Q202" i="34"/>
  <c r="Q212" i="34"/>
  <c r="Q213" i="34"/>
  <c r="Q246" i="34"/>
  <c r="Q276" i="34"/>
  <c r="Q281" i="34"/>
  <c r="Q288" i="34"/>
  <c r="Q294" i="34"/>
  <c r="Q299" i="34"/>
  <c r="Q310" i="34"/>
  <c r="Q338" i="34"/>
  <c r="Q350" i="34"/>
  <c r="Q353" i="34"/>
  <c r="Q360" i="34"/>
  <c r="Q367" i="34"/>
  <c r="Q369" i="34"/>
  <c r="Q381" i="34"/>
  <c r="Q397" i="34"/>
  <c r="Q406" i="34"/>
  <c r="Q419" i="34"/>
  <c r="Q426" i="34"/>
  <c r="Q432" i="34"/>
  <c r="Q434" i="34"/>
  <c r="Q443" i="34"/>
  <c r="Q455" i="34"/>
  <c r="Q463" i="34"/>
  <c r="Q464" i="34"/>
  <c r="Q466" i="34"/>
  <c r="Q511" i="34"/>
  <c r="Q512" i="34"/>
  <c r="M24" i="34"/>
  <c r="I24" i="34"/>
  <c r="N24" i="34"/>
  <c r="S24" i="34"/>
  <c r="R24" i="34"/>
  <c r="R23" i="34"/>
  <c r="S23" i="34"/>
  <c r="T24" i="34"/>
  <c r="T23" i="34"/>
  <c r="U23" i="34"/>
  <c r="U37" i="34"/>
  <c r="U69" i="34"/>
  <c r="U70" i="34"/>
  <c r="U71" i="34"/>
  <c r="U73" i="34"/>
  <c r="U74" i="34"/>
  <c r="U78" i="34"/>
  <c r="U99" i="34"/>
  <c r="U100" i="34"/>
  <c r="U103" i="34"/>
  <c r="U111" i="34"/>
  <c r="U112" i="34"/>
  <c r="U114" i="34"/>
  <c r="U118" i="34"/>
  <c r="U120" i="34"/>
  <c r="U121" i="34"/>
  <c r="U123" i="34"/>
  <c r="U124" i="34"/>
  <c r="U127" i="34"/>
  <c r="U129" i="34"/>
  <c r="U144" i="34"/>
  <c r="U161" i="34"/>
  <c r="U190" i="34"/>
  <c r="U202" i="34"/>
  <c r="U212" i="34"/>
  <c r="U213" i="34"/>
  <c r="U246" i="34"/>
  <c r="U276" i="34"/>
  <c r="U281" i="34"/>
  <c r="U288" i="34"/>
  <c r="U294" i="34"/>
  <c r="U299" i="34"/>
  <c r="U310" i="34"/>
  <c r="U338" i="34"/>
  <c r="U350" i="34"/>
  <c r="U353" i="34"/>
  <c r="U360" i="34"/>
  <c r="U367" i="34"/>
  <c r="U369" i="34"/>
  <c r="U381" i="34"/>
  <c r="U397" i="34"/>
  <c r="U406" i="34"/>
  <c r="U419" i="34"/>
  <c r="U426" i="34"/>
  <c r="U432" i="34"/>
  <c r="U434" i="34"/>
  <c r="U443" i="34"/>
  <c r="U455" i="34"/>
  <c r="U463" i="34"/>
  <c r="U464" i="34"/>
  <c r="U466" i="34"/>
  <c r="U511" i="34"/>
  <c r="U512" i="34"/>
  <c r="V23" i="34"/>
  <c r="V37" i="34"/>
  <c r="V69" i="34"/>
  <c r="V70" i="34"/>
  <c r="V71" i="34"/>
  <c r="V73" i="34"/>
  <c r="V74" i="34"/>
  <c r="V78" i="34"/>
  <c r="V99" i="34"/>
  <c r="V100" i="34"/>
  <c r="V103" i="34"/>
  <c r="V111" i="34"/>
  <c r="V112" i="34"/>
  <c r="V114" i="34"/>
  <c r="V118" i="34"/>
  <c r="V120" i="34"/>
  <c r="V121" i="34"/>
  <c r="V123" i="34"/>
  <c r="V124" i="34"/>
  <c r="V127" i="34"/>
  <c r="V129" i="34"/>
  <c r="V144" i="34"/>
  <c r="V161" i="34"/>
  <c r="V190" i="34"/>
  <c r="V202" i="34"/>
  <c r="V212" i="34"/>
  <c r="V213" i="34"/>
  <c r="V246" i="34"/>
  <c r="V276" i="34"/>
  <c r="V281" i="34"/>
  <c r="V288" i="34"/>
  <c r="V294" i="34"/>
  <c r="V299" i="34"/>
  <c r="V310" i="34"/>
  <c r="V338" i="34"/>
  <c r="V350" i="34"/>
  <c r="V353" i="34"/>
  <c r="V360" i="34"/>
  <c r="V367" i="34"/>
  <c r="V369" i="34"/>
  <c r="V381" i="34"/>
  <c r="V397" i="34"/>
  <c r="V406" i="34"/>
  <c r="V419" i="34"/>
  <c r="V426" i="34"/>
  <c r="V432" i="34"/>
  <c r="V434" i="34"/>
  <c r="V443" i="34"/>
  <c r="V455" i="34"/>
  <c r="V463" i="34"/>
  <c r="V464" i="34"/>
  <c r="V466" i="34"/>
  <c r="V511" i="34"/>
  <c r="V512" i="34"/>
  <c r="W23" i="34"/>
  <c r="W37" i="34"/>
  <c r="W69" i="34"/>
  <c r="W70" i="34"/>
  <c r="W71" i="34"/>
  <c r="W73" i="34"/>
  <c r="W74" i="34"/>
  <c r="W78" i="34"/>
  <c r="W99" i="34"/>
  <c r="W100" i="34"/>
  <c r="W103" i="34"/>
  <c r="W111" i="34"/>
  <c r="W112" i="34"/>
  <c r="W114" i="34"/>
  <c r="W118" i="34"/>
  <c r="W120" i="34"/>
  <c r="W121" i="34"/>
  <c r="W123" i="34"/>
  <c r="W124" i="34"/>
  <c r="W127" i="34"/>
  <c r="W129" i="34"/>
  <c r="W144" i="34"/>
  <c r="W161" i="34"/>
  <c r="W190" i="34"/>
  <c r="W202" i="34"/>
  <c r="W212" i="34"/>
  <c r="W213" i="34"/>
  <c r="W246" i="34"/>
  <c r="W276" i="34"/>
  <c r="W281" i="34"/>
  <c r="W288" i="34"/>
  <c r="W294" i="34"/>
  <c r="W299" i="34"/>
  <c r="W310" i="34"/>
  <c r="W338" i="34"/>
  <c r="W350" i="34"/>
  <c r="W353" i="34"/>
  <c r="W360" i="34"/>
  <c r="W367" i="34"/>
  <c r="W369" i="34"/>
  <c r="W381" i="34"/>
  <c r="W397" i="34"/>
  <c r="W406" i="34"/>
  <c r="W419" i="34"/>
  <c r="W426" i="34"/>
  <c r="W432" i="34"/>
  <c r="W434" i="34"/>
  <c r="W443" i="34"/>
  <c r="W455" i="34"/>
  <c r="W463" i="34"/>
  <c r="W464" i="34"/>
  <c r="W466" i="34"/>
  <c r="W511" i="34"/>
  <c r="W512" i="34"/>
  <c r="X23" i="34"/>
  <c r="X37" i="34"/>
  <c r="X69" i="34"/>
  <c r="X70" i="34"/>
  <c r="X71" i="34"/>
  <c r="X73" i="34"/>
  <c r="X74" i="34"/>
  <c r="X78" i="34"/>
  <c r="X99" i="34"/>
  <c r="X100" i="34"/>
  <c r="X103" i="34"/>
  <c r="X111" i="34"/>
  <c r="X112" i="34"/>
  <c r="X114" i="34"/>
  <c r="X118" i="34"/>
  <c r="X120" i="34"/>
  <c r="X121" i="34"/>
  <c r="X123" i="34"/>
  <c r="X124" i="34"/>
  <c r="X127" i="34"/>
  <c r="X129" i="34"/>
  <c r="X144" i="34"/>
  <c r="X161" i="34"/>
  <c r="X190" i="34"/>
  <c r="X202" i="34"/>
  <c r="X212" i="34"/>
  <c r="X213" i="34"/>
  <c r="X246" i="34"/>
  <c r="X276" i="34"/>
  <c r="X281" i="34"/>
  <c r="X288" i="34"/>
  <c r="X294" i="34"/>
  <c r="X299" i="34"/>
  <c r="X310" i="34"/>
  <c r="X338" i="34"/>
  <c r="X350" i="34"/>
  <c r="X353" i="34"/>
  <c r="X360" i="34"/>
  <c r="X367" i="34"/>
  <c r="X369" i="34"/>
  <c r="X381" i="34"/>
  <c r="X397" i="34"/>
  <c r="X406" i="34"/>
  <c r="X419" i="34"/>
  <c r="X426" i="34"/>
  <c r="X432" i="34"/>
  <c r="X434" i="34"/>
  <c r="X443" i="34"/>
  <c r="X455" i="34"/>
  <c r="X463" i="34"/>
  <c r="X464" i="34"/>
  <c r="X466" i="34"/>
  <c r="X511" i="34"/>
  <c r="X512" i="34"/>
  <c r="Y23" i="34"/>
  <c r="Y37" i="34"/>
  <c r="Y69" i="34"/>
  <c r="Y70" i="34"/>
  <c r="Y71" i="34"/>
  <c r="Y73" i="34"/>
  <c r="Y74" i="34"/>
  <c r="Y78" i="34"/>
  <c r="Y99" i="34"/>
  <c r="Y100" i="34"/>
  <c r="Y103" i="34"/>
  <c r="Y111" i="34"/>
  <c r="Y112" i="34"/>
  <c r="Y114" i="34"/>
  <c r="Y118" i="34"/>
  <c r="Y120" i="34"/>
  <c r="Y121" i="34"/>
  <c r="Y123" i="34"/>
  <c r="Y124" i="34"/>
  <c r="Y127" i="34"/>
  <c r="Y129" i="34"/>
  <c r="Y144" i="34"/>
  <c r="Y161" i="34"/>
  <c r="Y190" i="34"/>
  <c r="Y202" i="34"/>
  <c r="Y212" i="34"/>
  <c r="Y213" i="34"/>
  <c r="Y246" i="34"/>
  <c r="Y276" i="34"/>
  <c r="Y281" i="34"/>
  <c r="Y288" i="34"/>
  <c r="Y294" i="34"/>
  <c r="Y299" i="34"/>
  <c r="Y310" i="34"/>
  <c r="Y338" i="34"/>
  <c r="Y350" i="34"/>
  <c r="Y353" i="34"/>
  <c r="Y360" i="34"/>
  <c r="Y367" i="34"/>
  <c r="Y369" i="34"/>
  <c r="Y381" i="34"/>
  <c r="Y397" i="34"/>
  <c r="Y406" i="34"/>
  <c r="Y419" i="34"/>
  <c r="Y426" i="34"/>
  <c r="Y432" i="34"/>
  <c r="Y434" i="34"/>
  <c r="Y443" i="34"/>
  <c r="Y455" i="34"/>
  <c r="Y463" i="34"/>
  <c r="Y464" i="34"/>
  <c r="Y466" i="34"/>
  <c r="Y511" i="34"/>
  <c r="Y512" i="34"/>
  <c r="Z23" i="34"/>
  <c r="Z37" i="34"/>
  <c r="Z69" i="34"/>
  <c r="Z70" i="34"/>
  <c r="Z71" i="34"/>
  <c r="Z73" i="34"/>
  <c r="Z74" i="34"/>
  <c r="Z78" i="34"/>
  <c r="Z99" i="34"/>
  <c r="Z100" i="34"/>
  <c r="Z103" i="34"/>
  <c r="Z111" i="34"/>
  <c r="Z112" i="34"/>
  <c r="Z114" i="34"/>
  <c r="Z118" i="34"/>
  <c r="Z120" i="34"/>
  <c r="Z121" i="34"/>
  <c r="Z123" i="34"/>
  <c r="Z124" i="34"/>
  <c r="Z127" i="34"/>
  <c r="Z129" i="34"/>
  <c r="Z144" i="34"/>
  <c r="Z161" i="34"/>
  <c r="Z190" i="34"/>
  <c r="Z202" i="34"/>
  <c r="Z212" i="34"/>
  <c r="Z213" i="34"/>
  <c r="Z246" i="34"/>
  <c r="Z276" i="34"/>
  <c r="Z281" i="34"/>
  <c r="Z288" i="34"/>
  <c r="Z294" i="34"/>
  <c r="Z299" i="34"/>
  <c r="Z310" i="34"/>
  <c r="Z338" i="34"/>
  <c r="Z350" i="34"/>
  <c r="Z353" i="34"/>
  <c r="Z360" i="34"/>
  <c r="Z367" i="34"/>
  <c r="Z369" i="34"/>
  <c r="Z381" i="34"/>
  <c r="Z397" i="34"/>
  <c r="Z406" i="34"/>
  <c r="Z419" i="34"/>
  <c r="Z426" i="34"/>
  <c r="Z432" i="34"/>
  <c r="Z434" i="34"/>
  <c r="Z443" i="34"/>
  <c r="Z455" i="34"/>
  <c r="Z463" i="34"/>
  <c r="Z464" i="34"/>
  <c r="Z466" i="34"/>
  <c r="Z511" i="34"/>
  <c r="Z512" i="34"/>
  <c r="AA23" i="34"/>
  <c r="AA37" i="34"/>
  <c r="AA69" i="34"/>
  <c r="AA70" i="34"/>
  <c r="AA71" i="34"/>
  <c r="AA73" i="34"/>
  <c r="AA74" i="34"/>
  <c r="AA78" i="34"/>
  <c r="AA99" i="34"/>
  <c r="AA100" i="34"/>
  <c r="AA103" i="34"/>
  <c r="AA111" i="34"/>
  <c r="AA112" i="34"/>
  <c r="AA114" i="34"/>
  <c r="AA118" i="34"/>
  <c r="AA120" i="34"/>
  <c r="AA121" i="34"/>
  <c r="AA123" i="34"/>
  <c r="AA124" i="34"/>
  <c r="AA127" i="34"/>
  <c r="AA129" i="34"/>
  <c r="AA144" i="34"/>
  <c r="AA161" i="34"/>
  <c r="AA190" i="34"/>
  <c r="AA202" i="34"/>
  <c r="AA212" i="34"/>
  <c r="AA213" i="34"/>
  <c r="AA246" i="34"/>
  <c r="AA276" i="34"/>
  <c r="AA281" i="34"/>
  <c r="AA288" i="34"/>
  <c r="AA294" i="34"/>
  <c r="AA299" i="34"/>
  <c r="AA310" i="34"/>
  <c r="AA338" i="34"/>
  <c r="AA350" i="34"/>
  <c r="AA353" i="34"/>
  <c r="AA360" i="34"/>
  <c r="AA367" i="34"/>
  <c r="AA369" i="34"/>
  <c r="AA381" i="34"/>
  <c r="AA397" i="34"/>
  <c r="AA406" i="34"/>
  <c r="AA419" i="34"/>
  <c r="AA426" i="34"/>
  <c r="AA432" i="34"/>
  <c r="AA434" i="34"/>
  <c r="AA443" i="34"/>
  <c r="AA455" i="34"/>
  <c r="AA463" i="34"/>
  <c r="AA464" i="34"/>
  <c r="AA466" i="34"/>
  <c r="AA511" i="34"/>
  <c r="AA512" i="34"/>
  <c r="AB23" i="34"/>
  <c r="AB37" i="34"/>
  <c r="AB69" i="34"/>
  <c r="AB70" i="34"/>
  <c r="AB71" i="34"/>
  <c r="AB73" i="34"/>
  <c r="AB74" i="34"/>
  <c r="AB78" i="34"/>
  <c r="AB99" i="34"/>
  <c r="AB100" i="34"/>
  <c r="AB103" i="34"/>
  <c r="AB111" i="34"/>
  <c r="AB112" i="34"/>
  <c r="AB114" i="34"/>
  <c r="AB118" i="34"/>
  <c r="AB120" i="34"/>
  <c r="AB121" i="34"/>
  <c r="AB123" i="34"/>
  <c r="AB124" i="34"/>
  <c r="AB127" i="34"/>
  <c r="AB129" i="34"/>
  <c r="AB144" i="34"/>
  <c r="AB161" i="34"/>
  <c r="AB190" i="34"/>
  <c r="AB202" i="34"/>
  <c r="AB212" i="34"/>
  <c r="AB213" i="34"/>
  <c r="AB246" i="34"/>
  <c r="AB276" i="34"/>
  <c r="AB281" i="34"/>
  <c r="AB288" i="34"/>
  <c r="AB294" i="34"/>
  <c r="AB299" i="34"/>
  <c r="AB310" i="34"/>
  <c r="AB338" i="34"/>
  <c r="AB350" i="34"/>
  <c r="AB353" i="34"/>
  <c r="AB360" i="34"/>
  <c r="AB367" i="34"/>
  <c r="AB369" i="34"/>
  <c r="AB381" i="34"/>
  <c r="AB397" i="34"/>
  <c r="AB406" i="34"/>
  <c r="AB419" i="34"/>
  <c r="AB426" i="34"/>
  <c r="AB432" i="34"/>
  <c r="AB434" i="34"/>
  <c r="AB443" i="34"/>
  <c r="AB455" i="34"/>
  <c r="AB463" i="34"/>
  <c r="AB464" i="34"/>
  <c r="AB466" i="34"/>
  <c r="AB511" i="34"/>
  <c r="AB512" i="34"/>
  <c r="AC23" i="34"/>
  <c r="AC37" i="34"/>
  <c r="AC69" i="34"/>
  <c r="AC70" i="34"/>
  <c r="AC71" i="34"/>
  <c r="AC73" i="34"/>
  <c r="AC74" i="34"/>
  <c r="AC78" i="34"/>
  <c r="AC99" i="34"/>
  <c r="AC100" i="34"/>
  <c r="AC103" i="34"/>
  <c r="AC111" i="34"/>
  <c r="AC112" i="34"/>
  <c r="AC114" i="34"/>
  <c r="AC118" i="34"/>
  <c r="AC120" i="34"/>
  <c r="AC121" i="34"/>
  <c r="AC123" i="34"/>
  <c r="AC124" i="34"/>
  <c r="AC127" i="34"/>
  <c r="AC129" i="34"/>
  <c r="AC144" i="34"/>
  <c r="AC161" i="34"/>
  <c r="AC190" i="34"/>
  <c r="AC202" i="34"/>
  <c r="AC212" i="34"/>
  <c r="AC213" i="34"/>
  <c r="AC246" i="34"/>
  <c r="AC276" i="34"/>
  <c r="AC281" i="34"/>
  <c r="AC288" i="34"/>
  <c r="AC294" i="34"/>
  <c r="AC299" i="34"/>
  <c r="AC310" i="34"/>
  <c r="AC338" i="34"/>
  <c r="AC350" i="34"/>
  <c r="AC353" i="34"/>
  <c r="AC360" i="34"/>
  <c r="AC367" i="34"/>
  <c r="AC369" i="34"/>
  <c r="AC381" i="34"/>
  <c r="AC397" i="34"/>
  <c r="AC406" i="34"/>
  <c r="AC419" i="34"/>
  <c r="AC426" i="34"/>
  <c r="AC432" i="34"/>
  <c r="AC434" i="34"/>
  <c r="AC443" i="34"/>
  <c r="AC455" i="34"/>
  <c r="AC463" i="34"/>
  <c r="AC464" i="34"/>
  <c r="AC466" i="34"/>
  <c r="AC511" i="34"/>
  <c r="AC512" i="34"/>
  <c r="AD23" i="34"/>
  <c r="AD37" i="34"/>
  <c r="AD69" i="34"/>
  <c r="AD70" i="34"/>
  <c r="AD71" i="34"/>
  <c r="AD73" i="34"/>
  <c r="AD74" i="34"/>
  <c r="AD78" i="34"/>
  <c r="AD99" i="34"/>
  <c r="AD100" i="34"/>
  <c r="AD103" i="34"/>
  <c r="AD111" i="34"/>
  <c r="AD112" i="34"/>
  <c r="AD114" i="34"/>
  <c r="AD118" i="34"/>
  <c r="AD120" i="34"/>
  <c r="AD121" i="34"/>
  <c r="AD123" i="34"/>
  <c r="AD124" i="34"/>
  <c r="AD127" i="34"/>
  <c r="AD129" i="34"/>
  <c r="AD144" i="34"/>
  <c r="AD161" i="34"/>
  <c r="AD190" i="34"/>
  <c r="AD202" i="34"/>
  <c r="AD212" i="34"/>
  <c r="AD213" i="34"/>
  <c r="AD246" i="34"/>
  <c r="AD276" i="34"/>
  <c r="AD281" i="34"/>
  <c r="AD288" i="34"/>
  <c r="AD294" i="34"/>
  <c r="AD299" i="34"/>
  <c r="AD310" i="34"/>
  <c r="AD338" i="34"/>
  <c r="AD350" i="34"/>
  <c r="AD353" i="34"/>
  <c r="AD360" i="34"/>
  <c r="AD367" i="34"/>
  <c r="AD369" i="34"/>
  <c r="AD381" i="34"/>
  <c r="AD397" i="34"/>
  <c r="AD406" i="34"/>
  <c r="AD419" i="34"/>
  <c r="AD426" i="34"/>
  <c r="AD432" i="34"/>
  <c r="AD434" i="34"/>
  <c r="AD443" i="34"/>
  <c r="AD455" i="34"/>
  <c r="AD463" i="34"/>
  <c r="AD464" i="34"/>
  <c r="AD466" i="34"/>
  <c r="AD511" i="34"/>
  <c r="AD512" i="34"/>
  <c r="AE23" i="34"/>
  <c r="AE37" i="34"/>
  <c r="AE69" i="34"/>
  <c r="AE70" i="34"/>
  <c r="AE71" i="34"/>
  <c r="AE73" i="34"/>
  <c r="AE74" i="34"/>
  <c r="AE78" i="34"/>
  <c r="AE99" i="34"/>
  <c r="AE100" i="34"/>
  <c r="AE103" i="34"/>
  <c r="AE111" i="34"/>
  <c r="AE112" i="34"/>
  <c r="AE114" i="34"/>
  <c r="AE118" i="34"/>
  <c r="AE120" i="34"/>
  <c r="AE121" i="34"/>
  <c r="AE123" i="34"/>
  <c r="AE124" i="34"/>
  <c r="AE127" i="34"/>
  <c r="AE129" i="34"/>
  <c r="AE144" i="34"/>
  <c r="AE161" i="34"/>
  <c r="AE190" i="34"/>
  <c r="AE202" i="34"/>
  <c r="AE212" i="34"/>
  <c r="AE213" i="34"/>
  <c r="AE246" i="34"/>
  <c r="AE276" i="34"/>
  <c r="AE281" i="34"/>
  <c r="AE288" i="34"/>
  <c r="AE294" i="34"/>
  <c r="AE299" i="34"/>
  <c r="AE310" i="34"/>
  <c r="AE338" i="34"/>
  <c r="AE350" i="34"/>
  <c r="AE353" i="34"/>
  <c r="AE360" i="34"/>
  <c r="AE367" i="34"/>
  <c r="AE369" i="34"/>
  <c r="AE381" i="34"/>
  <c r="AE397" i="34"/>
  <c r="AE406" i="34"/>
  <c r="AE419" i="34"/>
  <c r="AE426" i="34"/>
  <c r="AE432" i="34"/>
  <c r="AE434" i="34"/>
  <c r="AE443" i="34"/>
  <c r="AE455" i="34"/>
  <c r="AE463" i="34"/>
  <c r="AE464" i="34"/>
  <c r="AE466" i="34"/>
  <c r="AE511" i="34"/>
  <c r="AE512" i="34"/>
  <c r="AF23" i="34"/>
  <c r="AF37" i="34"/>
  <c r="AF69" i="34"/>
  <c r="AF70" i="34"/>
  <c r="AF71" i="34"/>
  <c r="AF73" i="34"/>
  <c r="AF74" i="34"/>
  <c r="AF78" i="34"/>
  <c r="AF99" i="34"/>
  <c r="AF100" i="34"/>
  <c r="AF103" i="34"/>
  <c r="AF111" i="34"/>
  <c r="AF112" i="34"/>
  <c r="AF114" i="34"/>
  <c r="AF118" i="34"/>
  <c r="AF120" i="34"/>
  <c r="AF121" i="34"/>
  <c r="AF123" i="34"/>
  <c r="AF124" i="34"/>
  <c r="AF127" i="34"/>
  <c r="AF129" i="34"/>
  <c r="AF144" i="34"/>
  <c r="AF161" i="34"/>
  <c r="AF190" i="34"/>
  <c r="AF202" i="34"/>
  <c r="AF212" i="34"/>
  <c r="AF213" i="34"/>
  <c r="AF246" i="34"/>
  <c r="AF276" i="34"/>
  <c r="AF281" i="34"/>
  <c r="AF288" i="34"/>
  <c r="AF294" i="34"/>
  <c r="AF299" i="34"/>
  <c r="AF310" i="34"/>
  <c r="AF338" i="34"/>
  <c r="AF350" i="34"/>
  <c r="AF353" i="34"/>
  <c r="AF360" i="34"/>
  <c r="AF367" i="34"/>
  <c r="AF369" i="34"/>
  <c r="AF381" i="34"/>
  <c r="AF397" i="34"/>
  <c r="AF406" i="34"/>
  <c r="AF419" i="34"/>
  <c r="AF426" i="34"/>
  <c r="AF432" i="34"/>
  <c r="AF434" i="34"/>
  <c r="AF443" i="34"/>
  <c r="AF455" i="34"/>
  <c r="AF463" i="34"/>
  <c r="AF464" i="34"/>
  <c r="AF466" i="34"/>
  <c r="AF511" i="34"/>
  <c r="AF512" i="34"/>
  <c r="AG23" i="34"/>
  <c r="AG37" i="34"/>
  <c r="AG69" i="34"/>
  <c r="AG70" i="34"/>
  <c r="AG71" i="34"/>
  <c r="AG73" i="34"/>
  <c r="AG74" i="34"/>
  <c r="AG78" i="34"/>
  <c r="AG99" i="34"/>
  <c r="AG100" i="34"/>
  <c r="AG103" i="34"/>
  <c r="AG111" i="34"/>
  <c r="AG112" i="34"/>
  <c r="AG114" i="34"/>
  <c r="AG118" i="34"/>
  <c r="AG120" i="34"/>
  <c r="AG121" i="34"/>
  <c r="AG123" i="34"/>
  <c r="AG124" i="34"/>
  <c r="AG127" i="34"/>
  <c r="AG129" i="34"/>
  <c r="AG144" i="34"/>
  <c r="AG161" i="34"/>
  <c r="AG190" i="34"/>
  <c r="AG202" i="34"/>
  <c r="AG212" i="34"/>
  <c r="AG213" i="34"/>
  <c r="AG246" i="34"/>
  <c r="AG276" i="34"/>
  <c r="AG281" i="34"/>
  <c r="AG288" i="34"/>
  <c r="AG294" i="34"/>
  <c r="AG299" i="34"/>
  <c r="AG310" i="34"/>
  <c r="AG338" i="34"/>
  <c r="AG350" i="34"/>
  <c r="AG353" i="34"/>
  <c r="AG360" i="34"/>
  <c r="AG367" i="34"/>
  <c r="AG369" i="34"/>
  <c r="AG381" i="34"/>
  <c r="AG397" i="34"/>
  <c r="AG406" i="34"/>
  <c r="AG419" i="34"/>
  <c r="AG426" i="34"/>
  <c r="AG432" i="34"/>
  <c r="AG434" i="34"/>
  <c r="AG443" i="34"/>
  <c r="AG455" i="34"/>
  <c r="AG463" i="34"/>
  <c r="AG464" i="34"/>
  <c r="AG466" i="34"/>
  <c r="AG511" i="34"/>
  <c r="AG512" i="34"/>
  <c r="D36" i="34"/>
  <c r="D41" i="34"/>
  <c r="D51" i="34"/>
  <c r="D68" i="34"/>
  <c r="D75" i="34"/>
  <c r="D84" i="34"/>
  <c r="D135" i="34"/>
  <c r="D145" i="34"/>
  <c r="D149" i="34"/>
  <c r="D175" i="34"/>
  <c r="D186" i="34"/>
  <c r="D208" i="34"/>
  <c r="D235" i="34"/>
  <c r="D267" i="34"/>
  <c r="D283" i="34"/>
  <c r="D293" i="34"/>
  <c r="D303" i="34"/>
  <c r="D313" i="34"/>
  <c r="D345" i="34"/>
  <c r="D361" i="34"/>
  <c r="D449" i="34"/>
  <c r="D465" i="34"/>
  <c r="D474" i="34"/>
  <c r="D528" i="34"/>
  <c r="D537" i="34"/>
  <c r="D550" i="34"/>
  <c r="O36" i="34"/>
  <c r="O41" i="34"/>
  <c r="O51" i="34"/>
  <c r="O68" i="34"/>
  <c r="O75" i="34"/>
  <c r="O84" i="34"/>
  <c r="O135" i="34"/>
  <c r="O145" i="34"/>
  <c r="O149" i="34"/>
  <c r="O175" i="34"/>
  <c r="O186" i="34"/>
  <c r="O208" i="34"/>
  <c r="O235" i="34"/>
  <c r="O267" i="34"/>
  <c r="O283" i="34"/>
  <c r="O293" i="34"/>
  <c r="O303" i="34"/>
  <c r="O313" i="34"/>
  <c r="O345" i="34"/>
  <c r="O361" i="34"/>
  <c r="O449" i="34"/>
  <c r="O465" i="34"/>
  <c r="O474" i="34"/>
  <c r="O528" i="34"/>
  <c r="O537" i="34"/>
  <c r="O550" i="34"/>
  <c r="P36" i="34"/>
  <c r="P41" i="34"/>
  <c r="P51" i="34"/>
  <c r="P68" i="34"/>
  <c r="P75" i="34"/>
  <c r="P84" i="34"/>
  <c r="P135" i="34"/>
  <c r="P145" i="34"/>
  <c r="P149" i="34"/>
  <c r="P175" i="34"/>
  <c r="P186" i="34"/>
  <c r="P208" i="34"/>
  <c r="P235" i="34"/>
  <c r="P267" i="34"/>
  <c r="P283" i="34"/>
  <c r="P293" i="34"/>
  <c r="P303" i="34"/>
  <c r="P313" i="34"/>
  <c r="P345" i="34"/>
  <c r="P361" i="34"/>
  <c r="P449" i="34"/>
  <c r="P465" i="34"/>
  <c r="P474" i="34"/>
  <c r="P528" i="34"/>
  <c r="P537" i="34"/>
  <c r="P550" i="34"/>
  <c r="Q36" i="34"/>
  <c r="Q41" i="34"/>
  <c r="Q51" i="34"/>
  <c r="Q68" i="34"/>
  <c r="Q75" i="34"/>
  <c r="Q84" i="34"/>
  <c r="Q135" i="34"/>
  <c r="Q145" i="34"/>
  <c r="Q149" i="34"/>
  <c r="Q175" i="34"/>
  <c r="Q186" i="34"/>
  <c r="Q208" i="34"/>
  <c r="Q235" i="34"/>
  <c r="Q267" i="34"/>
  <c r="Q283" i="34"/>
  <c r="Q293" i="34"/>
  <c r="Q303" i="34"/>
  <c r="Q313" i="34"/>
  <c r="Q345" i="34"/>
  <c r="Q361" i="34"/>
  <c r="Q449" i="34"/>
  <c r="Q465" i="34"/>
  <c r="Q474" i="34"/>
  <c r="Q528" i="34"/>
  <c r="Q537" i="34"/>
  <c r="Q550" i="34"/>
  <c r="U36" i="34"/>
  <c r="U41" i="34"/>
  <c r="U51" i="34"/>
  <c r="U68" i="34"/>
  <c r="U75" i="34"/>
  <c r="U84" i="34"/>
  <c r="U135" i="34"/>
  <c r="U145" i="34"/>
  <c r="U149" i="34"/>
  <c r="U175" i="34"/>
  <c r="U186" i="34"/>
  <c r="U208" i="34"/>
  <c r="U235" i="34"/>
  <c r="U267" i="34"/>
  <c r="U283" i="34"/>
  <c r="U293" i="34"/>
  <c r="U303" i="34"/>
  <c r="U313" i="34"/>
  <c r="U345" i="34"/>
  <c r="U361" i="34"/>
  <c r="U449" i="34"/>
  <c r="U465" i="34"/>
  <c r="U474" i="34"/>
  <c r="U528" i="34"/>
  <c r="U537" i="34"/>
  <c r="U550" i="34"/>
  <c r="V36" i="34"/>
  <c r="V41" i="34"/>
  <c r="V51" i="34"/>
  <c r="V68" i="34"/>
  <c r="V75" i="34"/>
  <c r="V84" i="34"/>
  <c r="V135" i="34"/>
  <c r="V145" i="34"/>
  <c r="V149" i="34"/>
  <c r="V175" i="34"/>
  <c r="V186" i="34"/>
  <c r="V208" i="34"/>
  <c r="V235" i="34"/>
  <c r="V267" i="34"/>
  <c r="V283" i="34"/>
  <c r="V293" i="34"/>
  <c r="V303" i="34"/>
  <c r="V313" i="34"/>
  <c r="V345" i="34"/>
  <c r="V361" i="34"/>
  <c r="V449" i="34"/>
  <c r="V465" i="34"/>
  <c r="V474" i="34"/>
  <c r="V528" i="34"/>
  <c r="V537" i="34"/>
  <c r="V550" i="34"/>
  <c r="W36" i="34"/>
  <c r="W41" i="34"/>
  <c r="W51" i="34"/>
  <c r="W68" i="34"/>
  <c r="W75" i="34"/>
  <c r="W84" i="34"/>
  <c r="W135" i="34"/>
  <c r="W145" i="34"/>
  <c r="W149" i="34"/>
  <c r="W175" i="34"/>
  <c r="W186" i="34"/>
  <c r="W208" i="34"/>
  <c r="W235" i="34"/>
  <c r="W267" i="34"/>
  <c r="W283" i="34"/>
  <c r="W293" i="34"/>
  <c r="W303" i="34"/>
  <c r="W313" i="34"/>
  <c r="W345" i="34"/>
  <c r="W361" i="34"/>
  <c r="W449" i="34"/>
  <c r="W465" i="34"/>
  <c r="W474" i="34"/>
  <c r="W528" i="34"/>
  <c r="W537" i="34"/>
  <c r="W550" i="34"/>
  <c r="X36" i="34"/>
  <c r="X41" i="34"/>
  <c r="X51" i="34"/>
  <c r="X68" i="34"/>
  <c r="X75" i="34"/>
  <c r="X84" i="34"/>
  <c r="X135" i="34"/>
  <c r="X145" i="34"/>
  <c r="X149" i="34"/>
  <c r="X175" i="34"/>
  <c r="X186" i="34"/>
  <c r="X208" i="34"/>
  <c r="X235" i="34"/>
  <c r="X267" i="34"/>
  <c r="X283" i="34"/>
  <c r="X293" i="34"/>
  <c r="X303" i="34"/>
  <c r="X313" i="34"/>
  <c r="X345" i="34"/>
  <c r="X361" i="34"/>
  <c r="X449" i="34"/>
  <c r="X465" i="34"/>
  <c r="X474" i="34"/>
  <c r="X528" i="34"/>
  <c r="X537" i="34"/>
  <c r="X550" i="34"/>
  <c r="Y36" i="34"/>
  <c r="Y41" i="34"/>
  <c r="Y51" i="34"/>
  <c r="Y68" i="34"/>
  <c r="Y75" i="34"/>
  <c r="Y84" i="34"/>
  <c r="Y135" i="34"/>
  <c r="Y145" i="34"/>
  <c r="Y149" i="34"/>
  <c r="Y175" i="34"/>
  <c r="Y186" i="34"/>
  <c r="Y208" i="34"/>
  <c r="Y235" i="34"/>
  <c r="Y267" i="34"/>
  <c r="Y283" i="34"/>
  <c r="Y293" i="34"/>
  <c r="Y303" i="34"/>
  <c r="Y313" i="34"/>
  <c r="Y345" i="34"/>
  <c r="Y361" i="34"/>
  <c r="Y449" i="34"/>
  <c r="Y465" i="34"/>
  <c r="Y474" i="34"/>
  <c r="Y528" i="34"/>
  <c r="Y537" i="34"/>
  <c r="Y550" i="34"/>
  <c r="Z36" i="34"/>
  <c r="Z41" i="34"/>
  <c r="Z51" i="34"/>
  <c r="Z68" i="34"/>
  <c r="Z75" i="34"/>
  <c r="Z84" i="34"/>
  <c r="Z135" i="34"/>
  <c r="Z145" i="34"/>
  <c r="Z149" i="34"/>
  <c r="Z175" i="34"/>
  <c r="Z186" i="34"/>
  <c r="Z208" i="34"/>
  <c r="Z235" i="34"/>
  <c r="Z267" i="34"/>
  <c r="Z283" i="34"/>
  <c r="Z293" i="34"/>
  <c r="Z303" i="34"/>
  <c r="Z313" i="34"/>
  <c r="Z345" i="34"/>
  <c r="Z361" i="34"/>
  <c r="Z449" i="34"/>
  <c r="Z465" i="34"/>
  <c r="Z474" i="34"/>
  <c r="Z528" i="34"/>
  <c r="Z537" i="34"/>
  <c r="Z550" i="34"/>
  <c r="AA36" i="34"/>
  <c r="AA41" i="34"/>
  <c r="AA51" i="34"/>
  <c r="AA68" i="34"/>
  <c r="AA75" i="34"/>
  <c r="AA84" i="34"/>
  <c r="AA135" i="34"/>
  <c r="AA145" i="34"/>
  <c r="AA149" i="34"/>
  <c r="AA175" i="34"/>
  <c r="AA186" i="34"/>
  <c r="AA208" i="34"/>
  <c r="AA235" i="34"/>
  <c r="AA267" i="34"/>
  <c r="AA283" i="34"/>
  <c r="AA293" i="34"/>
  <c r="AA303" i="34"/>
  <c r="AA313" i="34"/>
  <c r="AA345" i="34"/>
  <c r="AA361" i="34"/>
  <c r="AA449" i="34"/>
  <c r="AA465" i="34"/>
  <c r="AA474" i="34"/>
  <c r="AA528" i="34"/>
  <c r="AA537" i="34"/>
  <c r="AA550" i="34"/>
  <c r="AB36" i="34"/>
  <c r="AB41" i="34"/>
  <c r="AB51" i="34"/>
  <c r="AB68" i="34"/>
  <c r="AB75" i="34"/>
  <c r="AB84" i="34"/>
  <c r="AB135" i="34"/>
  <c r="AB145" i="34"/>
  <c r="AB149" i="34"/>
  <c r="AB175" i="34"/>
  <c r="AB186" i="34"/>
  <c r="AB208" i="34"/>
  <c r="AB235" i="34"/>
  <c r="AB267" i="34"/>
  <c r="AB283" i="34"/>
  <c r="AB293" i="34"/>
  <c r="AB303" i="34"/>
  <c r="AB313" i="34"/>
  <c r="AB345" i="34"/>
  <c r="AB361" i="34"/>
  <c r="AB449" i="34"/>
  <c r="AB465" i="34"/>
  <c r="AB474" i="34"/>
  <c r="AB528" i="34"/>
  <c r="AB537" i="34"/>
  <c r="AB550" i="34"/>
  <c r="AC36" i="34"/>
  <c r="AC41" i="34"/>
  <c r="AC51" i="34"/>
  <c r="AC68" i="34"/>
  <c r="AC75" i="34"/>
  <c r="AC84" i="34"/>
  <c r="AC135" i="34"/>
  <c r="AC145" i="34"/>
  <c r="AC149" i="34"/>
  <c r="AC175" i="34"/>
  <c r="AC186" i="34"/>
  <c r="AC208" i="34"/>
  <c r="AC235" i="34"/>
  <c r="AC267" i="34"/>
  <c r="AC283" i="34"/>
  <c r="AC293" i="34"/>
  <c r="AC303" i="34"/>
  <c r="AC313" i="34"/>
  <c r="AC345" i="34"/>
  <c r="AC361" i="34"/>
  <c r="AC449" i="34"/>
  <c r="AC465" i="34"/>
  <c r="AC474" i="34"/>
  <c r="AC528" i="34"/>
  <c r="AC537" i="34"/>
  <c r="AC550" i="34"/>
  <c r="AD36" i="34"/>
  <c r="AD41" i="34"/>
  <c r="AD51" i="34"/>
  <c r="AD68" i="34"/>
  <c r="AD75" i="34"/>
  <c r="AD84" i="34"/>
  <c r="AD135" i="34"/>
  <c r="AD145" i="34"/>
  <c r="AD149" i="34"/>
  <c r="AD175" i="34"/>
  <c r="AD186" i="34"/>
  <c r="AD208" i="34"/>
  <c r="AD235" i="34"/>
  <c r="AD267" i="34"/>
  <c r="AD283" i="34"/>
  <c r="AD293" i="34"/>
  <c r="AD303" i="34"/>
  <c r="AD313" i="34"/>
  <c r="AD345" i="34"/>
  <c r="AD361" i="34"/>
  <c r="AD449" i="34"/>
  <c r="AD465" i="34"/>
  <c r="AD474" i="34"/>
  <c r="AD528" i="34"/>
  <c r="AD537" i="34"/>
  <c r="AD550" i="34"/>
  <c r="AE36" i="34"/>
  <c r="AE41" i="34"/>
  <c r="AE51" i="34"/>
  <c r="AE68" i="34"/>
  <c r="AE75" i="34"/>
  <c r="AE84" i="34"/>
  <c r="AE135" i="34"/>
  <c r="AE145" i="34"/>
  <c r="AE149" i="34"/>
  <c r="AE175" i="34"/>
  <c r="AE186" i="34"/>
  <c r="AE208" i="34"/>
  <c r="AE235" i="34"/>
  <c r="AE267" i="34"/>
  <c r="AE283" i="34"/>
  <c r="AE293" i="34"/>
  <c r="AE303" i="34"/>
  <c r="AE313" i="34"/>
  <c r="AE345" i="34"/>
  <c r="AE361" i="34"/>
  <c r="AE449" i="34"/>
  <c r="AE465" i="34"/>
  <c r="AE474" i="34"/>
  <c r="AE528" i="34"/>
  <c r="AE537" i="34"/>
  <c r="AE550" i="34"/>
  <c r="AF36" i="34"/>
  <c r="AF41" i="34"/>
  <c r="AF51" i="34"/>
  <c r="AF68" i="34"/>
  <c r="AF75" i="34"/>
  <c r="AF84" i="34"/>
  <c r="AF135" i="34"/>
  <c r="AF145" i="34"/>
  <c r="AF149" i="34"/>
  <c r="AF175" i="34"/>
  <c r="AF186" i="34"/>
  <c r="AF208" i="34"/>
  <c r="AF235" i="34"/>
  <c r="AF267" i="34"/>
  <c r="AF283" i="34"/>
  <c r="AF293" i="34"/>
  <c r="AF303" i="34"/>
  <c r="AF313" i="34"/>
  <c r="AF345" i="34"/>
  <c r="AF361" i="34"/>
  <c r="AF449" i="34"/>
  <c r="AF465" i="34"/>
  <c r="AF474" i="34"/>
  <c r="AF528" i="34"/>
  <c r="AF537" i="34"/>
  <c r="AF550" i="34"/>
  <c r="AG36" i="34"/>
  <c r="AG41" i="34"/>
  <c r="AG51" i="34"/>
  <c r="AG68" i="34"/>
  <c r="AG75" i="34"/>
  <c r="AG84" i="34"/>
  <c r="AG135" i="34"/>
  <c r="AG145" i="34"/>
  <c r="AG149" i="34"/>
  <c r="AG175" i="34"/>
  <c r="AG186" i="34"/>
  <c r="AG208" i="34"/>
  <c r="AG235" i="34"/>
  <c r="AG267" i="34"/>
  <c r="AG283" i="34"/>
  <c r="AG293" i="34"/>
  <c r="AG303" i="34"/>
  <c r="AG313" i="34"/>
  <c r="AG345" i="34"/>
  <c r="AG361" i="34"/>
  <c r="AG449" i="34"/>
  <c r="AG465" i="34"/>
  <c r="AG474" i="34"/>
  <c r="AG528" i="34"/>
  <c r="AG537" i="34"/>
  <c r="AG550" i="34"/>
  <c r="D18" i="34"/>
  <c r="D38" i="34"/>
  <c r="D39" i="34"/>
  <c r="D48" i="34"/>
  <c r="D57" i="34"/>
  <c r="D77" i="34"/>
  <c r="D82" i="34"/>
  <c r="D91" i="34"/>
  <c r="D146" i="34"/>
  <c r="D151" i="34"/>
  <c r="D154" i="34"/>
  <c r="D156" i="34"/>
  <c r="D165" i="34"/>
  <c r="D169" i="34"/>
  <c r="D174" i="34"/>
  <c r="D206" i="34"/>
  <c r="D219" i="34"/>
  <c r="D226" i="34"/>
  <c r="D238" i="34"/>
  <c r="D250" i="34"/>
  <c r="D257" i="34"/>
  <c r="D266" i="34"/>
  <c r="D270" i="34"/>
  <c r="D277" i="34"/>
  <c r="D284" i="34"/>
  <c r="D295" i="34"/>
  <c r="D297" i="34"/>
  <c r="D302" i="34"/>
  <c r="D336" i="34"/>
  <c r="D340" i="34"/>
  <c r="D346" i="34"/>
  <c r="D352" i="34"/>
  <c r="D358" i="34"/>
  <c r="D375" i="34"/>
  <c r="D389" i="34"/>
  <c r="D392" i="34"/>
  <c r="D424" i="34"/>
  <c r="D430" i="34"/>
  <c r="D446" i="34"/>
  <c r="D458" i="34"/>
  <c r="D461" i="34"/>
  <c r="D468" i="34"/>
  <c r="D471" i="34"/>
  <c r="D479" i="34"/>
  <c r="D484" i="34"/>
  <c r="D492" i="34"/>
  <c r="D497" i="34"/>
  <c r="D519" i="34"/>
  <c r="D532" i="34"/>
  <c r="D541" i="34"/>
  <c r="D547" i="34"/>
  <c r="D551" i="34"/>
  <c r="I18" i="34"/>
  <c r="M18" i="34"/>
  <c r="N18" i="34"/>
  <c r="O18" i="34"/>
  <c r="O38" i="34"/>
  <c r="O39" i="34"/>
  <c r="O48" i="34"/>
  <c r="O57" i="34"/>
  <c r="O77" i="34"/>
  <c r="O82" i="34"/>
  <c r="O91" i="34"/>
  <c r="O146" i="34"/>
  <c r="O151" i="34"/>
  <c r="O154" i="34"/>
  <c r="O156" i="34"/>
  <c r="O165" i="34"/>
  <c r="O169" i="34"/>
  <c r="O174" i="34"/>
  <c r="O206" i="34"/>
  <c r="O219" i="34"/>
  <c r="O226" i="34"/>
  <c r="O238" i="34"/>
  <c r="O250" i="34"/>
  <c r="O257" i="34"/>
  <c r="O266" i="34"/>
  <c r="O270" i="34"/>
  <c r="O277" i="34"/>
  <c r="O284" i="34"/>
  <c r="O295" i="34"/>
  <c r="O297" i="34"/>
  <c r="O302" i="34"/>
  <c r="O336" i="34"/>
  <c r="O340" i="34"/>
  <c r="O346" i="34"/>
  <c r="O352" i="34"/>
  <c r="O358" i="34"/>
  <c r="O375" i="34"/>
  <c r="O389" i="34"/>
  <c r="O392" i="34"/>
  <c r="O424" i="34"/>
  <c r="O430" i="34"/>
  <c r="O446" i="34"/>
  <c r="O458" i="34"/>
  <c r="O461" i="34"/>
  <c r="O468" i="34"/>
  <c r="O471" i="34"/>
  <c r="O479" i="34"/>
  <c r="O484" i="34"/>
  <c r="O492" i="34"/>
  <c r="O497" i="34"/>
  <c r="O519" i="34"/>
  <c r="O532" i="34"/>
  <c r="O541" i="34"/>
  <c r="O547" i="34"/>
  <c r="O551" i="34"/>
  <c r="P18" i="34"/>
  <c r="P38" i="34"/>
  <c r="P39" i="34"/>
  <c r="P48" i="34"/>
  <c r="P57" i="34"/>
  <c r="P77" i="34"/>
  <c r="P82" i="34"/>
  <c r="P91" i="34"/>
  <c r="P146" i="34"/>
  <c r="P151" i="34"/>
  <c r="P154" i="34"/>
  <c r="P156" i="34"/>
  <c r="P165" i="34"/>
  <c r="P169" i="34"/>
  <c r="P174" i="34"/>
  <c r="P206" i="34"/>
  <c r="P219" i="34"/>
  <c r="P226" i="34"/>
  <c r="P238" i="34"/>
  <c r="P250" i="34"/>
  <c r="P257" i="34"/>
  <c r="P266" i="34"/>
  <c r="P270" i="34"/>
  <c r="P277" i="34"/>
  <c r="P284" i="34"/>
  <c r="P295" i="34"/>
  <c r="P297" i="34"/>
  <c r="P302" i="34"/>
  <c r="P336" i="34"/>
  <c r="P340" i="34"/>
  <c r="P346" i="34"/>
  <c r="P352" i="34"/>
  <c r="P358" i="34"/>
  <c r="P375" i="34"/>
  <c r="P389" i="34"/>
  <c r="P392" i="34"/>
  <c r="P424" i="34"/>
  <c r="P430" i="34"/>
  <c r="P446" i="34"/>
  <c r="P458" i="34"/>
  <c r="P461" i="34"/>
  <c r="P468" i="34"/>
  <c r="P471" i="34"/>
  <c r="P479" i="34"/>
  <c r="P484" i="34"/>
  <c r="P492" i="34"/>
  <c r="P497" i="34"/>
  <c r="P519" i="34"/>
  <c r="P532" i="34"/>
  <c r="P541" i="34"/>
  <c r="P547" i="34"/>
  <c r="P551" i="34"/>
  <c r="Q18" i="34"/>
  <c r="Q38" i="34"/>
  <c r="Q39" i="34"/>
  <c r="Q48" i="34"/>
  <c r="Q57" i="34"/>
  <c r="Q77" i="34"/>
  <c r="Q82" i="34"/>
  <c r="Q91" i="34"/>
  <c r="Q146" i="34"/>
  <c r="Q151" i="34"/>
  <c r="Q154" i="34"/>
  <c r="Q156" i="34"/>
  <c r="Q165" i="34"/>
  <c r="Q169" i="34"/>
  <c r="Q174" i="34"/>
  <c r="Q206" i="34"/>
  <c r="Q219" i="34"/>
  <c r="Q226" i="34"/>
  <c r="Q238" i="34"/>
  <c r="Q250" i="34"/>
  <c r="Q257" i="34"/>
  <c r="Q266" i="34"/>
  <c r="Q270" i="34"/>
  <c r="Q277" i="34"/>
  <c r="Q284" i="34"/>
  <c r="Q295" i="34"/>
  <c r="Q297" i="34"/>
  <c r="Q302" i="34"/>
  <c r="Q336" i="34"/>
  <c r="Q340" i="34"/>
  <c r="Q346" i="34"/>
  <c r="Q352" i="34"/>
  <c r="Q358" i="34"/>
  <c r="Q375" i="34"/>
  <c r="Q389" i="34"/>
  <c r="Q392" i="34"/>
  <c r="Q424" i="34"/>
  <c r="Q430" i="34"/>
  <c r="Q446" i="34"/>
  <c r="Q458" i="34"/>
  <c r="Q461" i="34"/>
  <c r="Q468" i="34"/>
  <c r="Q471" i="34"/>
  <c r="Q479" i="34"/>
  <c r="Q484" i="34"/>
  <c r="Q492" i="34"/>
  <c r="Q497" i="34"/>
  <c r="Q519" i="34"/>
  <c r="Q532" i="34"/>
  <c r="Q541" i="34"/>
  <c r="Q547" i="34"/>
  <c r="Q551" i="34"/>
  <c r="M22" i="34"/>
  <c r="I22" i="34"/>
  <c r="N22" i="34"/>
  <c r="S22" i="34"/>
  <c r="M21" i="34"/>
  <c r="I21" i="34"/>
  <c r="N21" i="34"/>
  <c r="S21" i="34"/>
  <c r="M20" i="34"/>
  <c r="I20" i="34"/>
  <c r="N20" i="34"/>
  <c r="S20" i="34"/>
  <c r="M19" i="34"/>
  <c r="I19" i="34"/>
  <c r="N19" i="34"/>
  <c r="S19" i="34"/>
  <c r="R22" i="34"/>
  <c r="R21" i="34"/>
  <c r="R20" i="34"/>
  <c r="R19" i="34"/>
  <c r="R18" i="34"/>
  <c r="S18" i="34"/>
  <c r="T22" i="34"/>
  <c r="T21" i="34"/>
  <c r="T20" i="34"/>
  <c r="T19" i="34"/>
  <c r="T18" i="34"/>
  <c r="U18" i="34"/>
  <c r="U38" i="34"/>
  <c r="U39" i="34"/>
  <c r="U48" i="34"/>
  <c r="U57" i="34"/>
  <c r="U77" i="34"/>
  <c r="U82" i="34"/>
  <c r="U91" i="34"/>
  <c r="U146" i="34"/>
  <c r="U151" i="34"/>
  <c r="U154" i="34"/>
  <c r="U156" i="34"/>
  <c r="U165" i="34"/>
  <c r="U169" i="34"/>
  <c r="U174" i="34"/>
  <c r="U206" i="34"/>
  <c r="U219" i="34"/>
  <c r="U226" i="34"/>
  <c r="U238" i="34"/>
  <c r="U250" i="34"/>
  <c r="U257" i="34"/>
  <c r="U266" i="34"/>
  <c r="U270" i="34"/>
  <c r="U277" i="34"/>
  <c r="U284" i="34"/>
  <c r="U295" i="34"/>
  <c r="U297" i="34"/>
  <c r="U302" i="34"/>
  <c r="U336" i="34"/>
  <c r="U340" i="34"/>
  <c r="U346" i="34"/>
  <c r="U352" i="34"/>
  <c r="U358" i="34"/>
  <c r="U375" i="34"/>
  <c r="U389" i="34"/>
  <c r="U392" i="34"/>
  <c r="U424" i="34"/>
  <c r="U430" i="34"/>
  <c r="U446" i="34"/>
  <c r="U458" i="34"/>
  <c r="U461" i="34"/>
  <c r="U468" i="34"/>
  <c r="U471" i="34"/>
  <c r="U479" i="34"/>
  <c r="U484" i="34"/>
  <c r="U492" i="34"/>
  <c r="U497" i="34"/>
  <c r="U519" i="34"/>
  <c r="U532" i="34"/>
  <c r="U541" i="34"/>
  <c r="U547" i="34"/>
  <c r="U551" i="34"/>
  <c r="V18" i="34"/>
  <c r="V38" i="34"/>
  <c r="V39" i="34"/>
  <c r="V48" i="34"/>
  <c r="V57" i="34"/>
  <c r="V77" i="34"/>
  <c r="V82" i="34"/>
  <c r="V91" i="34"/>
  <c r="V146" i="34"/>
  <c r="V151" i="34"/>
  <c r="V154" i="34"/>
  <c r="V156" i="34"/>
  <c r="V165" i="34"/>
  <c r="V169" i="34"/>
  <c r="V174" i="34"/>
  <c r="V206" i="34"/>
  <c r="V219" i="34"/>
  <c r="V226" i="34"/>
  <c r="V238" i="34"/>
  <c r="V250" i="34"/>
  <c r="V257" i="34"/>
  <c r="V266" i="34"/>
  <c r="V270" i="34"/>
  <c r="V277" i="34"/>
  <c r="V284" i="34"/>
  <c r="V295" i="34"/>
  <c r="V297" i="34"/>
  <c r="V302" i="34"/>
  <c r="V336" i="34"/>
  <c r="V340" i="34"/>
  <c r="V346" i="34"/>
  <c r="V352" i="34"/>
  <c r="V358" i="34"/>
  <c r="V375" i="34"/>
  <c r="V389" i="34"/>
  <c r="V392" i="34"/>
  <c r="V424" i="34"/>
  <c r="V430" i="34"/>
  <c r="V446" i="34"/>
  <c r="V458" i="34"/>
  <c r="V461" i="34"/>
  <c r="V468" i="34"/>
  <c r="V471" i="34"/>
  <c r="V479" i="34"/>
  <c r="V484" i="34"/>
  <c r="V492" i="34"/>
  <c r="V497" i="34"/>
  <c r="V519" i="34"/>
  <c r="V532" i="34"/>
  <c r="V541" i="34"/>
  <c r="V547" i="34"/>
  <c r="V551" i="34"/>
  <c r="W18" i="34"/>
  <c r="W38" i="34"/>
  <c r="W39" i="34"/>
  <c r="W48" i="34"/>
  <c r="W57" i="34"/>
  <c r="W77" i="34"/>
  <c r="W82" i="34"/>
  <c r="W91" i="34"/>
  <c r="W146" i="34"/>
  <c r="W151" i="34"/>
  <c r="W154" i="34"/>
  <c r="W156" i="34"/>
  <c r="W165" i="34"/>
  <c r="W169" i="34"/>
  <c r="W174" i="34"/>
  <c r="W206" i="34"/>
  <c r="W219" i="34"/>
  <c r="W226" i="34"/>
  <c r="W238" i="34"/>
  <c r="W250" i="34"/>
  <c r="W257" i="34"/>
  <c r="W266" i="34"/>
  <c r="W270" i="34"/>
  <c r="W277" i="34"/>
  <c r="W284" i="34"/>
  <c r="W295" i="34"/>
  <c r="W297" i="34"/>
  <c r="W302" i="34"/>
  <c r="W336" i="34"/>
  <c r="W340" i="34"/>
  <c r="W346" i="34"/>
  <c r="W352" i="34"/>
  <c r="W358" i="34"/>
  <c r="W375" i="34"/>
  <c r="W389" i="34"/>
  <c r="W392" i="34"/>
  <c r="W424" i="34"/>
  <c r="W430" i="34"/>
  <c r="W446" i="34"/>
  <c r="W458" i="34"/>
  <c r="W461" i="34"/>
  <c r="W468" i="34"/>
  <c r="W471" i="34"/>
  <c r="W479" i="34"/>
  <c r="W484" i="34"/>
  <c r="W492" i="34"/>
  <c r="W497" i="34"/>
  <c r="W519" i="34"/>
  <c r="W532" i="34"/>
  <c r="W541" i="34"/>
  <c r="W547" i="34"/>
  <c r="W551" i="34"/>
  <c r="X18" i="34"/>
  <c r="X38" i="34"/>
  <c r="X39" i="34"/>
  <c r="X48" i="34"/>
  <c r="X57" i="34"/>
  <c r="X77" i="34"/>
  <c r="X82" i="34"/>
  <c r="X91" i="34"/>
  <c r="X146" i="34"/>
  <c r="X151" i="34"/>
  <c r="X154" i="34"/>
  <c r="X156" i="34"/>
  <c r="X165" i="34"/>
  <c r="X169" i="34"/>
  <c r="X174" i="34"/>
  <c r="X206" i="34"/>
  <c r="X219" i="34"/>
  <c r="X226" i="34"/>
  <c r="X238" i="34"/>
  <c r="X250" i="34"/>
  <c r="X257" i="34"/>
  <c r="X266" i="34"/>
  <c r="X270" i="34"/>
  <c r="X277" i="34"/>
  <c r="X284" i="34"/>
  <c r="X295" i="34"/>
  <c r="X297" i="34"/>
  <c r="X302" i="34"/>
  <c r="X336" i="34"/>
  <c r="X340" i="34"/>
  <c r="X346" i="34"/>
  <c r="X352" i="34"/>
  <c r="X358" i="34"/>
  <c r="X375" i="34"/>
  <c r="X389" i="34"/>
  <c r="X392" i="34"/>
  <c r="X424" i="34"/>
  <c r="X430" i="34"/>
  <c r="X446" i="34"/>
  <c r="X458" i="34"/>
  <c r="X461" i="34"/>
  <c r="X468" i="34"/>
  <c r="X471" i="34"/>
  <c r="X479" i="34"/>
  <c r="X484" i="34"/>
  <c r="X492" i="34"/>
  <c r="X497" i="34"/>
  <c r="X519" i="34"/>
  <c r="X532" i="34"/>
  <c r="X541" i="34"/>
  <c r="X547" i="34"/>
  <c r="X551" i="34"/>
  <c r="Y18" i="34"/>
  <c r="Y38" i="34"/>
  <c r="Y39" i="34"/>
  <c r="Y48" i="34"/>
  <c r="Y57" i="34"/>
  <c r="Y77" i="34"/>
  <c r="Y82" i="34"/>
  <c r="Y91" i="34"/>
  <c r="Y146" i="34"/>
  <c r="Y151" i="34"/>
  <c r="Y154" i="34"/>
  <c r="Y156" i="34"/>
  <c r="Y165" i="34"/>
  <c r="Y169" i="34"/>
  <c r="Y174" i="34"/>
  <c r="Y206" i="34"/>
  <c r="Y219" i="34"/>
  <c r="Y226" i="34"/>
  <c r="Y238" i="34"/>
  <c r="Y250" i="34"/>
  <c r="Y257" i="34"/>
  <c r="Y266" i="34"/>
  <c r="Y270" i="34"/>
  <c r="Y277" i="34"/>
  <c r="Y284" i="34"/>
  <c r="Y295" i="34"/>
  <c r="Y297" i="34"/>
  <c r="Y302" i="34"/>
  <c r="Y336" i="34"/>
  <c r="Y340" i="34"/>
  <c r="Y346" i="34"/>
  <c r="Y352" i="34"/>
  <c r="Y358" i="34"/>
  <c r="Y375" i="34"/>
  <c r="Y389" i="34"/>
  <c r="Y392" i="34"/>
  <c r="Y424" i="34"/>
  <c r="Y430" i="34"/>
  <c r="Y446" i="34"/>
  <c r="Y458" i="34"/>
  <c r="Y461" i="34"/>
  <c r="Y468" i="34"/>
  <c r="Y471" i="34"/>
  <c r="Y479" i="34"/>
  <c r="Y484" i="34"/>
  <c r="Y492" i="34"/>
  <c r="Y497" i="34"/>
  <c r="Y519" i="34"/>
  <c r="Y532" i="34"/>
  <c r="Y541" i="34"/>
  <c r="Y547" i="34"/>
  <c r="Y551" i="34"/>
  <c r="Z18" i="34"/>
  <c r="Z38" i="34"/>
  <c r="Z39" i="34"/>
  <c r="Z48" i="34"/>
  <c r="Z57" i="34"/>
  <c r="Z77" i="34"/>
  <c r="Z82" i="34"/>
  <c r="Z91" i="34"/>
  <c r="Z146" i="34"/>
  <c r="Z151" i="34"/>
  <c r="Z154" i="34"/>
  <c r="Z156" i="34"/>
  <c r="Z165" i="34"/>
  <c r="Z169" i="34"/>
  <c r="Z174" i="34"/>
  <c r="Z206" i="34"/>
  <c r="Z219" i="34"/>
  <c r="Z226" i="34"/>
  <c r="Z238" i="34"/>
  <c r="Z250" i="34"/>
  <c r="Z257" i="34"/>
  <c r="Z266" i="34"/>
  <c r="Z270" i="34"/>
  <c r="Z277" i="34"/>
  <c r="Z284" i="34"/>
  <c r="Z295" i="34"/>
  <c r="Z297" i="34"/>
  <c r="Z302" i="34"/>
  <c r="Z336" i="34"/>
  <c r="Z340" i="34"/>
  <c r="Z346" i="34"/>
  <c r="Z352" i="34"/>
  <c r="Z358" i="34"/>
  <c r="Z375" i="34"/>
  <c r="Z389" i="34"/>
  <c r="Z392" i="34"/>
  <c r="Z424" i="34"/>
  <c r="Z430" i="34"/>
  <c r="Z446" i="34"/>
  <c r="Z458" i="34"/>
  <c r="Z461" i="34"/>
  <c r="Z468" i="34"/>
  <c r="Z471" i="34"/>
  <c r="Z479" i="34"/>
  <c r="Z484" i="34"/>
  <c r="Z492" i="34"/>
  <c r="Z497" i="34"/>
  <c r="Z519" i="34"/>
  <c r="Z532" i="34"/>
  <c r="Z541" i="34"/>
  <c r="Z547" i="34"/>
  <c r="Z551" i="34"/>
  <c r="AA18" i="34"/>
  <c r="AA38" i="34"/>
  <c r="AA39" i="34"/>
  <c r="AA48" i="34"/>
  <c r="AA57" i="34"/>
  <c r="AA77" i="34"/>
  <c r="AA82" i="34"/>
  <c r="AA91" i="34"/>
  <c r="AA146" i="34"/>
  <c r="AA151" i="34"/>
  <c r="AA154" i="34"/>
  <c r="AA156" i="34"/>
  <c r="AA165" i="34"/>
  <c r="AA169" i="34"/>
  <c r="AA174" i="34"/>
  <c r="AA206" i="34"/>
  <c r="AA219" i="34"/>
  <c r="AA226" i="34"/>
  <c r="AA238" i="34"/>
  <c r="AA250" i="34"/>
  <c r="AA257" i="34"/>
  <c r="AA266" i="34"/>
  <c r="AA270" i="34"/>
  <c r="AA277" i="34"/>
  <c r="AA284" i="34"/>
  <c r="AA295" i="34"/>
  <c r="AA297" i="34"/>
  <c r="AA302" i="34"/>
  <c r="AA336" i="34"/>
  <c r="AA340" i="34"/>
  <c r="AA346" i="34"/>
  <c r="AA352" i="34"/>
  <c r="AA358" i="34"/>
  <c r="AA375" i="34"/>
  <c r="AA389" i="34"/>
  <c r="AA392" i="34"/>
  <c r="AA424" i="34"/>
  <c r="AA430" i="34"/>
  <c r="AA446" i="34"/>
  <c r="AA458" i="34"/>
  <c r="AA461" i="34"/>
  <c r="AA468" i="34"/>
  <c r="AA471" i="34"/>
  <c r="AA479" i="34"/>
  <c r="AA484" i="34"/>
  <c r="AA492" i="34"/>
  <c r="AA497" i="34"/>
  <c r="AA519" i="34"/>
  <c r="AA532" i="34"/>
  <c r="AA541" i="34"/>
  <c r="AA547" i="34"/>
  <c r="AA551" i="34"/>
  <c r="AB18" i="34"/>
  <c r="AB38" i="34"/>
  <c r="AB39" i="34"/>
  <c r="AB48" i="34"/>
  <c r="AB57" i="34"/>
  <c r="AB77" i="34"/>
  <c r="AB82" i="34"/>
  <c r="AB91" i="34"/>
  <c r="AB146" i="34"/>
  <c r="AB151" i="34"/>
  <c r="AB154" i="34"/>
  <c r="AB156" i="34"/>
  <c r="AB165" i="34"/>
  <c r="AB169" i="34"/>
  <c r="AB174" i="34"/>
  <c r="AB206" i="34"/>
  <c r="AB219" i="34"/>
  <c r="AB226" i="34"/>
  <c r="AB238" i="34"/>
  <c r="AB250" i="34"/>
  <c r="AB257" i="34"/>
  <c r="AB266" i="34"/>
  <c r="AB270" i="34"/>
  <c r="AB277" i="34"/>
  <c r="AB284" i="34"/>
  <c r="AB295" i="34"/>
  <c r="AB297" i="34"/>
  <c r="AB302" i="34"/>
  <c r="AB336" i="34"/>
  <c r="AB340" i="34"/>
  <c r="AB346" i="34"/>
  <c r="AB352" i="34"/>
  <c r="AB358" i="34"/>
  <c r="AB375" i="34"/>
  <c r="AB389" i="34"/>
  <c r="AB392" i="34"/>
  <c r="AB424" i="34"/>
  <c r="AB430" i="34"/>
  <c r="AB446" i="34"/>
  <c r="AB458" i="34"/>
  <c r="AB461" i="34"/>
  <c r="AB468" i="34"/>
  <c r="AB471" i="34"/>
  <c r="AB479" i="34"/>
  <c r="AB484" i="34"/>
  <c r="AB492" i="34"/>
  <c r="AB497" i="34"/>
  <c r="AB519" i="34"/>
  <c r="AB532" i="34"/>
  <c r="AB541" i="34"/>
  <c r="AB547" i="34"/>
  <c r="AB551" i="34"/>
  <c r="AC18" i="34"/>
  <c r="AC38" i="34"/>
  <c r="AC39" i="34"/>
  <c r="AC48" i="34"/>
  <c r="AC57" i="34"/>
  <c r="AC77" i="34"/>
  <c r="AC82" i="34"/>
  <c r="AC91" i="34"/>
  <c r="AC146" i="34"/>
  <c r="AC151" i="34"/>
  <c r="AC154" i="34"/>
  <c r="AC156" i="34"/>
  <c r="AC165" i="34"/>
  <c r="AC169" i="34"/>
  <c r="AC174" i="34"/>
  <c r="AC206" i="34"/>
  <c r="AC219" i="34"/>
  <c r="AC226" i="34"/>
  <c r="AC238" i="34"/>
  <c r="AC250" i="34"/>
  <c r="AC257" i="34"/>
  <c r="AC266" i="34"/>
  <c r="AC270" i="34"/>
  <c r="AC277" i="34"/>
  <c r="AC284" i="34"/>
  <c r="AC295" i="34"/>
  <c r="AC297" i="34"/>
  <c r="AC302" i="34"/>
  <c r="AC336" i="34"/>
  <c r="AC340" i="34"/>
  <c r="AC346" i="34"/>
  <c r="AC352" i="34"/>
  <c r="AC358" i="34"/>
  <c r="AC375" i="34"/>
  <c r="AC389" i="34"/>
  <c r="AC392" i="34"/>
  <c r="AC424" i="34"/>
  <c r="AC430" i="34"/>
  <c r="AC446" i="34"/>
  <c r="AC458" i="34"/>
  <c r="AC461" i="34"/>
  <c r="AC468" i="34"/>
  <c r="AC471" i="34"/>
  <c r="AC479" i="34"/>
  <c r="AC484" i="34"/>
  <c r="AC492" i="34"/>
  <c r="AC497" i="34"/>
  <c r="AC519" i="34"/>
  <c r="AC532" i="34"/>
  <c r="AC541" i="34"/>
  <c r="AC547" i="34"/>
  <c r="AC551" i="34"/>
  <c r="AD18" i="34"/>
  <c r="AD38" i="34"/>
  <c r="AD39" i="34"/>
  <c r="AD48" i="34"/>
  <c r="AD57" i="34"/>
  <c r="AD77" i="34"/>
  <c r="AD82" i="34"/>
  <c r="AD91" i="34"/>
  <c r="AD146" i="34"/>
  <c r="AD151" i="34"/>
  <c r="AD154" i="34"/>
  <c r="AD156" i="34"/>
  <c r="AD165" i="34"/>
  <c r="AD169" i="34"/>
  <c r="AD174" i="34"/>
  <c r="AD206" i="34"/>
  <c r="AD219" i="34"/>
  <c r="AD226" i="34"/>
  <c r="AD238" i="34"/>
  <c r="AD250" i="34"/>
  <c r="AD257" i="34"/>
  <c r="AD266" i="34"/>
  <c r="AD270" i="34"/>
  <c r="AD277" i="34"/>
  <c r="AD284" i="34"/>
  <c r="AD295" i="34"/>
  <c r="AD297" i="34"/>
  <c r="AD302" i="34"/>
  <c r="AD336" i="34"/>
  <c r="AD340" i="34"/>
  <c r="AD346" i="34"/>
  <c r="AD352" i="34"/>
  <c r="AD358" i="34"/>
  <c r="AD375" i="34"/>
  <c r="AD389" i="34"/>
  <c r="AD392" i="34"/>
  <c r="AD424" i="34"/>
  <c r="AD430" i="34"/>
  <c r="AD446" i="34"/>
  <c r="AD458" i="34"/>
  <c r="AD461" i="34"/>
  <c r="AD468" i="34"/>
  <c r="AD471" i="34"/>
  <c r="AD479" i="34"/>
  <c r="AD484" i="34"/>
  <c r="AD492" i="34"/>
  <c r="AD497" i="34"/>
  <c r="AD519" i="34"/>
  <c r="AD532" i="34"/>
  <c r="AD541" i="34"/>
  <c r="AD547" i="34"/>
  <c r="AD551" i="34"/>
  <c r="AE18" i="34"/>
  <c r="AE38" i="34"/>
  <c r="AE39" i="34"/>
  <c r="AE48" i="34"/>
  <c r="AE57" i="34"/>
  <c r="AE77" i="34"/>
  <c r="AE82" i="34"/>
  <c r="AE91" i="34"/>
  <c r="AE146" i="34"/>
  <c r="AE151" i="34"/>
  <c r="AE154" i="34"/>
  <c r="AE156" i="34"/>
  <c r="AE165" i="34"/>
  <c r="AE169" i="34"/>
  <c r="AE174" i="34"/>
  <c r="AE206" i="34"/>
  <c r="AE219" i="34"/>
  <c r="AE226" i="34"/>
  <c r="AE238" i="34"/>
  <c r="AE250" i="34"/>
  <c r="AE257" i="34"/>
  <c r="AE266" i="34"/>
  <c r="AE270" i="34"/>
  <c r="AE277" i="34"/>
  <c r="AE284" i="34"/>
  <c r="AE295" i="34"/>
  <c r="AE297" i="34"/>
  <c r="AE302" i="34"/>
  <c r="AE336" i="34"/>
  <c r="AE340" i="34"/>
  <c r="AE346" i="34"/>
  <c r="AE352" i="34"/>
  <c r="AE358" i="34"/>
  <c r="AE375" i="34"/>
  <c r="AE389" i="34"/>
  <c r="AE392" i="34"/>
  <c r="AE424" i="34"/>
  <c r="AE430" i="34"/>
  <c r="AE446" i="34"/>
  <c r="AE458" i="34"/>
  <c r="AE461" i="34"/>
  <c r="AE468" i="34"/>
  <c r="AE471" i="34"/>
  <c r="AE479" i="34"/>
  <c r="AE484" i="34"/>
  <c r="AE492" i="34"/>
  <c r="AE497" i="34"/>
  <c r="AE519" i="34"/>
  <c r="AE532" i="34"/>
  <c r="AE541" i="34"/>
  <c r="AE547" i="34"/>
  <c r="AE551" i="34"/>
  <c r="AF18" i="34"/>
  <c r="AF38" i="34"/>
  <c r="AF39" i="34"/>
  <c r="AF48" i="34"/>
  <c r="AF57" i="34"/>
  <c r="AF77" i="34"/>
  <c r="AF82" i="34"/>
  <c r="AF91" i="34"/>
  <c r="AF146" i="34"/>
  <c r="AF151" i="34"/>
  <c r="AF154" i="34"/>
  <c r="AF156" i="34"/>
  <c r="AF165" i="34"/>
  <c r="AF169" i="34"/>
  <c r="AF174" i="34"/>
  <c r="AF206" i="34"/>
  <c r="AF219" i="34"/>
  <c r="AF226" i="34"/>
  <c r="AF238" i="34"/>
  <c r="AF250" i="34"/>
  <c r="AF257" i="34"/>
  <c r="AF266" i="34"/>
  <c r="AF270" i="34"/>
  <c r="AF277" i="34"/>
  <c r="AF284" i="34"/>
  <c r="AF295" i="34"/>
  <c r="AF297" i="34"/>
  <c r="AF302" i="34"/>
  <c r="AF336" i="34"/>
  <c r="AF340" i="34"/>
  <c r="AF346" i="34"/>
  <c r="AF352" i="34"/>
  <c r="AF358" i="34"/>
  <c r="AF375" i="34"/>
  <c r="AF389" i="34"/>
  <c r="AF392" i="34"/>
  <c r="AF424" i="34"/>
  <c r="AF430" i="34"/>
  <c r="AF446" i="34"/>
  <c r="AF458" i="34"/>
  <c r="AF461" i="34"/>
  <c r="AF468" i="34"/>
  <c r="AF471" i="34"/>
  <c r="AF479" i="34"/>
  <c r="AF484" i="34"/>
  <c r="AF492" i="34"/>
  <c r="AF497" i="34"/>
  <c r="AF519" i="34"/>
  <c r="AF532" i="34"/>
  <c r="AF541" i="34"/>
  <c r="AF547" i="34"/>
  <c r="AF551" i="34"/>
  <c r="AG18" i="34"/>
  <c r="AG38" i="34"/>
  <c r="AG39" i="34"/>
  <c r="AG48" i="34"/>
  <c r="AG57" i="34"/>
  <c r="AG77" i="34"/>
  <c r="AG82" i="34"/>
  <c r="AG91" i="34"/>
  <c r="AG146" i="34"/>
  <c r="AG151" i="34"/>
  <c r="AG154" i="34"/>
  <c r="AG156" i="34"/>
  <c r="AG165" i="34"/>
  <c r="AG169" i="34"/>
  <c r="AG174" i="34"/>
  <c r="AG206" i="34"/>
  <c r="AG219" i="34"/>
  <c r="AG226" i="34"/>
  <c r="AG238" i="34"/>
  <c r="AG250" i="34"/>
  <c r="AG257" i="34"/>
  <c r="AG266" i="34"/>
  <c r="AG270" i="34"/>
  <c r="AG277" i="34"/>
  <c r="AG284" i="34"/>
  <c r="AG295" i="34"/>
  <c r="AG297" i="34"/>
  <c r="AG302" i="34"/>
  <c r="AG336" i="34"/>
  <c r="AG340" i="34"/>
  <c r="AG346" i="34"/>
  <c r="AG352" i="34"/>
  <c r="AG358" i="34"/>
  <c r="AG375" i="34"/>
  <c r="AG389" i="34"/>
  <c r="AG392" i="34"/>
  <c r="AG424" i="34"/>
  <c r="AG430" i="34"/>
  <c r="AG446" i="34"/>
  <c r="AG458" i="34"/>
  <c r="AG461" i="34"/>
  <c r="AG468" i="34"/>
  <c r="AG471" i="34"/>
  <c r="AG479" i="34"/>
  <c r="AG484" i="34"/>
  <c r="AG492" i="34"/>
  <c r="AG497" i="34"/>
  <c r="AG519" i="34"/>
  <c r="AG532" i="34"/>
  <c r="AG541" i="34"/>
  <c r="AG547" i="34"/>
  <c r="AG551" i="34"/>
  <c r="D24" i="34"/>
  <c r="D42" i="34"/>
  <c r="D52" i="34"/>
  <c r="D67" i="34"/>
  <c r="D137" i="34"/>
  <c r="D159" i="34"/>
  <c r="D184" i="34"/>
  <c r="D211" i="34"/>
  <c r="D242" i="34"/>
  <c r="D290" i="34"/>
  <c r="D317" i="34"/>
  <c r="D324" i="34"/>
  <c r="D329" i="34"/>
  <c r="D357" i="34"/>
  <c r="D411" i="34"/>
  <c r="D437" i="34"/>
  <c r="D459" i="34"/>
  <c r="D472" i="34"/>
  <c r="D495" i="34"/>
  <c r="D527" i="34"/>
  <c r="D538" i="34"/>
  <c r="D548" i="34"/>
  <c r="O24" i="34"/>
  <c r="O42" i="34"/>
  <c r="O52" i="34"/>
  <c r="O67" i="34"/>
  <c r="O137" i="34"/>
  <c r="O159" i="34"/>
  <c r="O184" i="34"/>
  <c r="O211" i="34"/>
  <c r="O242" i="34"/>
  <c r="O290" i="34"/>
  <c r="O317" i="34"/>
  <c r="O324" i="34"/>
  <c r="O329" i="34"/>
  <c r="O357" i="34"/>
  <c r="O411" i="34"/>
  <c r="O437" i="34"/>
  <c r="O459" i="34"/>
  <c r="O472" i="34"/>
  <c r="O495" i="34"/>
  <c r="O527" i="34"/>
  <c r="O538" i="34"/>
  <c r="O548" i="34"/>
  <c r="P24" i="34"/>
  <c r="P42" i="34"/>
  <c r="P52" i="34"/>
  <c r="P67" i="34"/>
  <c r="P137" i="34"/>
  <c r="P159" i="34"/>
  <c r="P184" i="34"/>
  <c r="P211" i="34"/>
  <c r="P242" i="34"/>
  <c r="P290" i="34"/>
  <c r="P317" i="34"/>
  <c r="P324" i="34"/>
  <c r="P329" i="34"/>
  <c r="P357" i="34"/>
  <c r="P411" i="34"/>
  <c r="P437" i="34"/>
  <c r="P459" i="34"/>
  <c r="P472" i="34"/>
  <c r="P495" i="34"/>
  <c r="P527" i="34"/>
  <c r="P538" i="34"/>
  <c r="P548" i="34"/>
  <c r="Q24" i="34"/>
  <c r="Q42" i="34"/>
  <c r="Q52" i="34"/>
  <c r="Q67" i="34"/>
  <c r="Q137" i="34"/>
  <c r="Q159" i="34"/>
  <c r="Q184" i="34"/>
  <c r="Q211" i="34"/>
  <c r="Q242" i="34"/>
  <c r="Q290" i="34"/>
  <c r="Q317" i="34"/>
  <c r="Q324" i="34"/>
  <c r="Q329" i="34"/>
  <c r="Q357" i="34"/>
  <c r="Q411" i="34"/>
  <c r="Q437" i="34"/>
  <c r="Q459" i="34"/>
  <c r="Q472" i="34"/>
  <c r="Q495" i="34"/>
  <c r="Q527" i="34"/>
  <c r="Q538" i="34"/>
  <c r="Q548" i="34"/>
  <c r="U24" i="34"/>
  <c r="U42" i="34"/>
  <c r="U52" i="34"/>
  <c r="U67" i="34"/>
  <c r="U137" i="34"/>
  <c r="U159" i="34"/>
  <c r="U184" i="34"/>
  <c r="U211" i="34"/>
  <c r="U242" i="34"/>
  <c r="U290" i="34"/>
  <c r="U317" i="34"/>
  <c r="U324" i="34"/>
  <c r="U329" i="34"/>
  <c r="U357" i="34"/>
  <c r="U411" i="34"/>
  <c r="U437" i="34"/>
  <c r="U459" i="34"/>
  <c r="U472" i="34"/>
  <c r="U495" i="34"/>
  <c r="U527" i="34"/>
  <c r="U538" i="34"/>
  <c r="U548" i="34"/>
  <c r="V24" i="34"/>
  <c r="V42" i="34"/>
  <c r="V52" i="34"/>
  <c r="V67" i="34"/>
  <c r="V137" i="34"/>
  <c r="V159" i="34"/>
  <c r="V184" i="34"/>
  <c r="V211" i="34"/>
  <c r="V242" i="34"/>
  <c r="V290" i="34"/>
  <c r="V317" i="34"/>
  <c r="V324" i="34"/>
  <c r="V329" i="34"/>
  <c r="V357" i="34"/>
  <c r="V411" i="34"/>
  <c r="V437" i="34"/>
  <c r="V459" i="34"/>
  <c r="V472" i="34"/>
  <c r="V495" i="34"/>
  <c r="V527" i="34"/>
  <c r="V538" i="34"/>
  <c r="V548" i="34"/>
  <c r="W24" i="34"/>
  <c r="W42" i="34"/>
  <c r="W52" i="34"/>
  <c r="W67" i="34"/>
  <c r="W137" i="34"/>
  <c r="W159" i="34"/>
  <c r="W184" i="34"/>
  <c r="W211" i="34"/>
  <c r="W242" i="34"/>
  <c r="W290" i="34"/>
  <c r="W317" i="34"/>
  <c r="W324" i="34"/>
  <c r="W329" i="34"/>
  <c r="W357" i="34"/>
  <c r="W411" i="34"/>
  <c r="W437" i="34"/>
  <c r="W459" i="34"/>
  <c r="W472" i="34"/>
  <c r="W495" i="34"/>
  <c r="W527" i="34"/>
  <c r="W538" i="34"/>
  <c r="W548" i="34"/>
  <c r="X24" i="34"/>
  <c r="X42" i="34"/>
  <c r="X52" i="34"/>
  <c r="X67" i="34"/>
  <c r="X137" i="34"/>
  <c r="X159" i="34"/>
  <c r="X184" i="34"/>
  <c r="X211" i="34"/>
  <c r="X242" i="34"/>
  <c r="X290" i="34"/>
  <c r="X317" i="34"/>
  <c r="X324" i="34"/>
  <c r="X329" i="34"/>
  <c r="X357" i="34"/>
  <c r="X411" i="34"/>
  <c r="X437" i="34"/>
  <c r="X459" i="34"/>
  <c r="X472" i="34"/>
  <c r="X495" i="34"/>
  <c r="X527" i="34"/>
  <c r="X538" i="34"/>
  <c r="X548" i="34"/>
  <c r="Y24" i="34"/>
  <c r="Y42" i="34"/>
  <c r="Y52" i="34"/>
  <c r="Y67" i="34"/>
  <c r="Y137" i="34"/>
  <c r="Y159" i="34"/>
  <c r="Y184" i="34"/>
  <c r="Y211" i="34"/>
  <c r="Y242" i="34"/>
  <c r="Y290" i="34"/>
  <c r="Y317" i="34"/>
  <c r="Y324" i="34"/>
  <c r="Y329" i="34"/>
  <c r="Y357" i="34"/>
  <c r="Y411" i="34"/>
  <c r="Y437" i="34"/>
  <c r="Y459" i="34"/>
  <c r="Y472" i="34"/>
  <c r="Y495" i="34"/>
  <c r="Y527" i="34"/>
  <c r="Y538" i="34"/>
  <c r="Y548" i="34"/>
  <c r="Z24" i="34"/>
  <c r="Z42" i="34"/>
  <c r="Z52" i="34"/>
  <c r="Z67" i="34"/>
  <c r="Z137" i="34"/>
  <c r="Z159" i="34"/>
  <c r="Z184" i="34"/>
  <c r="Z211" i="34"/>
  <c r="Z242" i="34"/>
  <c r="Z290" i="34"/>
  <c r="Z317" i="34"/>
  <c r="Z324" i="34"/>
  <c r="Z329" i="34"/>
  <c r="Z357" i="34"/>
  <c r="Z411" i="34"/>
  <c r="Z437" i="34"/>
  <c r="Z459" i="34"/>
  <c r="Z472" i="34"/>
  <c r="Z495" i="34"/>
  <c r="Z527" i="34"/>
  <c r="Z538" i="34"/>
  <c r="Z548" i="34"/>
  <c r="AA24" i="34"/>
  <c r="AA42" i="34"/>
  <c r="AA52" i="34"/>
  <c r="AA67" i="34"/>
  <c r="AA137" i="34"/>
  <c r="AA159" i="34"/>
  <c r="AA184" i="34"/>
  <c r="AA211" i="34"/>
  <c r="AA242" i="34"/>
  <c r="AA290" i="34"/>
  <c r="AA317" i="34"/>
  <c r="AA324" i="34"/>
  <c r="AA329" i="34"/>
  <c r="AA357" i="34"/>
  <c r="AA411" i="34"/>
  <c r="AA437" i="34"/>
  <c r="AA459" i="34"/>
  <c r="AA472" i="34"/>
  <c r="AA495" i="34"/>
  <c r="AA527" i="34"/>
  <c r="AA538" i="34"/>
  <c r="AA548" i="34"/>
  <c r="AB24" i="34"/>
  <c r="AB42" i="34"/>
  <c r="AB52" i="34"/>
  <c r="AB67" i="34"/>
  <c r="AB137" i="34"/>
  <c r="AB159" i="34"/>
  <c r="AB184" i="34"/>
  <c r="AB211" i="34"/>
  <c r="AB242" i="34"/>
  <c r="AB290" i="34"/>
  <c r="AB317" i="34"/>
  <c r="AB324" i="34"/>
  <c r="AB329" i="34"/>
  <c r="AB357" i="34"/>
  <c r="AB411" i="34"/>
  <c r="AB437" i="34"/>
  <c r="AB459" i="34"/>
  <c r="AB472" i="34"/>
  <c r="AB495" i="34"/>
  <c r="AB527" i="34"/>
  <c r="AB538" i="34"/>
  <c r="AB548" i="34"/>
  <c r="AC24" i="34"/>
  <c r="AC42" i="34"/>
  <c r="AC52" i="34"/>
  <c r="AC67" i="34"/>
  <c r="AC137" i="34"/>
  <c r="AC159" i="34"/>
  <c r="AC184" i="34"/>
  <c r="AC211" i="34"/>
  <c r="AC242" i="34"/>
  <c r="AC290" i="34"/>
  <c r="AC317" i="34"/>
  <c r="AC324" i="34"/>
  <c r="AC329" i="34"/>
  <c r="AC357" i="34"/>
  <c r="AC411" i="34"/>
  <c r="AC437" i="34"/>
  <c r="AC459" i="34"/>
  <c r="AC472" i="34"/>
  <c r="AC495" i="34"/>
  <c r="AC527" i="34"/>
  <c r="AC538" i="34"/>
  <c r="AC548" i="34"/>
  <c r="AD24" i="34"/>
  <c r="AD42" i="34"/>
  <c r="AD52" i="34"/>
  <c r="AD67" i="34"/>
  <c r="AD137" i="34"/>
  <c r="AD159" i="34"/>
  <c r="AD184" i="34"/>
  <c r="AD211" i="34"/>
  <c r="AD242" i="34"/>
  <c r="AD290" i="34"/>
  <c r="AD317" i="34"/>
  <c r="AD324" i="34"/>
  <c r="AD329" i="34"/>
  <c r="AD357" i="34"/>
  <c r="AD411" i="34"/>
  <c r="AD437" i="34"/>
  <c r="AD459" i="34"/>
  <c r="AD472" i="34"/>
  <c r="AD495" i="34"/>
  <c r="AD527" i="34"/>
  <c r="AD538" i="34"/>
  <c r="AD548" i="34"/>
  <c r="AE24" i="34"/>
  <c r="AE42" i="34"/>
  <c r="AE52" i="34"/>
  <c r="AE67" i="34"/>
  <c r="AE137" i="34"/>
  <c r="AE159" i="34"/>
  <c r="AE184" i="34"/>
  <c r="AE211" i="34"/>
  <c r="AE242" i="34"/>
  <c r="AE290" i="34"/>
  <c r="AE317" i="34"/>
  <c r="AE324" i="34"/>
  <c r="AE329" i="34"/>
  <c r="AE357" i="34"/>
  <c r="AE411" i="34"/>
  <c r="AE437" i="34"/>
  <c r="AE459" i="34"/>
  <c r="AE472" i="34"/>
  <c r="AE495" i="34"/>
  <c r="AE527" i="34"/>
  <c r="AE538" i="34"/>
  <c r="AE548" i="34"/>
  <c r="AF24" i="34"/>
  <c r="AF42" i="34"/>
  <c r="AF52" i="34"/>
  <c r="AF67" i="34"/>
  <c r="AF137" i="34"/>
  <c r="AF159" i="34"/>
  <c r="AF184" i="34"/>
  <c r="AF211" i="34"/>
  <c r="AF242" i="34"/>
  <c r="AF290" i="34"/>
  <c r="AF317" i="34"/>
  <c r="AF324" i="34"/>
  <c r="AF329" i="34"/>
  <c r="AF357" i="34"/>
  <c r="AF411" i="34"/>
  <c r="AF437" i="34"/>
  <c r="AF459" i="34"/>
  <c r="AF472" i="34"/>
  <c r="AF495" i="34"/>
  <c r="AF527" i="34"/>
  <c r="AF538" i="34"/>
  <c r="AF548" i="34"/>
  <c r="AG24" i="34"/>
  <c r="AG42" i="34"/>
  <c r="AG52" i="34"/>
  <c r="AG67" i="34"/>
  <c r="AG137" i="34"/>
  <c r="AG159" i="34"/>
  <c r="AG184" i="34"/>
  <c r="AG211" i="34"/>
  <c r="AG242" i="34"/>
  <c r="AG290" i="34"/>
  <c r="AG317" i="34"/>
  <c r="AG324" i="34"/>
  <c r="AG329" i="34"/>
  <c r="AG357" i="34"/>
  <c r="AG411" i="34"/>
  <c r="AG437" i="34"/>
  <c r="AG459" i="34"/>
  <c r="AG472" i="34"/>
  <c r="AG495" i="34"/>
  <c r="AG527" i="34"/>
  <c r="AG538" i="34"/>
  <c r="AG548" i="34"/>
  <c r="D20" i="34"/>
  <c r="D45" i="34"/>
  <c r="D58" i="34"/>
  <c r="D72" i="34"/>
  <c r="D130" i="34"/>
  <c r="D216" i="34"/>
  <c r="D233" i="34"/>
  <c r="D256" i="34"/>
  <c r="D312" i="34"/>
  <c r="D400" i="34"/>
  <c r="D431" i="34"/>
  <c r="D439" i="34"/>
  <c r="D494" i="34"/>
  <c r="D521" i="34"/>
  <c r="D544" i="34"/>
  <c r="O20" i="34"/>
  <c r="O45" i="34"/>
  <c r="O58" i="34"/>
  <c r="O72" i="34"/>
  <c r="O130" i="34"/>
  <c r="O216" i="34"/>
  <c r="O233" i="34"/>
  <c r="O256" i="34"/>
  <c r="O312" i="34"/>
  <c r="O400" i="34"/>
  <c r="O431" i="34"/>
  <c r="O439" i="34"/>
  <c r="O494" i="34"/>
  <c r="O521" i="34"/>
  <c r="O544" i="34"/>
  <c r="P20" i="34"/>
  <c r="P45" i="34"/>
  <c r="P58" i="34"/>
  <c r="P72" i="34"/>
  <c r="P130" i="34"/>
  <c r="P216" i="34"/>
  <c r="P233" i="34"/>
  <c r="P256" i="34"/>
  <c r="P312" i="34"/>
  <c r="P400" i="34"/>
  <c r="P431" i="34"/>
  <c r="P439" i="34"/>
  <c r="P494" i="34"/>
  <c r="P521" i="34"/>
  <c r="P544" i="34"/>
  <c r="Q20" i="34"/>
  <c r="Q45" i="34"/>
  <c r="Q58" i="34"/>
  <c r="Q72" i="34"/>
  <c r="Q130" i="34"/>
  <c r="Q216" i="34"/>
  <c r="Q233" i="34"/>
  <c r="Q256" i="34"/>
  <c r="Q312" i="34"/>
  <c r="Q400" i="34"/>
  <c r="Q431" i="34"/>
  <c r="Q439" i="34"/>
  <c r="Q494" i="34"/>
  <c r="Q521" i="34"/>
  <c r="Q544" i="34"/>
  <c r="U20" i="34"/>
  <c r="U45" i="34"/>
  <c r="U58" i="34"/>
  <c r="U72" i="34"/>
  <c r="U130" i="34"/>
  <c r="U216" i="34"/>
  <c r="U233" i="34"/>
  <c r="U256" i="34"/>
  <c r="U312" i="34"/>
  <c r="U400" i="34"/>
  <c r="U431" i="34"/>
  <c r="U439" i="34"/>
  <c r="U494" i="34"/>
  <c r="U521" i="34"/>
  <c r="U544" i="34"/>
  <c r="V20" i="34"/>
  <c r="V45" i="34"/>
  <c r="V58" i="34"/>
  <c r="V72" i="34"/>
  <c r="V130" i="34"/>
  <c r="V216" i="34"/>
  <c r="V233" i="34"/>
  <c r="V256" i="34"/>
  <c r="V312" i="34"/>
  <c r="V400" i="34"/>
  <c r="V431" i="34"/>
  <c r="V439" i="34"/>
  <c r="V494" i="34"/>
  <c r="V521" i="34"/>
  <c r="V544" i="34"/>
  <c r="W20" i="34"/>
  <c r="W45" i="34"/>
  <c r="W58" i="34"/>
  <c r="W72" i="34"/>
  <c r="W130" i="34"/>
  <c r="W216" i="34"/>
  <c r="W233" i="34"/>
  <c r="W256" i="34"/>
  <c r="W312" i="34"/>
  <c r="W400" i="34"/>
  <c r="W431" i="34"/>
  <c r="W439" i="34"/>
  <c r="W494" i="34"/>
  <c r="W521" i="34"/>
  <c r="W544" i="34"/>
  <c r="X20" i="34"/>
  <c r="X45" i="34"/>
  <c r="X58" i="34"/>
  <c r="X72" i="34"/>
  <c r="X130" i="34"/>
  <c r="X216" i="34"/>
  <c r="X233" i="34"/>
  <c r="X256" i="34"/>
  <c r="X312" i="34"/>
  <c r="X400" i="34"/>
  <c r="X431" i="34"/>
  <c r="X439" i="34"/>
  <c r="X494" i="34"/>
  <c r="X521" i="34"/>
  <c r="X544" i="34"/>
  <c r="Y20" i="34"/>
  <c r="Y45" i="34"/>
  <c r="Y58" i="34"/>
  <c r="Y72" i="34"/>
  <c r="Y130" i="34"/>
  <c r="Y216" i="34"/>
  <c r="Y233" i="34"/>
  <c r="Y256" i="34"/>
  <c r="Y312" i="34"/>
  <c r="Y400" i="34"/>
  <c r="Y431" i="34"/>
  <c r="Y439" i="34"/>
  <c r="Y494" i="34"/>
  <c r="Y521" i="34"/>
  <c r="Y544" i="34"/>
  <c r="Z20" i="34"/>
  <c r="Z45" i="34"/>
  <c r="Z58" i="34"/>
  <c r="Z72" i="34"/>
  <c r="Z130" i="34"/>
  <c r="Z216" i="34"/>
  <c r="Z233" i="34"/>
  <c r="Z256" i="34"/>
  <c r="Z312" i="34"/>
  <c r="Z400" i="34"/>
  <c r="Z431" i="34"/>
  <c r="Z439" i="34"/>
  <c r="Z494" i="34"/>
  <c r="Z521" i="34"/>
  <c r="Z544" i="34"/>
  <c r="AA20" i="34"/>
  <c r="AA45" i="34"/>
  <c r="AA58" i="34"/>
  <c r="AA72" i="34"/>
  <c r="AA130" i="34"/>
  <c r="AA216" i="34"/>
  <c r="AA233" i="34"/>
  <c r="AA256" i="34"/>
  <c r="AA312" i="34"/>
  <c r="AA400" i="34"/>
  <c r="AA431" i="34"/>
  <c r="AA439" i="34"/>
  <c r="AA494" i="34"/>
  <c r="AA521" i="34"/>
  <c r="AA544" i="34"/>
  <c r="AB20" i="34"/>
  <c r="AB45" i="34"/>
  <c r="AB58" i="34"/>
  <c r="AB72" i="34"/>
  <c r="AB130" i="34"/>
  <c r="AB216" i="34"/>
  <c r="AB233" i="34"/>
  <c r="AB256" i="34"/>
  <c r="AB312" i="34"/>
  <c r="AB400" i="34"/>
  <c r="AB431" i="34"/>
  <c r="AB439" i="34"/>
  <c r="AB494" i="34"/>
  <c r="AB521" i="34"/>
  <c r="AB544" i="34"/>
  <c r="AC20" i="34"/>
  <c r="AC45" i="34"/>
  <c r="AC58" i="34"/>
  <c r="AC72" i="34"/>
  <c r="AC130" i="34"/>
  <c r="AC216" i="34"/>
  <c r="AC233" i="34"/>
  <c r="AC256" i="34"/>
  <c r="AC312" i="34"/>
  <c r="AC400" i="34"/>
  <c r="AC431" i="34"/>
  <c r="AC439" i="34"/>
  <c r="AC494" i="34"/>
  <c r="AC521" i="34"/>
  <c r="AC544" i="34"/>
  <c r="AD20" i="34"/>
  <c r="AD45" i="34"/>
  <c r="AD58" i="34"/>
  <c r="AD72" i="34"/>
  <c r="AD130" i="34"/>
  <c r="AD216" i="34"/>
  <c r="AD233" i="34"/>
  <c r="AD256" i="34"/>
  <c r="AD312" i="34"/>
  <c r="AD400" i="34"/>
  <c r="AD431" i="34"/>
  <c r="AD439" i="34"/>
  <c r="AD494" i="34"/>
  <c r="AD521" i="34"/>
  <c r="AD544" i="34"/>
  <c r="AE20" i="34"/>
  <c r="AE45" i="34"/>
  <c r="AE58" i="34"/>
  <c r="AE72" i="34"/>
  <c r="AE130" i="34"/>
  <c r="AE216" i="34"/>
  <c r="AE233" i="34"/>
  <c r="AE256" i="34"/>
  <c r="AE312" i="34"/>
  <c r="AE400" i="34"/>
  <c r="AE431" i="34"/>
  <c r="AE439" i="34"/>
  <c r="AE494" i="34"/>
  <c r="AE521" i="34"/>
  <c r="AE544" i="34"/>
  <c r="AF20" i="34"/>
  <c r="AF45" i="34"/>
  <c r="AF58" i="34"/>
  <c r="AF72" i="34"/>
  <c r="AF130" i="34"/>
  <c r="AF216" i="34"/>
  <c r="AF233" i="34"/>
  <c r="AF256" i="34"/>
  <c r="AF312" i="34"/>
  <c r="AF400" i="34"/>
  <c r="AF431" i="34"/>
  <c r="AF439" i="34"/>
  <c r="AF494" i="34"/>
  <c r="AF521" i="34"/>
  <c r="AF544" i="34"/>
  <c r="AG20" i="34"/>
  <c r="AG45" i="34"/>
  <c r="AG58" i="34"/>
  <c r="AG72" i="34"/>
  <c r="AG130" i="34"/>
  <c r="AG216" i="34"/>
  <c r="AG233" i="34"/>
  <c r="AG256" i="34"/>
  <c r="AG312" i="34"/>
  <c r="AG400" i="34"/>
  <c r="AG431" i="34"/>
  <c r="AG439" i="34"/>
  <c r="AG494" i="34"/>
  <c r="AG521" i="34"/>
  <c r="AG544" i="34"/>
  <c r="D61" i="34"/>
  <c r="D86" i="34"/>
  <c r="D229" i="34"/>
  <c r="D260" i="34"/>
  <c r="D268" i="34"/>
  <c r="D306" i="34"/>
  <c r="D343" i="34"/>
  <c r="D395" i="34"/>
  <c r="D493" i="34"/>
  <c r="D536" i="34"/>
  <c r="O61" i="34"/>
  <c r="O86" i="34"/>
  <c r="O229" i="34"/>
  <c r="O260" i="34"/>
  <c r="O268" i="34"/>
  <c r="O306" i="34"/>
  <c r="O343" i="34"/>
  <c r="O395" i="34"/>
  <c r="O493" i="34"/>
  <c r="O536" i="34"/>
  <c r="P61" i="34"/>
  <c r="P86" i="34"/>
  <c r="P229" i="34"/>
  <c r="P260" i="34"/>
  <c r="P268" i="34"/>
  <c r="P306" i="34"/>
  <c r="P343" i="34"/>
  <c r="P395" i="34"/>
  <c r="P493" i="34"/>
  <c r="P536" i="34"/>
  <c r="Q61" i="34"/>
  <c r="Q86" i="34"/>
  <c r="Q229" i="34"/>
  <c r="Q260" i="34"/>
  <c r="Q268" i="34"/>
  <c r="Q306" i="34"/>
  <c r="Q343" i="34"/>
  <c r="Q395" i="34"/>
  <c r="Q493" i="34"/>
  <c r="Q536" i="34"/>
  <c r="U61" i="34"/>
  <c r="U86" i="34"/>
  <c r="U229" i="34"/>
  <c r="U260" i="34"/>
  <c r="U268" i="34"/>
  <c r="U306" i="34"/>
  <c r="U343" i="34"/>
  <c r="U395" i="34"/>
  <c r="U493" i="34"/>
  <c r="U536" i="34"/>
  <c r="V61" i="34"/>
  <c r="V86" i="34"/>
  <c r="V229" i="34"/>
  <c r="V260" i="34"/>
  <c r="V268" i="34"/>
  <c r="V306" i="34"/>
  <c r="V343" i="34"/>
  <c r="V395" i="34"/>
  <c r="V493" i="34"/>
  <c r="V536" i="34"/>
  <c r="W61" i="34"/>
  <c r="W86" i="34"/>
  <c r="W229" i="34"/>
  <c r="W260" i="34"/>
  <c r="W268" i="34"/>
  <c r="W306" i="34"/>
  <c r="W343" i="34"/>
  <c r="W395" i="34"/>
  <c r="W493" i="34"/>
  <c r="W536" i="34"/>
  <c r="X61" i="34"/>
  <c r="X86" i="34"/>
  <c r="X229" i="34"/>
  <c r="X260" i="34"/>
  <c r="X268" i="34"/>
  <c r="X306" i="34"/>
  <c r="X343" i="34"/>
  <c r="X395" i="34"/>
  <c r="X493" i="34"/>
  <c r="X536" i="34"/>
  <c r="Y61" i="34"/>
  <c r="Y86" i="34"/>
  <c r="Y229" i="34"/>
  <c r="Y260" i="34"/>
  <c r="Y268" i="34"/>
  <c r="Y306" i="34"/>
  <c r="Y343" i="34"/>
  <c r="Y395" i="34"/>
  <c r="Y493" i="34"/>
  <c r="Y536" i="34"/>
  <c r="Z61" i="34"/>
  <c r="Z86" i="34"/>
  <c r="Z229" i="34"/>
  <c r="Z260" i="34"/>
  <c r="Z268" i="34"/>
  <c r="Z306" i="34"/>
  <c r="Z343" i="34"/>
  <c r="Z395" i="34"/>
  <c r="Z493" i="34"/>
  <c r="Z536" i="34"/>
  <c r="AA61" i="34"/>
  <c r="AA86" i="34"/>
  <c r="AA229" i="34"/>
  <c r="AA260" i="34"/>
  <c r="AA268" i="34"/>
  <c r="AA306" i="34"/>
  <c r="AA343" i="34"/>
  <c r="AA395" i="34"/>
  <c r="AA493" i="34"/>
  <c r="AA536" i="34"/>
  <c r="AB61" i="34"/>
  <c r="AB86" i="34"/>
  <c r="AB229" i="34"/>
  <c r="AB260" i="34"/>
  <c r="AB268" i="34"/>
  <c r="AB306" i="34"/>
  <c r="AB343" i="34"/>
  <c r="AB395" i="34"/>
  <c r="AB493" i="34"/>
  <c r="AB536" i="34"/>
  <c r="AC61" i="34"/>
  <c r="AC86" i="34"/>
  <c r="AC229" i="34"/>
  <c r="AC260" i="34"/>
  <c r="AC268" i="34"/>
  <c r="AC306" i="34"/>
  <c r="AC343" i="34"/>
  <c r="AC395" i="34"/>
  <c r="AC493" i="34"/>
  <c r="AC536" i="34"/>
  <c r="AD61" i="34"/>
  <c r="AD86" i="34"/>
  <c r="AD229" i="34"/>
  <c r="AD260" i="34"/>
  <c r="AD268" i="34"/>
  <c r="AD306" i="34"/>
  <c r="AD343" i="34"/>
  <c r="AD395" i="34"/>
  <c r="AD493" i="34"/>
  <c r="AD536" i="34"/>
  <c r="AE61" i="34"/>
  <c r="AE86" i="34"/>
  <c r="AE229" i="34"/>
  <c r="AE260" i="34"/>
  <c r="AE268" i="34"/>
  <c r="AE306" i="34"/>
  <c r="AE343" i="34"/>
  <c r="AE395" i="34"/>
  <c r="AE493" i="34"/>
  <c r="AE536" i="34"/>
  <c r="AF61" i="34"/>
  <c r="AF86" i="34"/>
  <c r="AF229" i="34"/>
  <c r="AF260" i="34"/>
  <c r="AF268" i="34"/>
  <c r="AF306" i="34"/>
  <c r="AF343" i="34"/>
  <c r="AF395" i="34"/>
  <c r="AF493" i="34"/>
  <c r="AF536" i="34"/>
  <c r="AG61" i="34"/>
  <c r="AG86" i="34"/>
  <c r="AG229" i="34"/>
  <c r="AG260" i="34"/>
  <c r="AG268" i="34"/>
  <c r="AG306" i="34"/>
  <c r="AG343" i="34"/>
  <c r="AG395" i="34"/>
  <c r="AG493" i="34"/>
  <c r="AG536" i="34"/>
  <c r="D17" i="34"/>
  <c r="D43" i="34"/>
  <c r="D54" i="34"/>
  <c r="D88" i="34"/>
  <c r="D125" i="34"/>
  <c r="D201" i="34"/>
  <c r="D234" i="34"/>
  <c r="D247" i="34"/>
  <c r="D254" i="34"/>
  <c r="D265" i="34"/>
  <c r="D307" i="34"/>
  <c r="D339" i="34"/>
  <c r="D355" i="34"/>
  <c r="D364" i="34"/>
  <c r="D398" i="34"/>
  <c r="D399" i="34"/>
  <c r="D425" i="34"/>
  <c r="D435" i="34"/>
  <c r="D442" i="34"/>
  <c r="D470" i="34"/>
  <c r="D487" i="34"/>
  <c r="D498" i="34"/>
  <c r="D502" i="34"/>
  <c r="D509" i="34"/>
  <c r="D529" i="34"/>
  <c r="I17" i="34"/>
  <c r="M17" i="34"/>
  <c r="N17" i="34"/>
  <c r="O17" i="34"/>
  <c r="O43" i="34"/>
  <c r="O54" i="34"/>
  <c r="O88" i="34"/>
  <c r="O125" i="34"/>
  <c r="O201" i="34"/>
  <c r="O234" i="34"/>
  <c r="O247" i="34"/>
  <c r="O254" i="34"/>
  <c r="O265" i="34"/>
  <c r="O307" i="34"/>
  <c r="O339" i="34"/>
  <c r="O355" i="34"/>
  <c r="O364" i="34"/>
  <c r="O398" i="34"/>
  <c r="O399" i="34"/>
  <c r="O425" i="34"/>
  <c r="O435" i="34"/>
  <c r="O442" i="34"/>
  <c r="O470" i="34"/>
  <c r="O487" i="34"/>
  <c r="O498" i="34"/>
  <c r="O502" i="34"/>
  <c r="O509" i="34"/>
  <c r="O529" i="34"/>
  <c r="P17" i="34"/>
  <c r="P43" i="34"/>
  <c r="P54" i="34"/>
  <c r="P88" i="34"/>
  <c r="P125" i="34"/>
  <c r="P201" i="34"/>
  <c r="P234" i="34"/>
  <c r="P247" i="34"/>
  <c r="P254" i="34"/>
  <c r="P265" i="34"/>
  <c r="P307" i="34"/>
  <c r="P339" i="34"/>
  <c r="P355" i="34"/>
  <c r="P364" i="34"/>
  <c r="P398" i="34"/>
  <c r="P399" i="34"/>
  <c r="P425" i="34"/>
  <c r="P435" i="34"/>
  <c r="P442" i="34"/>
  <c r="P470" i="34"/>
  <c r="P487" i="34"/>
  <c r="P498" i="34"/>
  <c r="P502" i="34"/>
  <c r="P509" i="34"/>
  <c r="P529" i="34"/>
  <c r="Q17" i="34"/>
  <c r="Q43" i="34"/>
  <c r="Q54" i="34"/>
  <c r="Q88" i="34"/>
  <c r="Q125" i="34"/>
  <c r="Q201" i="34"/>
  <c r="Q234" i="34"/>
  <c r="Q247" i="34"/>
  <c r="Q254" i="34"/>
  <c r="Q265" i="34"/>
  <c r="Q307" i="34"/>
  <c r="Q339" i="34"/>
  <c r="Q355" i="34"/>
  <c r="Q364" i="34"/>
  <c r="Q398" i="34"/>
  <c r="Q399" i="34"/>
  <c r="Q425" i="34"/>
  <c r="Q435" i="34"/>
  <c r="Q442" i="34"/>
  <c r="Q470" i="34"/>
  <c r="Q487" i="34"/>
  <c r="Q498" i="34"/>
  <c r="Q502" i="34"/>
  <c r="Q509" i="34"/>
  <c r="Q529" i="34"/>
  <c r="R17" i="34"/>
  <c r="S17" i="34"/>
  <c r="T17" i="34"/>
  <c r="U17" i="34"/>
  <c r="U43" i="34"/>
  <c r="U54" i="34"/>
  <c r="U88" i="34"/>
  <c r="U125" i="34"/>
  <c r="U201" i="34"/>
  <c r="U234" i="34"/>
  <c r="U247" i="34"/>
  <c r="U254" i="34"/>
  <c r="U265" i="34"/>
  <c r="U307" i="34"/>
  <c r="U339" i="34"/>
  <c r="U355" i="34"/>
  <c r="U364" i="34"/>
  <c r="U398" i="34"/>
  <c r="U399" i="34"/>
  <c r="U425" i="34"/>
  <c r="U435" i="34"/>
  <c r="U442" i="34"/>
  <c r="U470" i="34"/>
  <c r="U487" i="34"/>
  <c r="U498" i="34"/>
  <c r="U502" i="34"/>
  <c r="U509" i="34"/>
  <c r="U529" i="34"/>
  <c r="V17" i="34"/>
  <c r="V43" i="34"/>
  <c r="V54" i="34"/>
  <c r="V88" i="34"/>
  <c r="V125" i="34"/>
  <c r="V201" i="34"/>
  <c r="V234" i="34"/>
  <c r="V247" i="34"/>
  <c r="V254" i="34"/>
  <c r="V265" i="34"/>
  <c r="V307" i="34"/>
  <c r="V339" i="34"/>
  <c r="V355" i="34"/>
  <c r="V364" i="34"/>
  <c r="V398" i="34"/>
  <c r="V399" i="34"/>
  <c r="V425" i="34"/>
  <c r="V435" i="34"/>
  <c r="V442" i="34"/>
  <c r="V470" i="34"/>
  <c r="V487" i="34"/>
  <c r="V498" i="34"/>
  <c r="V502" i="34"/>
  <c r="V509" i="34"/>
  <c r="V529" i="34"/>
  <c r="W17" i="34"/>
  <c r="W43" i="34"/>
  <c r="W54" i="34"/>
  <c r="W88" i="34"/>
  <c r="W125" i="34"/>
  <c r="W201" i="34"/>
  <c r="W234" i="34"/>
  <c r="W247" i="34"/>
  <c r="W254" i="34"/>
  <c r="W265" i="34"/>
  <c r="W307" i="34"/>
  <c r="W339" i="34"/>
  <c r="W355" i="34"/>
  <c r="W364" i="34"/>
  <c r="W398" i="34"/>
  <c r="W399" i="34"/>
  <c r="W425" i="34"/>
  <c r="W435" i="34"/>
  <c r="W442" i="34"/>
  <c r="W470" i="34"/>
  <c r="W487" i="34"/>
  <c r="W498" i="34"/>
  <c r="W502" i="34"/>
  <c r="W509" i="34"/>
  <c r="W529" i="34"/>
  <c r="X17" i="34"/>
  <c r="X43" i="34"/>
  <c r="X54" i="34"/>
  <c r="X88" i="34"/>
  <c r="X125" i="34"/>
  <c r="X201" i="34"/>
  <c r="X234" i="34"/>
  <c r="X247" i="34"/>
  <c r="X254" i="34"/>
  <c r="X265" i="34"/>
  <c r="X307" i="34"/>
  <c r="X339" i="34"/>
  <c r="X355" i="34"/>
  <c r="X364" i="34"/>
  <c r="X398" i="34"/>
  <c r="X399" i="34"/>
  <c r="X425" i="34"/>
  <c r="X435" i="34"/>
  <c r="X442" i="34"/>
  <c r="X470" i="34"/>
  <c r="X487" i="34"/>
  <c r="X498" i="34"/>
  <c r="X502" i="34"/>
  <c r="X509" i="34"/>
  <c r="X529" i="34"/>
  <c r="Y17" i="34"/>
  <c r="Y43" i="34"/>
  <c r="Y54" i="34"/>
  <c r="Y88" i="34"/>
  <c r="Y125" i="34"/>
  <c r="Y201" i="34"/>
  <c r="Y234" i="34"/>
  <c r="Y247" i="34"/>
  <c r="Y254" i="34"/>
  <c r="Y265" i="34"/>
  <c r="Y307" i="34"/>
  <c r="Y339" i="34"/>
  <c r="Y355" i="34"/>
  <c r="Y364" i="34"/>
  <c r="Y398" i="34"/>
  <c r="Y399" i="34"/>
  <c r="Y425" i="34"/>
  <c r="Y435" i="34"/>
  <c r="Y442" i="34"/>
  <c r="Y470" i="34"/>
  <c r="Y487" i="34"/>
  <c r="Y498" i="34"/>
  <c r="Y502" i="34"/>
  <c r="Y509" i="34"/>
  <c r="Y529" i="34"/>
  <c r="Z17" i="34"/>
  <c r="Z43" i="34"/>
  <c r="Z54" i="34"/>
  <c r="Z88" i="34"/>
  <c r="Z125" i="34"/>
  <c r="Z201" i="34"/>
  <c r="Z234" i="34"/>
  <c r="Z247" i="34"/>
  <c r="Z254" i="34"/>
  <c r="Z265" i="34"/>
  <c r="Z307" i="34"/>
  <c r="Z339" i="34"/>
  <c r="Z355" i="34"/>
  <c r="Z364" i="34"/>
  <c r="Z398" i="34"/>
  <c r="Z399" i="34"/>
  <c r="Z425" i="34"/>
  <c r="Z435" i="34"/>
  <c r="Z442" i="34"/>
  <c r="Z470" i="34"/>
  <c r="Z487" i="34"/>
  <c r="Z498" i="34"/>
  <c r="Z502" i="34"/>
  <c r="Z509" i="34"/>
  <c r="Z529" i="34"/>
  <c r="AA17" i="34"/>
  <c r="AA43" i="34"/>
  <c r="AA54" i="34"/>
  <c r="AA88" i="34"/>
  <c r="AA125" i="34"/>
  <c r="AA201" i="34"/>
  <c r="AA234" i="34"/>
  <c r="AA247" i="34"/>
  <c r="AA254" i="34"/>
  <c r="AA265" i="34"/>
  <c r="AA307" i="34"/>
  <c r="AA339" i="34"/>
  <c r="AA355" i="34"/>
  <c r="AA364" i="34"/>
  <c r="AA398" i="34"/>
  <c r="AA399" i="34"/>
  <c r="AA425" i="34"/>
  <c r="AA435" i="34"/>
  <c r="AA442" i="34"/>
  <c r="AA470" i="34"/>
  <c r="AA487" i="34"/>
  <c r="AA498" i="34"/>
  <c r="AA502" i="34"/>
  <c r="AA509" i="34"/>
  <c r="AA529" i="34"/>
  <c r="AB17" i="34"/>
  <c r="AB43" i="34"/>
  <c r="AB54" i="34"/>
  <c r="AB88" i="34"/>
  <c r="AB125" i="34"/>
  <c r="AB201" i="34"/>
  <c r="AB234" i="34"/>
  <c r="AB247" i="34"/>
  <c r="AB254" i="34"/>
  <c r="AB265" i="34"/>
  <c r="AB307" i="34"/>
  <c r="AB339" i="34"/>
  <c r="AB355" i="34"/>
  <c r="AB364" i="34"/>
  <c r="AB398" i="34"/>
  <c r="AB399" i="34"/>
  <c r="AB425" i="34"/>
  <c r="AB435" i="34"/>
  <c r="AB442" i="34"/>
  <c r="AB470" i="34"/>
  <c r="AB487" i="34"/>
  <c r="AB498" i="34"/>
  <c r="AB502" i="34"/>
  <c r="AB509" i="34"/>
  <c r="AB529" i="34"/>
  <c r="AC17" i="34"/>
  <c r="AC43" i="34"/>
  <c r="AC54" i="34"/>
  <c r="AC88" i="34"/>
  <c r="AC125" i="34"/>
  <c r="AC201" i="34"/>
  <c r="AC234" i="34"/>
  <c r="AC247" i="34"/>
  <c r="AC254" i="34"/>
  <c r="AC265" i="34"/>
  <c r="AC307" i="34"/>
  <c r="AC339" i="34"/>
  <c r="AC355" i="34"/>
  <c r="AC364" i="34"/>
  <c r="AC398" i="34"/>
  <c r="AC399" i="34"/>
  <c r="AC425" i="34"/>
  <c r="AC435" i="34"/>
  <c r="AC442" i="34"/>
  <c r="AC470" i="34"/>
  <c r="AC487" i="34"/>
  <c r="AC498" i="34"/>
  <c r="AC502" i="34"/>
  <c r="AC509" i="34"/>
  <c r="AC529" i="34"/>
  <c r="AD17" i="34"/>
  <c r="AD43" i="34"/>
  <c r="AD54" i="34"/>
  <c r="AD88" i="34"/>
  <c r="AD125" i="34"/>
  <c r="AD201" i="34"/>
  <c r="AD234" i="34"/>
  <c r="AD247" i="34"/>
  <c r="AD254" i="34"/>
  <c r="AD265" i="34"/>
  <c r="AD307" i="34"/>
  <c r="AD339" i="34"/>
  <c r="AD355" i="34"/>
  <c r="AD364" i="34"/>
  <c r="AD398" i="34"/>
  <c r="AD399" i="34"/>
  <c r="AD425" i="34"/>
  <c r="AD435" i="34"/>
  <c r="AD442" i="34"/>
  <c r="AD470" i="34"/>
  <c r="AD487" i="34"/>
  <c r="AD498" i="34"/>
  <c r="AD502" i="34"/>
  <c r="AD509" i="34"/>
  <c r="AD529" i="34"/>
  <c r="AE17" i="34"/>
  <c r="AE43" i="34"/>
  <c r="AE54" i="34"/>
  <c r="AE88" i="34"/>
  <c r="AE125" i="34"/>
  <c r="AE201" i="34"/>
  <c r="AE234" i="34"/>
  <c r="AE247" i="34"/>
  <c r="AE254" i="34"/>
  <c r="AE265" i="34"/>
  <c r="AE307" i="34"/>
  <c r="AE339" i="34"/>
  <c r="AE355" i="34"/>
  <c r="AE364" i="34"/>
  <c r="AE398" i="34"/>
  <c r="AE399" i="34"/>
  <c r="AE425" i="34"/>
  <c r="AE435" i="34"/>
  <c r="AE442" i="34"/>
  <c r="AE470" i="34"/>
  <c r="AE487" i="34"/>
  <c r="AE498" i="34"/>
  <c r="AE502" i="34"/>
  <c r="AE509" i="34"/>
  <c r="AE529" i="34"/>
  <c r="AF17" i="34"/>
  <c r="AF43" i="34"/>
  <c r="AF54" i="34"/>
  <c r="AF88" i="34"/>
  <c r="AF125" i="34"/>
  <c r="AF201" i="34"/>
  <c r="AF234" i="34"/>
  <c r="AF247" i="34"/>
  <c r="AF254" i="34"/>
  <c r="AF265" i="34"/>
  <c r="AF307" i="34"/>
  <c r="AF339" i="34"/>
  <c r="AF355" i="34"/>
  <c r="AF364" i="34"/>
  <c r="AF398" i="34"/>
  <c r="AF399" i="34"/>
  <c r="AF425" i="34"/>
  <c r="AF435" i="34"/>
  <c r="AF442" i="34"/>
  <c r="AF470" i="34"/>
  <c r="AF487" i="34"/>
  <c r="AF498" i="34"/>
  <c r="AF502" i="34"/>
  <c r="AF509" i="34"/>
  <c r="AF529" i="34"/>
  <c r="AG17" i="34"/>
  <c r="AG43" i="34"/>
  <c r="AG54" i="34"/>
  <c r="AG88" i="34"/>
  <c r="AG125" i="34"/>
  <c r="AG201" i="34"/>
  <c r="AG234" i="34"/>
  <c r="AG247" i="34"/>
  <c r="AG254" i="34"/>
  <c r="AG265" i="34"/>
  <c r="AG307" i="34"/>
  <c r="AG339" i="34"/>
  <c r="AG355" i="34"/>
  <c r="AG364" i="34"/>
  <c r="AG398" i="34"/>
  <c r="AG399" i="34"/>
  <c r="AG425" i="34"/>
  <c r="AG435" i="34"/>
  <c r="AG442" i="34"/>
  <c r="AG470" i="34"/>
  <c r="AG487" i="34"/>
  <c r="AG498" i="34"/>
  <c r="AG502" i="34"/>
  <c r="AG509" i="34"/>
  <c r="AG529" i="34"/>
  <c r="D62" i="34"/>
  <c r="D102" i="34"/>
  <c r="D108" i="34"/>
  <c r="D115" i="34"/>
  <c r="D128" i="34"/>
  <c r="D133" i="34"/>
  <c r="D139" i="34"/>
  <c r="D147" i="34"/>
  <c r="D153" i="34"/>
  <c r="D164" i="34"/>
  <c r="D214" i="34"/>
  <c r="D220" i="34"/>
  <c r="D255" i="34"/>
  <c r="D263" i="34"/>
  <c r="D269" i="34"/>
  <c r="D271" i="34"/>
  <c r="D278" i="34"/>
  <c r="D282" i="34"/>
  <c r="D337" i="34"/>
  <c r="D347" i="34"/>
  <c r="D366" i="34"/>
  <c r="D388" i="34"/>
  <c r="D438" i="34"/>
  <c r="D452" i="34"/>
  <c r="D460" i="34"/>
  <c r="D483" i="34"/>
  <c r="O62" i="34"/>
  <c r="O102" i="34"/>
  <c r="O108" i="34"/>
  <c r="O115" i="34"/>
  <c r="O128" i="34"/>
  <c r="O133" i="34"/>
  <c r="O139" i="34"/>
  <c r="O147" i="34"/>
  <c r="O153" i="34"/>
  <c r="O164" i="34"/>
  <c r="O214" i="34"/>
  <c r="O220" i="34"/>
  <c r="O255" i="34"/>
  <c r="O263" i="34"/>
  <c r="O269" i="34"/>
  <c r="O271" i="34"/>
  <c r="O278" i="34"/>
  <c r="O282" i="34"/>
  <c r="O337" i="34"/>
  <c r="O347" i="34"/>
  <c r="O366" i="34"/>
  <c r="O388" i="34"/>
  <c r="O438" i="34"/>
  <c r="O452" i="34"/>
  <c r="O460" i="34"/>
  <c r="O483" i="34"/>
  <c r="P62" i="34"/>
  <c r="P102" i="34"/>
  <c r="P108" i="34"/>
  <c r="P115" i="34"/>
  <c r="P128" i="34"/>
  <c r="P133" i="34"/>
  <c r="P139" i="34"/>
  <c r="P147" i="34"/>
  <c r="P153" i="34"/>
  <c r="P164" i="34"/>
  <c r="P214" i="34"/>
  <c r="P220" i="34"/>
  <c r="P255" i="34"/>
  <c r="P263" i="34"/>
  <c r="P269" i="34"/>
  <c r="P271" i="34"/>
  <c r="P278" i="34"/>
  <c r="P282" i="34"/>
  <c r="P337" i="34"/>
  <c r="P347" i="34"/>
  <c r="P366" i="34"/>
  <c r="P388" i="34"/>
  <c r="P438" i="34"/>
  <c r="P452" i="34"/>
  <c r="P460" i="34"/>
  <c r="P483" i="34"/>
  <c r="Q62" i="34"/>
  <c r="Q102" i="34"/>
  <c r="Q108" i="34"/>
  <c r="Q115" i="34"/>
  <c r="Q128" i="34"/>
  <c r="Q133" i="34"/>
  <c r="Q139" i="34"/>
  <c r="Q147" i="34"/>
  <c r="Q153" i="34"/>
  <c r="Q164" i="34"/>
  <c r="Q214" i="34"/>
  <c r="Q220" i="34"/>
  <c r="Q255" i="34"/>
  <c r="Q263" i="34"/>
  <c r="Q269" i="34"/>
  <c r="Q271" i="34"/>
  <c r="Q278" i="34"/>
  <c r="Q282" i="34"/>
  <c r="Q337" i="34"/>
  <c r="Q347" i="34"/>
  <c r="Q366" i="34"/>
  <c r="Q388" i="34"/>
  <c r="Q438" i="34"/>
  <c r="Q452" i="34"/>
  <c r="Q460" i="34"/>
  <c r="Q483" i="34"/>
  <c r="U62" i="34"/>
  <c r="U102" i="34"/>
  <c r="U108" i="34"/>
  <c r="U115" i="34"/>
  <c r="U128" i="34"/>
  <c r="U133" i="34"/>
  <c r="U139" i="34"/>
  <c r="U147" i="34"/>
  <c r="U153" i="34"/>
  <c r="U164" i="34"/>
  <c r="U214" i="34"/>
  <c r="U220" i="34"/>
  <c r="U255" i="34"/>
  <c r="U263" i="34"/>
  <c r="U269" i="34"/>
  <c r="U271" i="34"/>
  <c r="U278" i="34"/>
  <c r="U282" i="34"/>
  <c r="U337" i="34"/>
  <c r="U347" i="34"/>
  <c r="U366" i="34"/>
  <c r="U388" i="34"/>
  <c r="U438" i="34"/>
  <c r="U452" i="34"/>
  <c r="U460" i="34"/>
  <c r="U483" i="34"/>
  <c r="V62" i="34"/>
  <c r="V102" i="34"/>
  <c r="V108" i="34"/>
  <c r="V115" i="34"/>
  <c r="V128" i="34"/>
  <c r="V133" i="34"/>
  <c r="V139" i="34"/>
  <c r="V147" i="34"/>
  <c r="V153" i="34"/>
  <c r="V164" i="34"/>
  <c r="V214" i="34"/>
  <c r="V220" i="34"/>
  <c r="V255" i="34"/>
  <c r="V263" i="34"/>
  <c r="V269" i="34"/>
  <c r="V271" i="34"/>
  <c r="V278" i="34"/>
  <c r="V282" i="34"/>
  <c r="V337" i="34"/>
  <c r="V347" i="34"/>
  <c r="V366" i="34"/>
  <c r="V388" i="34"/>
  <c r="V438" i="34"/>
  <c r="V452" i="34"/>
  <c r="V460" i="34"/>
  <c r="V483" i="34"/>
  <c r="W62" i="34"/>
  <c r="W102" i="34"/>
  <c r="W108" i="34"/>
  <c r="W115" i="34"/>
  <c r="W128" i="34"/>
  <c r="W133" i="34"/>
  <c r="W139" i="34"/>
  <c r="W147" i="34"/>
  <c r="W153" i="34"/>
  <c r="W164" i="34"/>
  <c r="W214" i="34"/>
  <c r="W220" i="34"/>
  <c r="W255" i="34"/>
  <c r="W263" i="34"/>
  <c r="W269" i="34"/>
  <c r="W271" i="34"/>
  <c r="W278" i="34"/>
  <c r="W282" i="34"/>
  <c r="W337" i="34"/>
  <c r="W347" i="34"/>
  <c r="W366" i="34"/>
  <c r="W388" i="34"/>
  <c r="W438" i="34"/>
  <c r="W452" i="34"/>
  <c r="W460" i="34"/>
  <c r="W483" i="34"/>
  <c r="X62" i="34"/>
  <c r="X102" i="34"/>
  <c r="X108" i="34"/>
  <c r="X115" i="34"/>
  <c r="X128" i="34"/>
  <c r="X133" i="34"/>
  <c r="X139" i="34"/>
  <c r="X147" i="34"/>
  <c r="X153" i="34"/>
  <c r="X164" i="34"/>
  <c r="X214" i="34"/>
  <c r="X220" i="34"/>
  <c r="X255" i="34"/>
  <c r="X263" i="34"/>
  <c r="X269" i="34"/>
  <c r="X271" i="34"/>
  <c r="X278" i="34"/>
  <c r="X282" i="34"/>
  <c r="X337" i="34"/>
  <c r="X347" i="34"/>
  <c r="X366" i="34"/>
  <c r="X388" i="34"/>
  <c r="X438" i="34"/>
  <c r="X452" i="34"/>
  <c r="X460" i="34"/>
  <c r="X483" i="34"/>
  <c r="Y62" i="34"/>
  <c r="Y102" i="34"/>
  <c r="Y108" i="34"/>
  <c r="Y115" i="34"/>
  <c r="Y128" i="34"/>
  <c r="Y133" i="34"/>
  <c r="Y139" i="34"/>
  <c r="Y147" i="34"/>
  <c r="Y153" i="34"/>
  <c r="Y164" i="34"/>
  <c r="Y214" i="34"/>
  <c r="Y220" i="34"/>
  <c r="Y255" i="34"/>
  <c r="Y263" i="34"/>
  <c r="Y269" i="34"/>
  <c r="Y271" i="34"/>
  <c r="Y278" i="34"/>
  <c r="Y282" i="34"/>
  <c r="Y337" i="34"/>
  <c r="Y347" i="34"/>
  <c r="Y366" i="34"/>
  <c r="Y388" i="34"/>
  <c r="Y438" i="34"/>
  <c r="Y452" i="34"/>
  <c r="Y460" i="34"/>
  <c r="Y483" i="34"/>
  <c r="Z62" i="34"/>
  <c r="Z102" i="34"/>
  <c r="Z108" i="34"/>
  <c r="Z115" i="34"/>
  <c r="Z128" i="34"/>
  <c r="Z133" i="34"/>
  <c r="Z139" i="34"/>
  <c r="Z147" i="34"/>
  <c r="Z153" i="34"/>
  <c r="Z164" i="34"/>
  <c r="Z214" i="34"/>
  <c r="Z220" i="34"/>
  <c r="Z255" i="34"/>
  <c r="Z263" i="34"/>
  <c r="Z269" i="34"/>
  <c r="Z271" i="34"/>
  <c r="Z278" i="34"/>
  <c r="Z282" i="34"/>
  <c r="Z337" i="34"/>
  <c r="Z347" i="34"/>
  <c r="Z366" i="34"/>
  <c r="Z388" i="34"/>
  <c r="Z438" i="34"/>
  <c r="Z452" i="34"/>
  <c r="Z460" i="34"/>
  <c r="Z483" i="34"/>
  <c r="AA62" i="34"/>
  <c r="AA102" i="34"/>
  <c r="AA108" i="34"/>
  <c r="AA115" i="34"/>
  <c r="AA128" i="34"/>
  <c r="AA133" i="34"/>
  <c r="AA139" i="34"/>
  <c r="AA147" i="34"/>
  <c r="AA153" i="34"/>
  <c r="AA164" i="34"/>
  <c r="AA214" i="34"/>
  <c r="AA220" i="34"/>
  <c r="AA255" i="34"/>
  <c r="AA263" i="34"/>
  <c r="AA269" i="34"/>
  <c r="AA271" i="34"/>
  <c r="AA278" i="34"/>
  <c r="AA282" i="34"/>
  <c r="AA337" i="34"/>
  <c r="AA347" i="34"/>
  <c r="AA366" i="34"/>
  <c r="AA388" i="34"/>
  <c r="AA438" i="34"/>
  <c r="AA452" i="34"/>
  <c r="AA460" i="34"/>
  <c r="AA483" i="34"/>
  <c r="AB62" i="34"/>
  <c r="AB102" i="34"/>
  <c r="AB108" i="34"/>
  <c r="AB115" i="34"/>
  <c r="AB128" i="34"/>
  <c r="AB133" i="34"/>
  <c r="AB139" i="34"/>
  <c r="AB147" i="34"/>
  <c r="AB153" i="34"/>
  <c r="AB164" i="34"/>
  <c r="AB214" i="34"/>
  <c r="AB220" i="34"/>
  <c r="AB255" i="34"/>
  <c r="AB263" i="34"/>
  <c r="AB269" i="34"/>
  <c r="AB271" i="34"/>
  <c r="AB278" i="34"/>
  <c r="AB282" i="34"/>
  <c r="AB337" i="34"/>
  <c r="AB347" i="34"/>
  <c r="AB366" i="34"/>
  <c r="AB388" i="34"/>
  <c r="AB438" i="34"/>
  <c r="AB452" i="34"/>
  <c r="AB460" i="34"/>
  <c r="AB483" i="34"/>
  <c r="AC62" i="34"/>
  <c r="AC102" i="34"/>
  <c r="AC108" i="34"/>
  <c r="AC115" i="34"/>
  <c r="AC128" i="34"/>
  <c r="AC133" i="34"/>
  <c r="AC139" i="34"/>
  <c r="AC147" i="34"/>
  <c r="AC153" i="34"/>
  <c r="AC164" i="34"/>
  <c r="AC214" i="34"/>
  <c r="AC220" i="34"/>
  <c r="AC255" i="34"/>
  <c r="AC263" i="34"/>
  <c r="AC269" i="34"/>
  <c r="AC271" i="34"/>
  <c r="AC278" i="34"/>
  <c r="AC282" i="34"/>
  <c r="AC337" i="34"/>
  <c r="AC347" i="34"/>
  <c r="AC366" i="34"/>
  <c r="AC388" i="34"/>
  <c r="AC438" i="34"/>
  <c r="AC452" i="34"/>
  <c r="AC460" i="34"/>
  <c r="AC483" i="34"/>
  <c r="AD62" i="34"/>
  <c r="AD102" i="34"/>
  <c r="AD108" i="34"/>
  <c r="AD115" i="34"/>
  <c r="AD128" i="34"/>
  <c r="AD133" i="34"/>
  <c r="AD139" i="34"/>
  <c r="AD147" i="34"/>
  <c r="AD153" i="34"/>
  <c r="AD164" i="34"/>
  <c r="AD214" i="34"/>
  <c r="AD220" i="34"/>
  <c r="AD255" i="34"/>
  <c r="AD263" i="34"/>
  <c r="AD269" i="34"/>
  <c r="AD271" i="34"/>
  <c r="AD278" i="34"/>
  <c r="AD282" i="34"/>
  <c r="AD337" i="34"/>
  <c r="AD347" i="34"/>
  <c r="AD366" i="34"/>
  <c r="AD388" i="34"/>
  <c r="AD438" i="34"/>
  <c r="AD452" i="34"/>
  <c r="AD460" i="34"/>
  <c r="AD483" i="34"/>
  <c r="AE62" i="34"/>
  <c r="AE102" i="34"/>
  <c r="AE108" i="34"/>
  <c r="AE115" i="34"/>
  <c r="AE128" i="34"/>
  <c r="AE133" i="34"/>
  <c r="AE139" i="34"/>
  <c r="AE147" i="34"/>
  <c r="AE153" i="34"/>
  <c r="AE164" i="34"/>
  <c r="AE214" i="34"/>
  <c r="AE220" i="34"/>
  <c r="AE255" i="34"/>
  <c r="AE263" i="34"/>
  <c r="AE269" i="34"/>
  <c r="AE271" i="34"/>
  <c r="AE278" i="34"/>
  <c r="AE282" i="34"/>
  <c r="AE337" i="34"/>
  <c r="AE347" i="34"/>
  <c r="AE366" i="34"/>
  <c r="AE388" i="34"/>
  <c r="AE438" i="34"/>
  <c r="AE452" i="34"/>
  <c r="AE460" i="34"/>
  <c r="AE483" i="34"/>
  <c r="AF62" i="34"/>
  <c r="AF102" i="34"/>
  <c r="AF108" i="34"/>
  <c r="AF115" i="34"/>
  <c r="AF128" i="34"/>
  <c r="AF133" i="34"/>
  <c r="AF139" i="34"/>
  <c r="AF147" i="34"/>
  <c r="AF153" i="34"/>
  <c r="AF164" i="34"/>
  <c r="AF214" i="34"/>
  <c r="AF220" i="34"/>
  <c r="AF255" i="34"/>
  <c r="AF263" i="34"/>
  <c r="AF269" i="34"/>
  <c r="AF271" i="34"/>
  <c r="AF278" i="34"/>
  <c r="AF282" i="34"/>
  <c r="AF337" i="34"/>
  <c r="AF347" i="34"/>
  <c r="AF366" i="34"/>
  <c r="AF388" i="34"/>
  <c r="AF438" i="34"/>
  <c r="AF452" i="34"/>
  <c r="AF460" i="34"/>
  <c r="AF483" i="34"/>
  <c r="AG62" i="34"/>
  <c r="AG102" i="34"/>
  <c r="AG108" i="34"/>
  <c r="AG115" i="34"/>
  <c r="AG128" i="34"/>
  <c r="AG133" i="34"/>
  <c r="AG139" i="34"/>
  <c r="AG147" i="34"/>
  <c r="AG153" i="34"/>
  <c r="AG164" i="34"/>
  <c r="AG214" i="34"/>
  <c r="AG220" i="34"/>
  <c r="AG255" i="34"/>
  <c r="AG263" i="34"/>
  <c r="AG269" i="34"/>
  <c r="AG271" i="34"/>
  <c r="AG278" i="34"/>
  <c r="AG282" i="34"/>
  <c r="AG337" i="34"/>
  <c r="AG347" i="34"/>
  <c r="AG366" i="34"/>
  <c r="AG388" i="34"/>
  <c r="AG438" i="34"/>
  <c r="AG452" i="34"/>
  <c r="AG460" i="34"/>
  <c r="AG483" i="34"/>
  <c r="D49" i="34"/>
  <c r="D104" i="34"/>
  <c r="D116" i="34"/>
  <c r="D119" i="34"/>
  <c r="D122" i="34"/>
  <c r="D138" i="34"/>
  <c r="D143" i="34"/>
  <c r="D150" i="34"/>
  <c r="D182" i="34"/>
  <c r="D197" i="34"/>
  <c r="D243" i="34"/>
  <c r="D249" i="34"/>
  <c r="D252" i="34"/>
  <c r="D322" i="34"/>
  <c r="D325" i="34"/>
  <c r="D354" i="34"/>
  <c r="D371" i="34"/>
  <c r="D376" i="34"/>
  <c r="D404" i="34"/>
  <c r="D416" i="34"/>
  <c r="D451" i="34"/>
  <c r="D488" i="34"/>
  <c r="D500" i="34"/>
  <c r="D505" i="34"/>
  <c r="D508" i="34"/>
  <c r="D510" i="34"/>
  <c r="D515" i="34"/>
  <c r="D525" i="34"/>
  <c r="O49" i="34"/>
  <c r="O104" i="34"/>
  <c r="O116" i="34"/>
  <c r="O119" i="34"/>
  <c r="O122" i="34"/>
  <c r="O138" i="34"/>
  <c r="O143" i="34"/>
  <c r="O150" i="34"/>
  <c r="O182" i="34"/>
  <c r="O197" i="34"/>
  <c r="O243" i="34"/>
  <c r="O249" i="34"/>
  <c r="O252" i="34"/>
  <c r="O322" i="34"/>
  <c r="O325" i="34"/>
  <c r="O354" i="34"/>
  <c r="O371" i="34"/>
  <c r="O376" i="34"/>
  <c r="O404" i="34"/>
  <c r="O416" i="34"/>
  <c r="O451" i="34"/>
  <c r="O488" i="34"/>
  <c r="O500" i="34"/>
  <c r="O505" i="34"/>
  <c r="O508" i="34"/>
  <c r="O510" i="34"/>
  <c r="O515" i="34"/>
  <c r="O525" i="34"/>
  <c r="P49" i="34"/>
  <c r="P104" i="34"/>
  <c r="P116" i="34"/>
  <c r="P119" i="34"/>
  <c r="P122" i="34"/>
  <c r="P138" i="34"/>
  <c r="P143" i="34"/>
  <c r="P150" i="34"/>
  <c r="P182" i="34"/>
  <c r="P197" i="34"/>
  <c r="P243" i="34"/>
  <c r="P249" i="34"/>
  <c r="P252" i="34"/>
  <c r="P322" i="34"/>
  <c r="P325" i="34"/>
  <c r="P354" i="34"/>
  <c r="P371" i="34"/>
  <c r="P376" i="34"/>
  <c r="P404" i="34"/>
  <c r="P416" i="34"/>
  <c r="P451" i="34"/>
  <c r="P488" i="34"/>
  <c r="P500" i="34"/>
  <c r="P505" i="34"/>
  <c r="P508" i="34"/>
  <c r="P510" i="34"/>
  <c r="P515" i="34"/>
  <c r="P525" i="34"/>
  <c r="Q49" i="34"/>
  <c r="Q104" i="34"/>
  <c r="Q116" i="34"/>
  <c r="Q119" i="34"/>
  <c r="Q122" i="34"/>
  <c r="Q138" i="34"/>
  <c r="Q143" i="34"/>
  <c r="Q150" i="34"/>
  <c r="Q182" i="34"/>
  <c r="Q197" i="34"/>
  <c r="Q243" i="34"/>
  <c r="Q249" i="34"/>
  <c r="Q252" i="34"/>
  <c r="Q322" i="34"/>
  <c r="Q325" i="34"/>
  <c r="Q354" i="34"/>
  <c r="Q371" i="34"/>
  <c r="Q376" i="34"/>
  <c r="Q404" i="34"/>
  <c r="Q416" i="34"/>
  <c r="Q451" i="34"/>
  <c r="Q488" i="34"/>
  <c r="Q500" i="34"/>
  <c r="Q505" i="34"/>
  <c r="Q508" i="34"/>
  <c r="Q510" i="34"/>
  <c r="Q515" i="34"/>
  <c r="Q525" i="34"/>
  <c r="U49" i="34"/>
  <c r="U104" i="34"/>
  <c r="U116" i="34"/>
  <c r="U119" i="34"/>
  <c r="U122" i="34"/>
  <c r="U138" i="34"/>
  <c r="U143" i="34"/>
  <c r="U150" i="34"/>
  <c r="U182" i="34"/>
  <c r="U197" i="34"/>
  <c r="U243" i="34"/>
  <c r="U249" i="34"/>
  <c r="U252" i="34"/>
  <c r="U322" i="34"/>
  <c r="U325" i="34"/>
  <c r="U354" i="34"/>
  <c r="U371" i="34"/>
  <c r="U376" i="34"/>
  <c r="U404" i="34"/>
  <c r="U416" i="34"/>
  <c r="U451" i="34"/>
  <c r="U488" i="34"/>
  <c r="U500" i="34"/>
  <c r="U505" i="34"/>
  <c r="U508" i="34"/>
  <c r="U510" i="34"/>
  <c r="U515" i="34"/>
  <c r="U525" i="34"/>
  <c r="V49" i="34"/>
  <c r="V104" i="34"/>
  <c r="V116" i="34"/>
  <c r="V119" i="34"/>
  <c r="V122" i="34"/>
  <c r="V138" i="34"/>
  <c r="V143" i="34"/>
  <c r="V150" i="34"/>
  <c r="V182" i="34"/>
  <c r="V197" i="34"/>
  <c r="V243" i="34"/>
  <c r="V249" i="34"/>
  <c r="V252" i="34"/>
  <c r="V322" i="34"/>
  <c r="V325" i="34"/>
  <c r="V354" i="34"/>
  <c r="V371" i="34"/>
  <c r="V376" i="34"/>
  <c r="V404" i="34"/>
  <c r="V416" i="34"/>
  <c r="V451" i="34"/>
  <c r="V488" i="34"/>
  <c r="V500" i="34"/>
  <c r="V505" i="34"/>
  <c r="V508" i="34"/>
  <c r="V510" i="34"/>
  <c r="V515" i="34"/>
  <c r="V525" i="34"/>
  <c r="W49" i="34"/>
  <c r="W104" i="34"/>
  <c r="W116" i="34"/>
  <c r="W119" i="34"/>
  <c r="W122" i="34"/>
  <c r="W138" i="34"/>
  <c r="W143" i="34"/>
  <c r="W150" i="34"/>
  <c r="W182" i="34"/>
  <c r="W197" i="34"/>
  <c r="W243" i="34"/>
  <c r="W249" i="34"/>
  <c r="W252" i="34"/>
  <c r="W322" i="34"/>
  <c r="W325" i="34"/>
  <c r="W354" i="34"/>
  <c r="W371" i="34"/>
  <c r="W376" i="34"/>
  <c r="W404" i="34"/>
  <c r="W416" i="34"/>
  <c r="W451" i="34"/>
  <c r="W488" i="34"/>
  <c r="W500" i="34"/>
  <c r="W505" i="34"/>
  <c r="W508" i="34"/>
  <c r="W510" i="34"/>
  <c r="W515" i="34"/>
  <c r="W525" i="34"/>
  <c r="X49" i="34"/>
  <c r="X104" i="34"/>
  <c r="X116" i="34"/>
  <c r="X119" i="34"/>
  <c r="X122" i="34"/>
  <c r="X138" i="34"/>
  <c r="X143" i="34"/>
  <c r="X150" i="34"/>
  <c r="X182" i="34"/>
  <c r="X197" i="34"/>
  <c r="X243" i="34"/>
  <c r="X249" i="34"/>
  <c r="X252" i="34"/>
  <c r="X322" i="34"/>
  <c r="X325" i="34"/>
  <c r="X354" i="34"/>
  <c r="X371" i="34"/>
  <c r="X376" i="34"/>
  <c r="X404" i="34"/>
  <c r="X416" i="34"/>
  <c r="X451" i="34"/>
  <c r="X488" i="34"/>
  <c r="X500" i="34"/>
  <c r="X505" i="34"/>
  <c r="X508" i="34"/>
  <c r="X510" i="34"/>
  <c r="X515" i="34"/>
  <c r="X525" i="34"/>
  <c r="Y49" i="34"/>
  <c r="Y104" i="34"/>
  <c r="Y116" i="34"/>
  <c r="Y119" i="34"/>
  <c r="Y122" i="34"/>
  <c r="Y138" i="34"/>
  <c r="Y143" i="34"/>
  <c r="Y150" i="34"/>
  <c r="Y182" i="34"/>
  <c r="Y197" i="34"/>
  <c r="Y243" i="34"/>
  <c r="Y249" i="34"/>
  <c r="Y252" i="34"/>
  <c r="Y322" i="34"/>
  <c r="Y325" i="34"/>
  <c r="Y354" i="34"/>
  <c r="Y371" i="34"/>
  <c r="Y376" i="34"/>
  <c r="Y404" i="34"/>
  <c r="Y416" i="34"/>
  <c r="Y451" i="34"/>
  <c r="Y488" i="34"/>
  <c r="Y500" i="34"/>
  <c r="Y505" i="34"/>
  <c r="Y508" i="34"/>
  <c r="Y510" i="34"/>
  <c r="Y515" i="34"/>
  <c r="Y525" i="34"/>
  <c r="Z49" i="34"/>
  <c r="Z104" i="34"/>
  <c r="Z116" i="34"/>
  <c r="Z119" i="34"/>
  <c r="Z122" i="34"/>
  <c r="Z138" i="34"/>
  <c r="Z143" i="34"/>
  <c r="Z150" i="34"/>
  <c r="Z182" i="34"/>
  <c r="Z197" i="34"/>
  <c r="Z243" i="34"/>
  <c r="Z249" i="34"/>
  <c r="Z252" i="34"/>
  <c r="Z322" i="34"/>
  <c r="Z325" i="34"/>
  <c r="Z354" i="34"/>
  <c r="Z371" i="34"/>
  <c r="Z376" i="34"/>
  <c r="Z404" i="34"/>
  <c r="Z416" i="34"/>
  <c r="Z451" i="34"/>
  <c r="Z488" i="34"/>
  <c r="Z500" i="34"/>
  <c r="Z505" i="34"/>
  <c r="Z508" i="34"/>
  <c r="Z510" i="34"/>
  <c r="Z515" i="34"/>
  <c r="Z525" i="34"/>
  <c r="AA49" i="34"/>
  <c r="AA104" i="34"/>
  <c r="AA116" i="34"/>
  <c r="AA119" i="34"/>
  <c r="AA122" i="34"/>
  <c r="AA138" i="34"/>
  <c r="AA143" i="34"/>
  <c r="AA150" i="34"/>
  <c r="AA182" i="34"/>
  <c r="AA197" i="34"/>
  <c r="AA243" i="34"/>
  <c r="AA249" i="34"/>
  <c r="AA252" i="34"/>
  <c r="AA322" i="34"/>
  <c r="AA325" i="34"/>
  <c r="AA354" i="34"/>
  <c r="AA371" i="34"/>
  <c r="AA376" i="34"/>
  <c r="AA404" i="34"/>
  <c r="AA416" i="34"/>
  <c r="AA451" i="34"/>
  <c r="AA488" i="34"/>
  <c r="AA500" i="34"/>
  <c r="AA505" i="34"/>
  <c r="AA508" i="34"/>
  <c r="AA510" i="34"/>
  <c r="AA515" i="34"/>
  <c r="AA525" i="34"/>
  <c r="AB49" i="34"/>
  <c r="AB104" i="34"/>
  <c r="AB116" i="34"/>
  <c r="AB119" i="34"/>
  <c r="AB122" i="34"/>
  <c r="AB138" i="34"/>
  <c r="AB143" i="34"/>
  <c r="AB150" i="34"/>
  <c r="AB182" i="34"/>
  <c r="AB197" i="34"/>
  <c r="AB243" i="34"/>
  <c r="AB249" i="34"/>
  <c r="AB252" i="34"/>
  <c r="AB322" i="34"/>
  <c r="AB325" i="34"/>
  <c r="AB354" i="34"/>
  <c r="AB371" i="34"/>
  <c r="AB376" i="34"/>
  <c r="AB404" i="34"/>
  <c r="AB416" i="34"/>
  <c r="AB451" i="34"/>
  <c r="AB488" i="34"/>
  <c r="AB500" i="34"/>
  <c r="AB505" i="34"/>
  <c r="AB508" i="34"/>
  <c r="AB510" i="34"/>
  <c r="AB515" i="34"/>
  <c r="AB525" i="34"/>
  <c r="AC49" i="34"/>
  <c r="AC104" i="34"/>
  <c r="AC116" i="34"/>
  <c r="AC119" i="34"/>
  <c r="AC122" i="34"/>
  <c r="AC138" i="34"/>
  <c r="AC143" i="34"/>
  <c r="AC150" i="34"/>
  <c r="AC182" i="34"/>
  <c r="AC197" i="34"/>
  <c r="AC243" i="34"/>
  <c r="AC249" i="34"/>
  <c r="AC252" i="34"/>
  <c r="AC322" i="34"/>
  <c r="AC325" i="34"/>
  <c r="AC354" i="34"/>
  <c r="AC371" i="34"/>
  <c r="AC376" i="34"/>
  <c r="AC404" i="34"/>
  <c r="AC416" i="34"/>
  <c r="AC451" i="34"/>
  <c r="AC488" i="34"/>
  <c r="AC500" i="34"/>
  <c r="AC505" i="34"/>
  <c r="AC508" i="34"/>
  <c r="AC510" i="34"/>
  <c r="AC515" i="34"/>
  <c r="AC525" i="34"/>
  <c r="AD49" i="34"/>
  <c r="AD104" i="34"/>
  <c r="AD116" i="34"/>
  <c r="AD119" i="34"/>
  <c r="AD122" i="34"/>
  <c r="AD138" i="34"/>
  <c r="AD143" i="34"/>
  <c r="AD150" i="34"/>
  <c r="AD182" i="34"/>
  <c r="AD197" i="34"/>
  <c r="AD243" i="34"/>
  <c r="AD249" i="34"/>
  <c r="AD252" i="34"/>
  <c r="AD322" i="34"/>
  <c r="AD325" i="34"/>
  <c r="AD354" i="34"/>
  <c r="AD371" i="34"/>
  <c r="AD376" i="34"/>
  <c r="AD404" i="34"/>
  <c r="AD416" i="34"/>
  <c r="AD451" i="34"/>
  <c r="AD488" i="34"/>
  <c r="AD500" i="34"/>
  <c r="AD505" i="34"/>
  <c r="AD508" i="34"/>
  <c r="AD510" i="34"/>
  <c r="AD515" i="34"/>
  <c r="AD525" i="34"/>
  <c r="AE49" i="34"/>
  <c r="AE104" i="34"/>
  <c r="AE116" i="34"/>
  <c r="AE119" i="34"/>
  <c r="AE122" i="34"/>
  <c r="AE138" i="34"/>
  <c r="AE143" i="34"/>
  <c r="AE150" i="34"/>
  <c r="AE182" i="34"/>
  <c r="AE197" i="34"/>
  <c r="AE243" i="34"/>
  <c r="AE249" i="34"/>
  <c r="AE252" i="34"/>
  <c r="AE322" i="34"/>
  <c r="AE325" i="34"/>
  <c r="AE354" i="34"/>
  <c r="AE371" i="34"/>
  <c r="AE376" i="34"/>
  <c r="AE404" i="34"/>
  <c r="AE416" i="34"/>
  <c r="AE451" i="34"/>
  <c r="AE488" i="34"/>
  <c r="AE500" i="34"/>
  <c r="AE505" i="34"/>
  <c r="AE508" i="34"/>
  <c r="AE510" i="34"/>
  <c r="AE515" i="34"/>
  <c r="AE525" i="34"/>
  <c r="AF49" i="34"/>
  <c r="AF104" i="34"/>
  <c r="AF116" i="34"/>
  <c r="AF119" i="34"/>
  <c r="AF122" i="34"/>
  <c r="AF138" i="34"/>
  <c r="AF143" i="34"/>
  <c r="AF150" i="34"/>
  <c r="AF182" i="34"/>
  <c r="AF197" i="34"/>
  <c r="AF243" i="34"/>
  <c r="AF249" i="34"/>
  <c r="AF252" i="34"/>
  <c r="AF322" i="34"/>
  <c r="AF325" i="34"/>
  <c r="AF354" i="34"/>
  <c r="AF371" i="34"/>
  <c r="AF376" i="34"/>
  <c r="AF404" i="34"/>
  <c r="AF416" i="34"/>
  <c r="AF451" i="34"/>
  <c r="AF488" i="34"/>
  <c r="AF500" i="34"/>
  <c r="AF505" i="34"/>
  <c r="AF508" i="34"/>
  <c r="AF510" i="34"/>
  <c r="AF515" i="34"/>
  <c r="AF525" i="34"/>
  <c r="AG49" i="34"/>
  <c r="AG104" i="34"/>
  <c r="AG116" i="34"/>
  <c r="AG119" i="34"/>
  <c r="AG122" i="34"/>
  <c r="AG138" i="34"/>
  <c r="AG143" i="34"/>
  <c r="AG150" i="34"/>
  <c r="AG182" i="34"/>
  <c r="AG197" i="34"/>
  <c r="AG243" i="34"/>
  <c r="AG249" i="34"/>
  <c r="AG252" i="34"/>
  <c r="AG322" i="34"/>
  <c r="AG325" i="34"/>
  <c r="AG354" i="34"/>
  <c r="AG371" i="34"/>
  <c r="AG376" i="34"/>
  <c r="AG404" i="34"/>
  <c r="AG416" i="34"/>
  <c r="AG451" i="34"/>
  <c r="AG488" i="34"/>
  <c r="AG500" i="34"/>
  <c r="AG505" i="34"/>
  <c r="AG508" i="34"/>
  <c r="AG510" i="34"/>
  <c r="AG515" i="34"/>
  <c r="AG525" i="34"/>
  <c r="D55" i="34"/>
  <c r="D105" i="34"/>
  <c r="D117" i="34"/>
  <c r="D131" i="34"/>
  <c r="D183" i="34"/>
  <c r="D205" i="34"/>
  <c r="D308" i="34"/>
  <c r="D383" i="34"/>
  <c r="D456" i="34"/>
  <c r="D507" i="34"/>
  <c r="D531" i="34"/>
  <c r="O55" i="34"/>
  <c r="O105" i="34"/>
  <c r="O117" i="34"/>
  <c r="O131" i="34"/>
  <c r="O183" i="34"/>
  <c r="O205" i="34"/>
  <c r="O308" i="34"/>
  <c r="O383" i="34"/>
  <c r="O456" i="34"/>
  <c r="O507" i="34"/>
  <c r="O531" i="34"/>
  <c r="P55" i="34"/>
  <c r="P105" i="34"/>
  <c r="P117" i="34"/>
  <c r="P131" i="34"/>
  <c r="P183" i="34"/>
  <c r="P205" i="34"/>
  <c r="P308" i="34"/>
  <c r="P383" i="34"/>
  <c r="P456" i="34"/>
  <c r="P507" i="34"/>
  <c r="P531" i="34"/>
  <c r="Q55" i="34"/>
  <c r="Q105" i="34"/>
  <c r="Q117" i="34"/>
  <c r="Q131" i="34"/>
  <c r="Q183" i="34"/>
  <c r="Q205" i="34"/>
  <c r="Q308" i="34"/>
  <c r="Q383" i="34"/>
  <c r="Q456" i="34"/>
  <c r="Q507" i="34"/>
  <c r="Q531" i="34"/>
  <c r="U55" i="34"/>
  <c r="U105" i="34"/>
  <c r="U117" i="34"/>
  <c r="U131" i="34"/>
  <c r="U183" i="34"/>
  <c r="U205" i="34"/>
  <c r="U308" i="34"/>
  <c r="U383" i="34"/>
  <c r="U456" i="34"/>
  <c r="U507" i="34"/>
  <c r="U531" i="34"/>
  <c r="V55" i="34"/>
  <c r="V105" i="34"/>
  <c r="V117" i="34"/>
  <c r="V131" i="34"/>
  <c r="V183" i="34"/>
  <c r="V205" i="34"/>
  <c r="V308" i="34"/>
  <c r="V383" i="34"/>
  <c r="V456" i="34"/>
  <c r="V507" i="34"/>
  <c r="V531" i="34"/>
  <c r="W55" i="34"/>
  <c r="W105" i="34"/>
  <c r="W117" i="34"/>
  <c r="W131" i="34"/>
  <c r="W183" i="34"/>
  <c r="W205" i="34"/>
  <c r="W308" i="34"/>
  <c r="W383" i="34"/>
  <c r="W456" i="34"/>
  <c r="W507" i="34"/>
  <c r="W531" i="34"/>
  <c r="X55" i="34"/>
  <c r="X105" i="34"/>
  <c r="X117" i="34"/>
  <c r="X131" i="34"/>
  <c r="X183" i="34"/>
  <c r="X205" i="34"/>
  <c r="X308" i="34"/>
  <c r="X383" i="34"/>
  <c r="X456" i="34"/>
  <c r="X507" i="34"/>
  <c r="X531" i="34"/>
  <c r="Y55" i="34"/>
  <c r="Y105" i="34"/>
  <c r="Y117" i="34"/>
  <c r="Y131" i="34"/>
  <c r="Y183" i="34"/>
  <c r="Y205" i="34"/>
  <c r="Y308" i="34"/>
  <c r="Y383" i="34"/>
  <c r="Y456" i="34"/>
  <c r="Y507" i="34"/>
  <c r="Y531" i="34"/>
  <c r="Z55" i="34"/>
  <c r="Z105" i="34"/>
  <c r="Z117" i="34"/>
  <c r="Z131" i="34"/>
  <c r="Z183" i="34"/>
  <c r="Z205" i="34"/>
  <c r="Z308" i="34"/>
  <c r="Z383" i="34"/>
  <c r="Z456" i="34"/>
  <c r="Z507" i="34"/>
  <c r="Z531" i="34"/>
  <c r="AA55" i="34"/>
  <c r="AA105" i="34"/>
  <c r="AA117" i="34"/>
  <c r="AA131" i="34"/>
  <c r="AA183" i="34"/>
  <c r="AA205" i="34"/>
  <c r="AA308" i="34"/>
  <c r="AA383" i="34"/>
  <c r="AA456" i="34"/>
  <c r="AA507" i="34"/>
  <c r="AA531" i="34"/>
  <c r="AB55" i="34"/>
  <c r="AB105" i="34"/>
  <c r="AB117" i="34"/>
  <c r="AB131" i="34"/>
  <c r="AB183" i="34"/>
  <c r="AB205" i="34"/>
  <c r="AB308" i="34"/>
  <c r="AB383" i="34"/>
  <c r="AB456" i="34"/>
  <c r="AB507" i="34"/>
  <c r="AB531" i="34"/>
  <c r="AC55" i="34"/>
  <c r="AC105" i="34"/>
  <c r="AC117" i="34"/>
  <c r="AC131" i="34"/>
  <c r="AC183" i="34"/>
  <c r="AC205" i="34"/>
  <c r="AC308" i="34"/>
  <c r="AC383" i="34"/>
  <c r="AC456" i="34"/>
  <c r="AC507" i="34"/>
  <c r="AC531" i="34"/>
  <c r="AD55" i="34"/>
  <c r="AD105" i="34"/>
  <c r="AD117" i="34"/>
  <c r="AD131" i="34"/>
  <c r="AD183" i="34"/>
  <c r="AD205" i="34"/>
  <c r="AD308" i="34"/>
  <c r="AD383" i="34"/>
  <c r="AD456" i="34"/>
  <c r="AD507" i="34"/>
  <c r="AD531" i="34"/>
  <c r="AE55" i="34"/>
  <c r="AE105" i="34"/>
  <c r="AE117" i="34"/>
  <c r="AE131" i="34"/>
  <c r="AE183" i="34"/>
  <c r="AE205" i="34"/>
  <c r="AE308" i="34"/>
  <c r="AE383" i="34"/>
  <c r="AE456" i="34"/>
  <c r="AE507" i="34"/>
  <c r="AE531" i="34"/>
  <c r="AF55" i="34"/>
  <c r="AF105" i="34"/>
  <c r="AF117" i="34"/>
  <c r="AF131" i="34"/>
  <c r="AF183" i="34"/>
  <c r="AF205" i="34"/>
  <c r="AF308" i="34"/>
  <c r="AF383" i="34"/>
  <c r="AF456" i="34"/>
  <c r="AF507" i="34"/>
  <c r="AF531" i="34"/>
  <c r="AG55" i="34"/>
  <c r="AG105" i="34"/>
  <c r="AG117" i="34"/>
  <c r="AG131" i="34"/>
  <c r="AG183" i="34"/>
  <c r="AG205" i="34"/>
  <c r="AG308" i="34"/>
  <c r="AG383" i="34"/>
  <c r="AG456" i="34"/>
  <c r="AG507" i="34"/>
  <c r="AG531" i="34"/>
  <c r="D19" i="34"/>
  <c r="D47" i="34"/>
  <c r="D60" i="34"/>
  <c r="D83" i="34"/>
  <c r="D85" i="34"/>
  <c r="D94" i="34"/>
  <c r="D101" i="34"/>
  <c r="D113" i="34"/>
  <c r="D162" i="34"/>
  <c r="D185" i="34"/>
  <c r="D187" i="34"/>
  <c r="D193" i="34"/>
  <c r="D199" i="34"/>
  <c r="D204" i="34"/>
  <c r="D209" i="34"/>
  <c r="D215" i="34"/>
  <c r="D218" i="34"/>
  <c r="D222" i="34"/>
  <c r="D232" i="34"/>
  <c r="D241" i="34"/>
  <c r="D258" i="34"/>
  <c r="D289" i="34"/>
  <c r="D314" i="34"/>
  <c r="D323" i="34"/>
  <c r="D331" i="34"/>
  <c r="D349" i="34"/>
  <c r="D377" i="34"/>
  <c r="D453" i="34"/>
  <c r="D481" i="34"/>
  <c r="D518" i="34"/>
  <c r="D530" i="34"/>
  <c r="D549" i="34"/>
  <c r="O19" i="34"/>
  <c r="O47" i="34"/>
  <c r="O60" i="34"/>
  <c r="O83" i="34"/>
  <c r="O85" i="34"/>
  <c r="O94" i="34"/>
  <c r="O101" i="34"/>
  <c r="O113" i="34"/>
  <c r="O162" i="34"/>
  <c r="O185" i="34"/>
  <c r="O187" i="34"/>
  <c r="O193" i="34"/>
  <c r="O199" i="34"/>
  <c r="O204" i="34"/>
  <c r="O209" i="34"/>
  <c r="O215" i="34"/>
  <c r="O218" i="34"/>
  <c r="O222" i="34"/>
  <c r="O232" i="34"/>
  <c r="O241" i="34"/>
  <c r="O258" i="34"/>
  <c r="O289" i="34"/>
  <c r="O314" i="34"/>
  <c r="O323" i="34"/>
  <c r="O331" i="34"/>
  <c r="O349" i="34"/>
  <c r="O377" i="34"/>
  <c r="O453" i="34"/>
  <c r="O481" i="34"/>
  <c r="O518" i="34"/>
  <c r="O530" i="34"/>
  <c r="O549" i="34"/>
  <c r="P19" i="34"/>
  <c r="P47" i="34"/>
  <c r="P60" i="34"/>
  <c r="P83" i="34"/>
  <c r="P85" i="34"/>
  <c r="P94" i="34"/>
  <c r="P101" i="34"/>
  <c r="P113" i="34"/>
  <c r="P162" i="34"/>
  <c r="P185" i="34"/>
  <c r="P187" i="34"/>
  <c r="P193" i="34"/>
  <c r="P199" i="34"/>
  <c r="P204" i="34"/>
  <c r="P209" i="34"/>
  <c r="P215" i="34"/>
  <c r="P218" i="34"/>
  <c r="P222" i="34"/>
  <c r="P232" i="34"/>
  <c r="P241" i="34"/>
  <c r="P258" i="34"/>
  <c r="P289" i="34"/>
  <c r="P314" i="34"/>
  <c r="P323" i="34"/>
  <c r="P331" i="34"/>
  <c r="P349" i="34"/>
  <c r="P377" i="34"/>
  <c r="P453" i="34"/>
  <c r="P481" i="34"/>
  <c r="P518" i="34"/>
  <c r="P530" i="34"/>
  <c r="P549" i="34"/>
  <c r="Q19" i="34"/>
  <c r="Q47" i="34"/>
  <c r="Q60" i="34"/>
  <c r="Q83" i="34"/>
  <c r="Q85" i="34"/>
  <c r="Q94" i="34"/>
  <c r="Q101" i="34"/>
  <c r="Q113" i="34"/>
  <c r="Q162" i="34"/>
  <c r="Q185" i="34"/>
  <c r="Q187" i="34"/>
  <c r="Q193" i="34"/>
  <c r="Q199" i="34"/>
  <c r="Q204" i="34"/>
  <c r="Q209" i="34"/>
  <c r="Q215" i="34"/>
  <c r="Q218" i="34"/>
  <c r="Q222" i="34"/>
  <c r="Q232" i="34"/>
  <c r="Q241" i="34"/>
  <c r="Q258" i="34"/>
  <c r="Q289" i="34"/>
  <c r="Q314" i="34"/>
  <c r="Q323" i="34"/>
  <c r="Q331" i="34"/>
  <c r="Q349" i="34"/>
  <c r="Q377" i="34"/>
  <c r="Q453" i="34"/>
  <c r="Q481" i="34"/>
  <c r="Q518" i="34"/>
  <c r="Q530" i="34"/>
  <c r="Q549" i="34"/>
  <c r="U19" i="34"/>
  <c r="U47" i="34"/>
  <c r="U60" i="34"/>
  <c r="U83" i="34"/>
  <c r="U85" i="34"/>
  <c r="U94" i="34"/>
  <c r="U101" i="34"/>
  <c r="U113" i="34"/>
  <c r="U162" i="34"/>
  <c r="U185" i="34"/>
  <c r="U187" i="34"/>
  <c r="U193" i="34"/>
  <c r="U199" i="34"/>
  <c r="U204" i="34"/>
  <c r="U209" i="34"/>
  <c r="U215" i="34"/>
  <c r="U218" i="34"/>
  <c r="U222" i="34"/>
  <c r="U232" i="34"/>
  <c r="U241" i="34"/>
  <c r="U258" i="34"/>
  <c r="U289" i="34"/>
  <c r="U314" i="34"/>
  <c r="U323" i="34"/>
  <c r="U331" i="34"/>
  <c r="U349" i="34"/>
  <c r="U377" i="34"/>
  <c r="U453" i="34"/>
  <c r="U481" i="34"/>
  <c r="U518" i="34"/>
  <c r="U530" i="34"/>
  <c r="U549" i="34"/>
  <c r="V19" i="34"/>
  <c r="V47" i="34"/>
  <c r="V60" i="34"/>
  <c r="V83" i="34"/>
  <c r="V85" i="34"/>
  <c r="V94" i="34"/>
  <c r="V101" i="34"/>
  <c r="V113" i="34"/>
  <c r="V162" i="34"/>
  <c r="V185" i="34"/>
  <c r="V187" i="34"/>
  <c r="V193" i="34"/>
  <c r="V199" i="34"/>
  <c r="V204" i="34"/>
  <c r="V209" i="34"/>
  <c r="V215" i="34"/>
  <c r="V218" i="34"/>
  <c r="V222" i="34"/>
  <c r="V232" i="34"/>
  <c r="V241" i="34"/>
  <c r="V258" i="34"/>
  <c r="V289" i="34"/>
  <c r="V314" i="34"/>
  <c r="V323" i="34"/>
  <c r="V331" i="34"/>
  <c r="V349" i="34"/>
  <c r="V377" i="34"/>
  <c r="V453" i="34"/>
  <c r="V481" i="34"/>
  <c r="V518" i="34"/>
  <c r="V530" i="34"/>
  <c r="V549" i="34"/>
  <c r="W19" i="34"/>
  <c r="W47" i="34"/>
  <c r="W60" i="34"/>
  <c r="W83" i="34"/>
  <c r="W85" i="34"/>
  <c r="W94" i="34"/>
  <c r="W101" i="34"/>
  <c r="W113" i="34"/>
  <c r="W162" i="34"/>
  <c r="W185" i="34"/>
  <c r="W187" i="34"/>
  <c r="W193" i="34"/>
  <c r="W199" i="34"/>
  <c r="W204" i="34"/>
  <c r="W209" i="34"/>
  <c r="W215" i="34"/>
  <c r="W218" i="34"/>
  <c r="W222" i="34"/>
  <c r="W232" i="34"/>
  <c r="W241" i="34"/>
  <c r="W258" i="34"/>
  <c r="W289" i="34"/>
  <c r="W314" i="34"/>
  <c r="W323" i="34"/>
  <c r="W331" i="34"/>
  <c r="W349" i="34"/>
  <c r="W377" i="34"/>
  <c r="W453" i="34"/>
  <c r="W481" i="34"/>
  <c r="W518" i="34"/>
  <c r="W530" i="34"/>
  <c r="W549" i="34"/>
  <c r="X19" i="34"/>
  <c r="X47" i="34"/>
  <c r="X60" i="34"/>
  <c r="X83" i="34"/>
  <c r="X85" i="34"/>
  <c r="X94" i="34"/>
  <c r="X101" i="34"/>
  <c r="X113" i="34"/>
  <c r="X162" i="34"/>
  <c r="X185" i="34"/>
  <c r="X187" i="34"/>
  <c r="X193" i="34"/>
  <c r="X199" i="34"/>
  <c r="X204" i="34"/>
  <c r="X209" i="34"/>
  <c r="X215" i="34"/>
  <c r="X218" i="34"/>
  <c r="X222" i="34"/>
  <c r="X232" i="34"/>
  <c r="X241" i="34"/>
  <c r="X258" i="34"/>
  <c r="X289" i="34"/>
  <c r="X314" i="34"/>
  <c r="X323" i="34"/>
  <c r="X331" i="34"/>
  <c r="X349" i="34"/>
  <c r="X377" i="34"/>
  <c r="X453" i="34"/>
  <c r="X481" i="34"/>
  <c r="X518" i="34"/>
  <c r="X530" i="34"/>
  <c r="X549" i="34"/>
  <c r="Y19" i="34"/>
  <c r="Y47" i="34"/>
  <c r="Y60" i="34"/>
  <c r="Y83" i="34"/>
  <c r="Y85" i="34"/>
  <c r="Y94" i="34"/>
  <c r="Y101" i="34"/>
  <c r="Y113" i="34"/>
  <c r="Y162" i="34"/>
  <c r="Y185" i="34"/>
  <c r="Y187" i="34"/>
  <c r="Y193" i="34"/>
  <c r="Y199" i="34"/>
  <c r="Y204" i="34"/>
  <c r="Y209" i="34"/>
  <c r="Y215" i="34"/>
  <c r="Y218" i="34"/>
  <c r="Y222" i="34"/>
  <c r="Y232" i="34"/>
  <c r="Y241" i="34"/>
  <c r="Y258" i="34"/>
  <c r="Y289" i="34"/>
  <c r="Y314" i="34"/>
  <c r="Y323" i="34"/>
  <c r="Y331" i="34"/>
  <c r="Y349" i="34"/>
  <c r="Y377" i="34"/>
  <c r="Y453" i="34"/>
  <c r="Y481" i="34"/>
  <c r="Y518" i="34"/>
  <c r="Y530" i="34"/>
  <c r="Y549" i="34"/>
  <c r="Z19" i="34"/>
  <c r="Z47" i="34"/>
  <c r="Z60" i="34"/>
  <c r="Z83" i="34"/>
  <c r="Z85" i="34"/>
  <c r="Z94" i="34"/>
  <c r="Z101" i="34"/>
  <c r="Z113" i="34"/>
  <c r="Z162" i="34"/>
  <c r="Z185" i="34"/>
  <c r="Z187" i="34"/>
  <c r="Z193" i="34"/>
  <c r="Z199" i="34"/>
  <c r="Z204" i="34"/>
  <c r="Z209" i="34"/>
  <c r="Z215" i="34"/>
  <c r="Z218" i="34"/>
  <c r="Z222" i="34"/>
  <c r="Z232" i="34"/>
  <c r="Z241" i="34"/>
  <c r="Z258" i="34"/>
  <c r="Z289" i="34"/>
  <c r="Z314" i="34"/>
  <c r="Z323" i="34"/>
  <c r="Z331" i="34"/>
  <c r="Z349" i="34"/>
  <c r="Z377" i="34"/>
  <c r="Z453" i="34"/>
  <c r="Z481" i="34"/>
  <c r="Z518" i="34"/>
  <c r="Z530" i="34"/>
  <c r="Z549" i="34"/>
  <c r="AA19" i="34"/>
  <c r="AA47" i="34"/>
  <c r="AA60" i="34"/>
  <c r="AA83" i="34"/>
  <c r="AA85" i="34"/>
  <c r="AA94" i="34"/>
  <c r="AA101" i="34"/>
  <c r="AA113" i="34"/>
  <c r="AA162" i="34"/>
  <c r="AA185" i="34"/>
  <c r="AA187" i="34"/>
  <c r="AA193" i="34"/>
  <c r="AA199" i="34"/>
  <c r="AA204" i="34"/>
  <c r="AA209" i="34"/>
  <c r="AA215" i="34"/>
  <c r="AA218" i="34"/>
  <c r="AA222" i="34"/>
  <c r="AA232" i="34"/>
  <c r="AA241" i="34"/>
  <c r="AA258" i="34"/>
  <c r="AA289" i="34"/>
  <c r="AA314" i="34"/>
  <c r="AA323" i="34"/>
  <c r="AA331" i="34"/>
  <c r="AA349" i="34"/>
  <c r="AA377" i="34"/>
  <c r="AA453" i="34"/>
  <c r="AA481" i="34"/>
  <c r="AA518" i="34"/>
  <c r="AA530" i="34"/>
  <c r="AA549" i="34"/>
  <c r="AB19" i="34"/>
  <c r="AB47" i="34"/>
  <c r="AB60" i="34"/>
  <c r="AB83" i="34"/>
  <c r="AB85" i="34"/>
  <c r="AB94" i="34"/>
  <c r="AB101" i="34"/>
  <c r="AB113" i="34"/>
  <c r="AB162" i="34"/>
  <c r="AB185" i="34"/>
  <c r="AB187" i="34"/>
  <c r="AB193" i="34"/>
  <c r="AB199" i="34"/>
  <c r="AB204" i="34"/>
  <c r="AB209" i="34"/>
  <c r="AB215" i="34"/>
  <c r="AB218" i="34"/>
  <c r="AB222" i="34"/>
  <c r="AB232" i="34"/>
  <c r="AB241" i="34"/>
  <c r="AB258" i="34"/>
  <c r="AB289" i="34"/>
  <c r="AB314" i="34"/>
  <c r="AB323" i="34"/>
  <c r="AB331" i="34"/>
  <c r="AB349" i="34"/>
  <c r="AB377" i="34"/>
  <c r="AB453" i="34"/>
  <c r="AB481" i="34"/>
  <c r="AB518" i="34"/>
  <c r="AB530" i="34"/>
  <c r="AB549" i="34"/>
  <c r="AC19" i="34"/>
  <c r="AC47" i="34"/>
  <c r="AC60" i="34"/>
  <c r="AC83" i="34"/>
  <c r="AC85" i="34"/>
  <c r="AC94" i="34"/>
  <c r="AC101" i="34"/>
  <c r="AC113" i="34"/>
  <c r="AC162" i="34"/>
  <c r="AC185" i="34"/>
  <c r="AC187" i="34"/>
  <c r="AC193" i="34"/>
  <c r="AC199" i="34"/>
  <c r="AC204" i="34"/>
  <c r="AC209" i="34"/>
  <c r="AC215" i="34"/>
  <c r="AC218" i="34"/>
  <c r="AC222" i="34"/>
  <c r="AC232" i="34"/>
  <c r="AC241" i="34"/>
  <c r="AC258" i="34"/>
  <c r="AC289" i="34"/>
  <c r="AC314" i="34"/>
  <c r="AC323" i="34"/>
  <c r="AC331" i="34"/>
  <c r="AC349" i="34"/>
  <c r="AC377" i="34"/>
  <c r="AC453" i="34"/>
  <c r="AC481" i="34"/>
  <c r="AC518" i="34"/>
  <c r="AC530" i="34"/>
  <c r="AC549" i="34"/>
  <c r="AD19" i="34"/>
  <c r="AD47" i="34"/>
  <c r="AD60" i="34"/>
  <c r="AD83" i="34"/>
  <c r="AD85" i="34"/>
  <c r="AD94" i="34"/>
  <c r="AD101" i="34"/>
  <c r="AD113" i="34"/>
  <c r="AD162" i="34"/>
  <c r="AD185" i="34"/>
  <c r="AD187" i="34"/>
  <c r="AD193" i="34"/>
  <c r="AD199" i="34"/>
  <c r="AD204" i="34"/>
  <c r="AD209" i="34"/>
  <c r="AD215" i="34"/>
  <c r="AD218" i="34"/>
  <c r="AD222" i="34"/>
  <c r="AD232" i="34"/>
  <c r="AD241" i="34"/>
  <c r="AD258" i="34"/>
  <c r="AD289" i="34"/>
  <c r="AD314" i="34"/>
  <c r="AD323" i="34"/>
  <c r="AD331" i="34"/>
  <c r="AD349" i="34"/>
  <c r="AD377" i="34"/>
  <c r="AD453" i="34"/>
  <c r="AD481" i="34"/>
  <c r="AD518" i="34"/>
  <c r="AD530" i="34"/>
  <c r="AD549" i="34"/>
  <c r="AE19" i="34"/>
  <c r="AE47" i="34"/>
  <c r="AE60" i="34"/>
  <c r="AE83" i="34"/>
  <c r="AE85" i="34"/>
  <c r="AE94" i="34"/>
  <c r="AE101" i="34"/>
  <c r="AE113" i="34"/>
  <c r="AE162" i="34"/>
  <c r="AE185" i="34"/>
  <c r="AE187" i="34"/>
  <c r="AE193" i="34"/>
  <c r="AE199" i="34"/>
  <c r="AE204" i="34"/>
  <c r="AE209" i="34"/>
  <c r="AE215" i="34"/>
  <c r="AE218" i="34"/>
  <c r="AE222" i="34"/>
  <c r="AE232" i="34"/>
  <c r="AE241" i="34"/>
  <c r="AE258" i="34"/>
  <c r="AE289" i="34"/>
  <c r="AE314" i="34"/>
  <c r="AE323" i="34"/>
  <c r="AE331" i="34"/>
  <c r="AE349" i="34"/>
  <c r="AE377" i="34"/>
  <c r="AE453" i="34"/>
  <c r="AE481" i="34"/>
  <c r="AE518" i="34"/>
  <c r="AE530" i="34"/>
  <c r="AE549" i="34"/>
  <c r="AF19" i="34"/>
  <c r="AF47" i="34"/>
  <c r="AF60" i="34"/>
  <c r="AF83" i="34"/>
  <c r="AF85" i="34"/>
  <c r="AF94" i="34"/>
  <c r="AF101" i="34"/>
  <c r="AF113" i="34"/>
  <c r="AF162" i="34"/>
  <c r="AF185" i="34"/>
  <c r="AF187" i="34"/>
  <c r="AF193" i="34"/>
  <c r="AF199" i="34"/>
  <c r="AF204" i="34"/>
  <c r="AF209" i="34"/>
  <c r="AF215" i="34"/>
  <c r="AF218" i="34"/>
  <c r="AF222" i="34"/>
  <c r="AF232" i="34"/>
  <c r="AF241" i="34"/>
  <c r="AF258" i="34"/>
  <c r="AF289" i="34"/>
  <c r="AF314" i="34"/>
  <c r="AF323" i="34"/>
  <c r="AF331" i="34"/>
  <c r="AF349" i="34"/>
  <c r="AF377" i="34"/>
  <c r="AF453" i="34"/>
  <c r="AF481" i="34"/>
  <c r="AF518" i="34"/>
  <c r="AF530" i="34"/>
  <c r="AF549" i="34"/>
  <c r="AG19" i="34"/>
  <c r="AG47" i="34"/>
  <c r="AG60" i="34"/>
  <c r="AG83" i="34"/>
  <c r="AG85" i="34"/>
  <c r="AG94" i="34"/>
  <c r="AG101" i="34"/>
  <c r="AG113" i="34"/>
  <c r="AG162" i="34"/>
  <c r="AG185" i="34"/>
  <c r="AG187" i="34"/>
  <c r="AG193" i="34"/>
  <c r="AG199" i="34"/>
  <c r="AG204" i="34"/>
  <c r="AG209" i="34"/>
  <c r="AG215" i="34"/>
  <c r="AG218" i="34"/>
  <c r="AG222" i="34"/>
  <c r="AG232" i="34"/>
  <c r="AG241" i="34"/>
  <c r="AG258" i="34"/>
  <c r="AG289" i="34"/>
  <c r="AG314" i="34"/>
  <c r="AG323" i="34"/>
  <c r="AG331" i="34"/>
  <c r="AG349" i="34"/>
  <c r="AG377" i="34"/>
  <c r="AG453" i="34"/>
  <c r="AG481" i="34"/>
  <c r="AG518" i="34"/>
  <c r="AG530" i="34"/>
  <c r="AG549" i="34"/>
  <c r="D28" i="34"/>
  <c r="D93" i="34"/>
  <c r="D178" i="34"/>
  <c r="D227" i="34"/>
  <c r="D259" i="34"/>
  <c r="D326" i="34"/>
  <c r="D330" i="34"/>
  <c r="D384" i="34"/>
  <c r="D409" i="34"/>
  <c r="D436" i="34"/>
  <c r="D448" i="34"/>
  <c r="D476" i="34"/>
  <c r="D526" i="34"/>
  <c r="D535" i="34"/>
  <c r="D543" i="34"/>
  <c r="O28" i="34"/>
  <c r="O93" i="34"/>
  <c r="O178" i="34"/>
  <c r="O227" i="34"/>
  <c r="O259" i="34"/>
  <c r="O326" i="34"/>
  <c r="O330" i="34"/>
  <c r="O384" i="34"/>
  <c r="O409" i="34"/>
  <c r="O436" i="34"/>
  <c r="O448" i="34"/>
  <c r="O476" i="34"/>
  <c r="O526" i="34"/>
  <c r="O535" i="34"/>
  <c r="O543" i="34"/>
  <c r="P28" i="34"/>
  <c r="P93" i="34"/>
  <c r="P178" i="34"/>
  <c r="P227" i="34"/>
  <c r="P259" i="34"/>
  <c r="P326" i="34"/>
  <c r="P330" i="34"/>
  <c r="P384" i="34"/>
  <c r="P409" i="34"/>
  <c r="P436" i="34"/>
  <c r="P448" i="34"/>
  <c r="P476" i="34"/>
  <c r="P526" i="34"/>
  <c r="P535" i="34"/>
  <c r="P543" i="34"/>
  <c r="Q28" i="34"/>
  <c r="Q93" i="34"/>
  <c r="Q178" i="34"/>
  <c r="Q227" i="34"/>
  <c r="Q259" i="34"/>
  <c r="Q326" i="34"/>
  <c r="Q330" i="34"/>
  <c r="Q384" i="34"/>
  <c r="Q409" i="34"/>
  <c r="Q436" i="34"/>
  <c r="Q448" i="34"/>
  <c r="Q476" i="34"/>
  <c r="Q526" i="34"/>
  <c r="Q535" i="34"/>
  <c r="Q543" i="34"/>
  <c r="U28" i="34"/>
  <c r="U93" i="34"/>
  <c r="U178" i="34"/>
  <c r="U227" i="34"/>
  <c r="U259" i="34"/>
  <c r="U326" i="34"/>
  <c r="U330" i="34"/>
  <c r="U384" i="34"/>
  <c r="U409" i="34"/>
  <c r="U436" i="34"/>
  <c r="U448" i="34"/>
  <c r="U476" i="34"/>
  <c r="U526" i="34"/>
  <c r="U535" i="34"/>
  <c r="U543" i="34"/>
  <c r="V28" i="34"/>
  <c r="V93" i="34"/>
  <c r="V178" i="34"/>
  <c r="V227" i="34"/>
  <c r="V259" i="34"/>
  <c r="V326" i="34"/>
  <c r="V330" i="34"/>
  <c r="V384" i="34"/>
  <c r="V409" i="34"/>
  <c r="V436" i="34"/>
  <c r="V448" i="34"/>
  <c r="V476" i="34"/>
  <c r="V526" i="34"/>
  <c r="V535" i="34"/>
  <c r="V543" i="34"/>
  <c r="W28" i="34"/>
  <c r="W93" i="34"/>
  <c r="W178" i="34"/>
  <c r="W227" i="34"/>
  <c r="W259" i="34"/>
  <c r="W326" i="34"/>
  <c r="W330" i="34"/>
  <c r="W384" i="34"/>
  <c r="W409" i="34"/>
  <c r="W436" i="34"/>
  <c r="W448" i="34"/>
  <c r="W476" i="34"/>
  <c r="W526" i="34"/>
  <c r="W535" i="34"/>
  <c r="W543" i="34"/>
  <c r="X28" i="34"/>
  <c r="X93" i="34"/>
  <c r="X178" i="34"/>
  <c r="X227" i="34"/>
  <c r="X259" i="34"/>
  <c r="X326" i="34"/>
  <c r="X330" i="34"/>
  <c r="X384" i="34"/>
  <c r="X409" i="34"/>
  <c r="X436" i="34"/>
  <c r="X448" i="34"/>
  <c r="X476" i="34"/>
  <c r="X526" i="34"/>
  <c r="X535" i="34"/>
  <c r="X543" i="34"/>
  <c r="Y28" i="34"/>
  <c r="Y93" i="34"/>
  <c r="Y178" i="34"/>
  <c r="Y227" i="34"/>
  <c r="Y259" i="34"/>
  <c r="Y326" i="34"/>
  <c r="Y330" i="34"/>
  <c r="Y384" i="34"/>
  <c r="Y409" i="34"/>
  <c r="Y436" i="34"/>
  <c r="Y448" i="34"/>
  <c r="Y476" i="34"/>
  <c r="Y526" i="34"/>
  <c r="Y535" i="34"/>
  <c r="Y543" i="34"/>
  <c r="Z28" i="34"/>
  <c r="Z93" i="34"/>
  <c r="Z178" i="34"/>
  <c r="Z227" i="34"/>
  <c r="Z259" i="34"/>
  <c r="Z326" i="34"/>
  <c r="Z330" i="34"/>
  <c r="Z384" i="34"/>
  <c r="Z409" i="34"/>
  <c r="Z436" i="34"/>
  <c r="Z448" i="34"/>
  <c r="Z476" i="34"/>
  <c r="Z526" i="34"/>
  <c r="Z535" i="34"/>
  <c r="Z543" i="34"/>
  <c r="AA28" i="34"/>
  <c r="AA93" i="34"/>
  <c r="AA178" i="34"/>
  <c r="AA227" i="34"/>
  <c r="AA259" i="34"/>
  <c r="AA326" i="34"/>
  <c r="AA330" i="34"/>
  <c r="AA384" i="34"/>
  <c r="AA409" i="34"/>
  <c r="AA436" i="34"/>
  <c r="AA448" i="34"/>
  <c r="AA476" i="34"/>
  <c r="AA526" i="34"/>
  <c r="AA535" i="34"/>
  <c r="AA543" i="34"/>
  <c r="AB28" i="34"/>
  <c r="AB93" i="34"/>
  <c r="AB178" i="34"/>
  <c r="AB227" i="34"/>
  <c r="AB259" i="34"/>
  <c r="AB326" i="34"/>
  <c r="AB330" i="34"/>
  <c r="AB384" i="34"/>
  <c r="AB409" i="34"/>
  <c r="AB436" i="34"/>
  <c r="AB448" i="34"/>
  <c r="AB476" i="34"/>
  <c r="AB526" i="34"/>
  <c r="AB535" i="34"/>
  <c r="AB543" i="34"/>
  <c r="AC28" i="34"/>
  <c r="AC93" i="34"/>
  <c r="AC178" i="34"/>
  <c r="AC227" i="34"/>
  <c r="AC259" i="34"/>
  <c r="AC326" i="34"/>
  <c r="AC330" i="34"/>
  <c r="AC384" i="34"/>
  <c r="AC409" i="34"/>
  <c r="AC436" i="34"/>
  <c r="AC448" i="34"/>
  <c r="AC476" i="34"/>
  <c r="AC526" i="34"/>
  <c r="AC535" i="34"/>
  <c r="AC543" i="34"/>
  <c r="AD28" i="34"/>
  <c r="AD93" i="34"/>
  <c r="AD178" i="34"/>
  <c r="AD227" i="34"/>
  <c r="AD259" i="34"/>
  <c r="AD326" i="34"/>
  <c r="AD330" i="34"/>
  <c r="AD384" i="34"/>
  <c r="AD409" i="34"/>
  <c r="AD436" i="34"/>
  <c r="AD448" i="34"/>
  <c r="AD476" i="34"/>
  <c r="AD526" i="34"/>
  <c r="AD535" i="34"/>
  <c r="AD543" i="34"/>
  <c r="AE28" i="34"/>
  <c r="AE93" i="34"/>
  <c r="AE178" i="34"/>
  <c r="AE227" i="34"/>
  <c r="AE259" i="34"/>
  <c r="AE326" i="34"/>
  <c r="AE330" i="34"/>
  <c r="AE384" i="34"/>
  <c r="AE409" i="34"/>
  <c r="AE436" i="34"/>
  <c r="AE448" i="34"/>
  <c r="AE476" i="34"/>
  <c r="AE526" i="34"/>
  <c r="AE535" i="34"/>
  <c r="AE543" i="34"/>
  <c r="AF28" i="34"/>
  <c r="AF93" i="34"/>
  <c r="AF178" i="34"/>
  <c r="AF227" i="34"/>
  <c r="AF259" i="34"/>
  <c r="AF326" i="34"/>
  <c r="AF330" i="34"/>
  <c r="AF384" i="34"/>
  <c r="AF409" i="34"/>
  <c r="AF436" i="34"/>
  <c r="AF448" i="34"/>
  <c r="AF476" i="34"/>
  <c r="AF526" i="34"/>
  <c r="AF535" i="34"/>
  <c r="AF543" i="34"/>
  <c r="AG28" i="34"/>
  <c r="AG93" i="34"/>
  <c r="AG178" i="34"/>
  <c r="AG227" i="34"/>
  <c r="AG259" i="34"/>
  <c r="AG326" i="34"/>
  <c r="AG330" i="34"/>
  <c r="AG384" i="34"/>
  <c r="AG409" i="34"/>
  <c r="AG436" i="34"/>
  <c r="AG448" i="34"/>
  <c r="AG476" i="34"/>
  <c r="AG526" i="34"/>
  <c r="AG535" i="34"/>
  <c r="AG543" i="34"/>
  <c r="D96" i="34"/>
  <c r="D136" i="34"/>
  <c r="D152" i="34"/>
  <c r="D157" i="34"/>
  <c r="D170" i="34"/>
  <c r="D179" i="34"/>
  <c r="D198" i="34"/>
  <c r="D231" i="34"/>
  <c r="D236" i="34"/>
  <c r="D245" i="34"/>
  <c r="D248" i="34"/>
  <c r="D291" i="34"/>
  <c r="D298" i="34"/>
  <c r="D301" i="34"/>
  <c r="D342" i="34"/>
  <c r="D373" i="34"/>
  <c r="D380" i="34"/>
  <c r="D390" i="34"/>
  <c r="D394" i="34"/>
  <c r="D408" i="34"/>
  <c r="D429" i="34"/>
  <c r="D477" i="34"/>
  <c r="D545" i="34"/>
  <c r="O96" i="34"/>
  <c r="O136" i="34"/>
  <c r="O152" i="34"/>
  <c r="O157" i="34"/>
  <c r="O170" i="34"/>
  <c r="O179" i="34"/>
  <c r="O198" i="34"/>
  <c r="O231" i="34"/>
  <c r="O236" i="34"/>
  <c r="O245" i="34"/>
  <c r="O248" i="34"/>
  <c r="O291" i="34"/>
  <c r="O298" i="34"/>
  <c r="O301" i="34"/>
  <c r="O342" i="34"/>
  <c r="O373" i="34"/>
  <c r="O380" i="34"/>
  <c r="O390" i="34"/>
  <c r="O394" i="34"/>
  <c r="O408" i="34"/>
  <c r="O429" i="34"/>
  <c r="O477" i="34"/>
  <c r="O545" i="34"/>
  <c r="P96" i="34"/>
  <c r="P136" i="34"/>
  <c r="P152" i="34"/>
  <c r="P157" i="34"/>
  <c r="P170" i="34"/>
  <c r="P179" i="34"/>
  <c r="P198" i="34"/>
  <c r="P231" i="34"/>
  <c r="P236" i="34"/>
  <c r="P245" i="34"/>
  <c r="P248" i="34"/>
  <c r="P291" i="34"/>
  <c r="P298" i="34"/>
  <c r="P301" i="34"/>
  <c r="P342" i="34"/>
  <c r="P373" i="34"/>
  <c r="P380" i="34"/>
  <c r="P390" i="34"/>
  <c r="P394" i="34"/>
  <c r="P408" i="34"/>
  <c r="P429" i="34"/>
  <c r="P477" i="34"/>
  <c r="P545" i="34"/>
  <c r="Q96" i="34"/>
  <c r="Q136" i="34"/>
  <c r="Q152" i="34"/>
  <c r="Q157" i="34"/>
  <c r="Q170" i="34"/>
  <c r="Q179" i="34"/>
  <c r="Q198" i="34"/>
  <c r="Q231" i="34"/>
  <c r="Q236" i="34"/>
  <c r="Q245" i="34"/>
  <c r="Q248" i="34"/>
  <c r="Q291" i="34"/>
  <c r="Q298" i="34"/>
  <c r="Q301" i="34"/>
  <c r="Q342" i="34"/>
  <c r="Q373" i="34"/>
  <c r="Q380" i="34"/>
  <c r="Q390" i="34"/>
  <c r="Q394" i="34"/>
  <c r="Q408" i="34"/>
  <c r="Q429" i="34"/>
  <c r="Q477" i="34"/>
  <c r="Q545" i="34"/>
  <c r="U96" i="34"/>
  <c r="U136" i="34"/>
  <c r="U152" i="34"/>
  <c r="U157" i="34"/>
  <c r="U170" i="34"/>
  <c r="U179" i="34"/>
  <c r="U198" i="34"/>
  <c r="U231" i="34"/>
  <c r="U236" i="34"/>
  <c r="U245" i="34"/>
  <c r="U248" i="34"/>
  <c r="U291" i="34"/>
  <c r="U298" i="34"/>
  <c r="U301" i="34"/>
  <c r="U342" i="34"/>
  <c r="U373" i="34"/>
  <c r="U380" i="34"/>
  <c r="U390" i="34"/>
  <c r="U394" i="34"/>
  <c r="U408" i="34"/>
  <c r="U429" i="34"/>
  <c r="U477" i="34"/>
  <c r="U545" i="34"/>
  <c r="V96" i="34"/>
  <c r="V136" i="34"/>
  <c r="V152" i="34"/>
  <c r="V157" i="34"/>
  <c r="V170" i="34"/>
  <c r="V179" i="34"/>
  <c r="V198" i="34"/>
  <c r="V231" i="34"/>
  <c r="V236" i="34"/>
  <c r="V245" i="34"/>
  <c r="V248" i="34"/>
  <c r="V291" i="34"/>
  <c r="V298" i="34"/>
  <c r="V301" i="34"/>
  <c r="V342" i="34"/>
  <c r="V373" i="34"/>
  <c r="V380" i="34"/>
  <c r="V390" i="34"/>
  <c r="V394" i="34"/>
  <c r="V408" i="34"/>
  <c r="V429" i="34"/>
  <c r="V477" i="34"/>
  <c r="V545" i="34"/>
  <c r="W96" i="34"/>
  <c r="W136" i="34"/>
  <c r="W152" i="34"/>
  <c r="W157" i="34"/>
  <c r="W170" i="34"/>
  <c r="W179" i="34"/>
  <c r="W198" i="34"/>
  <c r="W231" i="34"/>
  <c r="W236" i="34"/>
  <c r="W245" i="34"/>
  <c r="W248" i="34"/>
  <c r="W291" i="34"/>
  <c r="W298" i="34"/>
  <c r="W301" i="34"/>
  <c r="W342" i="34"/>
  <c r="W373" i="34"/>
  <c r="W380" i="34"/>
  <c r="W390" i="34"/>
  <c r="W394" i="34"/>
  <c r="W408" i="34"/>
  <c r="W429" i="34"/>
  <c r="W477" i="34"/>
  <c r="W545" i="34"/>
  <c r="X96" i="34"/>
  <c r="X136" i="34"/>
  <c r="X152" i="34"/>
  <c r="X157" i="34"/>
  <c r="X170" i="34"/>
  <c r="X179" i="34"/>
  <c r="X198" i="34"/>
  <c r="X231" i="34"/>
  <c r="X236" i="34"/>
  <c r="X245" i="34"/>
  <c r="X248" i="34"/>
  <c r="X291" i="34"/>
  <c r="X298" i="34"/>
  <c r="X301" i="34"/>
  <c r="X342" i="34"/>
  <c r="X373" i="34"/>
  <c r="X380" i="34"/>
  <c r="X390" i="34"/>
  <c r="X394" i="34"/>
  <c r="X408" i="34"/>
  <c r="X429" i="34"/>
  <c r="X477" i="34"/>
  <c r="X545" i="34"/>
  <c r="Y96" i="34"/>
  <c r="Y136" i="34"/>
  <c r="Y152" i="34"/>
  <c r="Y157" i="34"/>
  <c r="Y170" i="34"/>
  <c r="Y179" i="34"/>
  <c r="Y198" i="34"/>
  <c r="Y231" i="34"/>
  <c r="Y236" i="34"/>
  <c r="Y245" i="34"/>
  <c r="Y248" i="34"/>
  <c r="Y291" i="34"/>
  <c r="Y298" i="34"/>
  <c r="Y301" i="34"/>
  <c r="Y342" i="34"/>
  <c r="Y373" i="34"/>
  <c r="Y380" i="34"/>
  <c r="Y390" i="34"/>
  <c r="Y394" i="34"/>
  <c r="Y408" i="34"/>
  <c r="Y429" i="34"/>
  <c r="Y477" i="34"/>
  <c r="Y545" i="34"/>
  <c r="Z96" i="34"/>
  <c r="Z136" i="34"/>
  <c r="Z152" i="34"/>
  <c r="Z157" i="34"/>
  <c r="Z170" i="34"/>
  <c r="Z179" i="34"/>
  <c r="Z198" i="34"/>
  <c r="Z231" i="34"/>
  <c r="Z236" i="34"/>
  <c r="Z245" i="34"/>
  <c r="Z248" i="34"/>
  <c r="Z291" i="34"/>
  <c r="Z298" i="34"/>
  <c r="Z301" i="34"/>
  <c r="Z342" i="34"/>
  <c r="Z373" i="34"/>
  <c r="Z380" i="34"/>
  <c r="Z390" i="34"/>
  <c r="Z394" i="34"/>
  <c r="Z408" i="34"/>
  <c r="Z429" i="34"/>
  <c r="Z477" i="34"/>
  <c r="Z545" i="34"/>
  <c r="AA96" i="34"/>
  <c r="AA136" i="34"/>
  <c r="AA152" i="34"/>
  <c r="AA157" i="34"/>
  <c r="AA170" i="34"/>
  <c r="AA179" i="34"/>
  <c r="AA198" i="34"/>
  <c r="AA231" i="34"/>
  <c r="AA236" i="34"/>
  <c r="AA245" i="34"/>
  <c r="AA248" i="34"/>
  <c r="AA291" i="34"/>
  <c r="AA298" i="34"/>
  <c r="AA301" i="34"/>
  <c r="AA342" i="34"/>
  <c r="AA373" i="34"/>
  <c r="AA380" i="34"/>
  <c r="AA390" i="34"/>
  <c r="AA394" i="34"/>
  <c r="AA408" i="34"/>
  <c r="AA429" i="34"/>
  <c r="AA477" i="34"/>
  <c r="AA545" i="34"/>
  <c r="AB96" i="34"/>
  <c r="AB136" i="34"/>
  <c r="AB152" i="34"/>
  <c r="AB157" i="34"/>
  <c r="AB170" i="34"/>
  <c r="AB179" i="34"/>
  <c r="AB198" i="34"/>
  <c r="AB231" i="34"/>
  <c r="AB236" i="34"/>
  <c r="AB245" i="34"/>
  <c r="AB248" i="34"/>
  <c r="AB291" i="34"/>
  <c r="AB298" i="34"/>
  <c r="AB301" i="34"/>
  <c r="AB342" i="34"/>
  <c r="AB373" i="34"/>
  <c r="AB380" i="34"/>
  <c r="AB390" i="34"/>
  <c r="AB394" i="34"/>
  <c r="AB408" i="34"/>
  <c r="AB429" i="34"/>
  <c r="AB477" i="34"/>
  <c r="AB545" i="34"/>
  <c r="AC96" i="34"/>
  <c r="AC136" i="34"/>
  <c r="AC152" i="34"/>
  <c r="AC157" i="34"/>
  <c r="AC170" i="34"/>
  <c r="AC179" i="34"/>
  <c r="AC198" i="34"/>
  <c r="AC231" i="34"/>
  <c r="AC236" i="34"/>
  <c r="AC245" i="34"/>
  <c r="AC248" i="34"/>
  <c r="AC291" i="34"/>
  <c r="AC298" i="34"/>
  <c r="AC301" i="34"/>
  <c r="AC342" i="34"/>
  <c r="AC373" i="34"/>
  <c r="AC380" i="34"/>
  <c r="AC390" i="34"/>
  <c r="AC394" i="34"/>
  <c r="AC408" i="34"/>
  <c r="AC429" i="34"/>
  <c r="AC477" i="34"/>
  <c r="AC545" i="34"/>
  <c r="AD96" i="34"/>
  <c r="AD136" i="34"/>
  <c r="AD152" i="34"/>
  <c r="AD157" i="34"/>
  <c r="AD170" i="34"/>
  <c r="AD179" i="34"/>
  <c r="AD198" i="34"/>
  <c r="AD231" i="34"/>
  <c r="AD236" i="34"/>
  <c r="AD245" i="34"/>
  <c r="AD248" i="34"/>
  <c r="AD291" i="34"/>
  <c r="AD298" i="34"/>
  <c r="AD301" i="34"/>
  <c r="AD342" i="34"/>
  <c r="AD373" i="34"/>
  <c r="AD380" i="34"/>
  <c r="AD390" i="34"/>
  <c r="AD394" i="34"/>
  <c r="AD408" i="34"/>
  <c r="AD429" i="34"/>
  <c r="AD477" i="34"/>
  <c r="AD545" i="34"/>
  <c r="AE96" i="34"/>
  <c r="AE136" i="34"/>
  <c r="AE152" i="34"/>
  <c r="AE157" i="34"/>
  <c r="AE170" i="34"/>
  <c r="AE179" i="34"/>
  <c r="AE198" i="34"/>
  <c r="AE231" i="34"/>
  <c r="AE236" i="34"/>
  <c r="AE245" i="34"/>
  <c r="AE248" i="34"/>
  <c r="AE291" i="34"/>
  <c r="AE298" i="34"/>
  <c r="AE301" i="34"/>
  <c r="AE342" i="34"/>
  <c r="AE373" i="34"/>
  <c r="AE380" i="34"/>
  <c r="AE390" i="34"/>
  <c r="AE394" i="34"/>
  <c r="AE408" i="34"/>
  <c r="AE429" i="34"/>
  <c r="AE477" i="34"/>
  <c r="AE545" i="34"/>
  <c r="AF96" i="34"/>
  <c r="AF136" i="34"/>
  <c r="AF152" i="34"/>
  <c r="AF157" i="34"/>
  <c r="AF170" i="34"/>
  <c r="AF179" i="34"/>
  <c r="AF198" i="34"/>
  <c r="AF231" i="34"/>
  <c r="AF236" i="34"/>
  <c r="AF245" i="34"/>
  <c r="AF248" i="34"/>
  <c r="AF291" i="34"/>
  <c r="AF298" i="34"/>
  <c r="AF301" i="34"/>
  <c r="AF342" i="34"/>
  <c r="AF373" i="34"/>
  <c r="AF380" i="34"/>
  <c r="AF390" i="34"/>
  <c r="AF394" i="34"/>
  <c r="AF408" i="34"/>
  <c r="AF429" i="34"/>
  <c r="AF477" i="34"/>
  <c r="AF545" i="34"/>
  <c r="AG96" i="34"/>
  <c r="AG136" i="34"/>
  <c r="AG152" i="34"/>
  <c r="AG157" i="34"/>
  <c r="AG170" i="34"/>
  <c r="AG179" i="34"/>
  <c r="AG198" i="34"/>
  <c r="AG231" i="34"/>
  <c r="AG236" i="34"/>
  <c r="AG245" i="34"/>
  <c r="AG248" i="34"/>
  <c r="AG291" i="34"/>
  <c r="AG298" i="34"/>
  <c r="AG301" i="34"/>
  <c r="AG342" i="34"/>
  <c r="AG373" i="34"/>
  <c r="AG380" i="34"/>
  <c r="AG390" i="34"/>
  <c r="AG394" i="34"/>
  <c r="AG408" i="34"/>
  <c r="AG429" i="34"/>
  <c r="AG477" i="34"/>
  <c r="AG545" i="34"/>
  <c r="D27" i="34"/>
  <c r="D30" i="34"/>
  <c r="D32" i="34"/>
  <c r="D97" i="34"/>
  <c r="D109" i="34"/>
  <c r="D171" i="34"/>
  <c r="D253" i="34"/>
  <c r="D286" i="34"/>
  <c r="D359" i="34"/>
  <c r="D365" i="34"/>
  <c r="D378" i="34"/>
  <c r="D385" i="34"/>
  <c r="D421" i="34"/>
  <c r="D444" i="34"/>
  <c r="D447" i="34"/>
  <c r="D467" i="34"/>
  <c r="D478" i="34"/>
  <c r="D490" i="34"/>
  <c r="D496" i="34"/>
  <c r="O27" i="34"/>
  <c r="O30" i="34"/>
  <c r="O32" i="34"/>
  <c r="O97" i="34"/>
  <c r="O109" i="34"/>
  <c r="O171" i="34"/>
  <c r="O253" i="34"/>
  <c r="O286" i="34"/>
  <c r="O359" i="34"/>
  <c r="O365" i="34"/>
  <c r="O378" i="34"/>
  <c r="O385" i="34"/>
  <c r="O421" i="34"/>
  <c r="O444" i="34"/>
  <c r="O447" i="34"/>
  <c r="O467" i="34"/>
  <c r="O478" i="34"/>
  <c r="O490" i="34"/>
  <c r="O496" i="34"/>
  <c r="P27" i="34"/>
  <c r="P30" i="34"/>
  <c r="P32" i="34"/>
  <c r="P97" i="34"/>
  <c r="P109" i="34"/>
  <c r="P171" i="34"/>
  <c r="P253" i="34"/>
  <c r="P286" i="34"/>
  <c r="P359" i="34"/>
  <c r="P365" i="34"/>
  <c r="P378" i="34"/>
  <c r="P385" i="34"/>
  <c r="P421" i="34"/>
  <c r="P444" i="34"/>
  <c r="P447" i="34"/>
  <c r="P467" i="34"/>
  <c r="P478" i="34"/>
  <c r="P490" i="34"/>
  <c r="P496" i="34"/>
  <c r="Q27" i="34"/>
  <c r="Q30" i="34"/>
  <c r="Q32" i="34"/>
  <c r="Q97" i="34"/>
  <c r="Q109" i="34"/>
  <c r="Q171" i="34"/>
  <c r="Q253" i="34"/>
  <c r="Q286" i="34"/>
  <c r="Q359" i="34"/>
  <c r="Q365" i="34"/>
  <c r="Q378" i="34"/>
  <c r="Q385" i="34"/>
  <c r="Q421" i="34"/>
  <c r="Q444" i="34"/>
  <c r="Q447" i="34"/>
  <c r="Q467" i="34"/>
  <c r="Q478" i="34"/>
  <c r="Q490" i="34"/>
  <c r="Q496" i="34"/>
  <c r="U27" i="34"/>
  <c r="U30" i="34"/>
  <c r="U32" i="34"/>
  <c r="U97" i="34"/>
  <c r="U109" i="34"/>
  <c r="U171" i="34"/>
  <c r="U253" i="34"/>
  <c r="U286" i="34"/>
  <c r="U359" i="34"/>
  <c r="U365" i="34"/>
  <c r="U378" i="34"/>
  <c r="U385" i="34"/>
  <c r="U421" i="34"/>
  <c r="U444" i="34"/>
  <c r="U447" i="34"/>
  <c r="U467" i="34"/>
  <c r="U478" i="34"/>
  <c r="U490" i="34"/>
  <c r="U496" i="34"/>
  <c r="V27" i="34"/>
  <c r="V30" i="34"/>
  <c r="V32" i="34"/>
  <c r="V97" i="34"/>
  <c r="V109" i="34"/>
  <c r="V171" i="34"/>
  <c r="V253" i="34"/>
  <c r="V286" i="34"/>
  <c r="V359" i="34"/>
  <c r="V365" i="34"/>
  <c r="V378" i="34"/>
  <c r="V385" i="34"/>
  <c r="V421" i="34"/>
  <c r="V444" i="34"/>
  <c r="V447" i="34"/>
  <c r="V467" i="34"/>
  <c r="V478" i="34"/>
  <c r="V490" i="34"/>
  <c r="V496" i="34"/>
  <c r="W27" i="34"/>
  <c r="W30" i="34"/>
  <c r="W32" i="34"/>
  <c r="W97" i="34"/>
  <c r="W109" i="34"/>
  <c r="W171" i="34"/>
  <c r="W253" i="34"/>
  <c r="W286" i="34"/>
  <c r="W359" i="34"/>
  <c r="W365" i="34"/>
  <c r="W378" i="34"/>
  <c r="W385" i="34"/>
  <c r="W421" i="34"/>
  <c r="W444" i="34"/>
  <c r="W447" i="34"/>
  <c r="W467" i="34"/>
  <c r="W478" i="34"/>
  <c r="W490" i="34"/>
  <c r="W496" i="34"/>
  <c r="X27" i="34"/>
  <c r="X30" i="34"/>
  <c r="X32" i="34"/>
  <c r="X97" i="34"/>
  <c r="X109" i="34"/>
  <c r="X171" i="34"/>
  <c r="X253" i="34"/>
  <c r="X286" i="34"/>
  <c r="X359" i="34"/>
  <c r="X365" i="34"/>
  <c r="X378" i="34"/>
  <c r="X385" i="34"/>
  <c r="X421" i="34"/>
  <c r="X444" i="34"/>
  <c r="X447" i="34"/>
  <c r="X467" i="34"/>
  <c r="X478" i="34"/>
  <c r="X490" i="34"/>
  <c r="X496" i="34"/>
  <c r="Y27" i="34"/>
  <c r="Y30" i="34"/>
  <c r="Y32" i="34"/>
  <c r="Y97" i="34"/>
  <c r="Y109" i="34"/>
  <c r="Y171" i="34"/>
  <c r="Y253" i="34"/>
  <c r="Y286" i="34"/>
  <c r="Y359" i="34"/>
  <c r="Y365" i="34"/>
  <c r="Y378" i="34"/>
  <c r="Y385" i="34"/>
  <c r="Y421" i="34"/>
  <c r="Y444" i="34"/>
  <c r="Y447" i="34"/>
  <c r="Y467" i="34"/>
  <c r="Y478" i="34"/>
  <c r="Y490" i="34"/>
  <c r="Y496" i="34"/>
  <c r="Z27" i="34"/>
  <c r="Z30" i="34"/>
  <c r="Z32" i="34"/>
  <c r="Z97" i="34"/>
  <c r="Z109" i="34"/>
  <c r="Z171" i="34"/>
  <c r="Z253" i="34"/>
  <c r="Z286" i="34"/>
  <c r="Z359" i="34"/>
  <c r="Z365" i="34"/>
  <c r="Z378" i="34"/>
  <c r="Z385" i="34"/>
  <c r="Z421" i="34"/>
  <c r="Z444" i="34"/>
  <c r="Z447" i="34"/>
  <c r="Z467" i="34"/>
  <c r="Z478" i="34"/>
  <c r="Z490" i="34"/>
  <c r="Z496" i="34"/>
  <c r="AA27" i="34"/>
  <c r="AA30" i="34"/>
  <c r="AA32" i="34"/>
  <c r="AA97" i="34"/>
  <c r="AA109" i="34"/>
  <c r="AA171" i="34"/>
  <c r="AA253" i="34"/>
  <c r="AA286" i="34"/>
  <c r="AA359" i="34"/>
  <c r="AA365" i="34"/>
  <c r="AA378" i="34"/>
  <c r="AA385" i="34"/>
  <c r="AA421" i="34"/>
  <c r="AA444" i="34"/>
  <c r="AA447" i="34"/>
  <c r="AA467" i="34"/>
  <c r="AA478" i="34"/>
  <c r="AA490" i="34"/>
  <c r="AA496" i="34"/>
  <c r="AB27" i="34"/>
  <c r="AB30" i="34"/>
  <c r="AB32" i="34"/>
  <c r="AB97" i="34"/>
  <c r="AB109" i="34"/>
  <c r="AB171" i="34"/>
  <c r="AB253" i="34"/>
  <c r="AB286" i="34"/>
  <c r="AB359" i="34"/>
  <c r="AB365" i="34"/>
  <c r="AB378" i="34"/>
  <c r="AB385" i="34"/>
  <c r="AB421" i="34"/>
  <c r="AB444" i="34"/>
  <c r="AB447" i="34"/>
  <c r="AB467" i="34"/>
  <c r="AB478" i="34"/>
  <c r="AB490" i="34"/>
  <c r="AB496" i="34"/>
  <c r="AC27" i="34"/>
  <c r="AC30" i="34"/>
  <c r="AC32" i="34"/>
  <c r="AC97" i="34"/>
  <c r="AC109" i="34"/>
  <c r="AC171" i="34"/>
  <c r="AC253" i="34"/>
  <c r="AC286" i="34"/>
  <c r="AC359" i="34"/>
  <c r="AC365" i="34"/>
  <c r="AC378" i="34"/>
  <c r="AC385" i="34"/>
  <c r="AC421" i="34"/>
  <c r="AC444" i="34"/>
  <c r="AC447" i="34"/>
  <c r="AC467" i="34"/>
  <c r="AC478" i="34"/>
  <c r="AC490" i="34"/>
  <c r="AC496" i="34"/>
  <c r="AD27" i="34"/>
  <c r="AD30" i="34"/>
  <c r="AD32" i="34"/>
  <c r="AD97" i="34"/>
  <c r="AD109" i="34"/>
  <c r="AD171" i="34"/>
  <c r="AD253" i="34"/>
  <c r="AD286" i="34"/>
  <c r="AD359" i="34"/>
  <c r="AD365" i="34"/>
  <c r="AD378" i="34"/>
  <c r="AD385" i="34"/>
  <c r="AD421" i="34"/>
  <c r="AD444" i="34"/>
  <c r="AD447" i="34"/>
  <c r="AD467" i="34"/>
  <c r="AD478" i="34"/>
  <c r="AD490" i="34"/>
  <c r="AD496" i="34"/>
  <c r="AE27" i="34"/>
  <c r="AE30" i="34"/>
  <c r="AE32" i="34"/>
  <c r="AE97" i="34"/>
  <c r="AE109" i="34"/>
  <c r="AE171" i="34"/>
  <c r="AE253" i="34"/>
  <c r="AE286" i="34"/>
  <c r="AE359" i="34"/>
  <c r="AE365" i="34"/>
  <c r="AE378" i="34"/>
  <c r="AE385" i="34"/>
  <c r="AE421" i="34"/>
  <c r="AE444" i="34"/>
  <c r="AE447" i="34"/>
  <c r="AE467" i="34"/>
  <c r="AE478" i="34"/>
  <c r="AE490" i="34"/>
  <c r="AE496" i="34"/>
  <c r="AF27" i="34"/>
  <c r="AF30" i="34"/>
  <c r="AF32" i="34"/>
  <c r="AF97" i="34"/>
  <c r="AF109" i="34"/>
  <c r="AF171" i="34"/>
  <c r="AF253" i="34"/>
  <c r="AF286" i="34"/>
  <c r="AF359" i="34"/>
  <c r="AF365" i="34"/>
  <c r="AF378" i="34"/>
  <c r="AF385" i="34"/>
  <c r="AF421" i="34"/>
  <c r="AF444" i="34"/>
  <c r="AF447" i="34"/>
  <c r="AF467" i="34"/>
  <c r="AF478" i="34"/>
  <c r="AF490" i="34"/>
  <c r="AF496" i="34"/>
  <c r="AG27" i="34"/>
  <c r="AG30" i="34"/>
  <c r="AG32" i="34"/>
  <c r="AG97" i="34"/>
  <c r="AG109" i="34"/>
  <c r="AG171" i="34"/>
  <c r="AG253" i="34"/>
  <c r="AG286" i="34"/>
  <c r="AG359" i="34"/>
  <c r="AG365" i="34"/>
  <c r="AG378" i="34"/>
  <c r="AG385" i="34"/>
  <c r="AG421" i="34"/>
  <c r="AG444" i="34"/>
  <c r="AG447" i="34"/>
  <c r="AG467" i="34"/>
  <c r="AG478" i="34"/>
  <c r="AG490" i="34"/>
  <c r="AG496" i="34"/>
  <c r="D21" i="34"/>
  <c r="D92" i="34"/>
  <c r="D110" i="34"/>
  <c r="D126" i="34"/>
  <c r="D180" i="34"/>
  <c r="D224" i="34"/>
  <c r="D240" i="34"/>
  <c r="D334" i="34"/>
  <c r="D417" i="34"/>
  <c r="D475" i="34"/>
  <c r="D491" i="34"/>
  <c r="O21" i="34"/>
  <c r="O92" i="34"/>
  <c r="O110" i="34"/>
  <c r="O126" i="34"/>
  <c r="O180" i="34"/>
  <c r="O224" i="34"/>
  <c r="O240" i="34"/>
  <c r="O334" i="34"/>
  <c r="O417" i="34"/>
  <c r="O475" i="34"/>
  <c r="O491" i="34"/>
  <c r="P21" i="34"/>
  <c r="P92" i="34"/>
  <c r="P110" i="34"/>
  <c r="P126" i="34"/>
  <c r="P180" i="34"/>
  <c r="P224" i="34"/>
  <c r="P240" i="34"/>
  <c r="P334" i="34"/>
  <c r="P417" i="34"/>
  <c r="P475" i="34"/>
  <c r="P491" i="34"/>
  <c r="Q21" i="34"/>
  <c r="Q92" i="34"/>
  <c r="Q110" i="34"/>
  <c r="Q126" i="34"/>
  <c r="Q180" i="34"/>
  <c r="Q224" i="34"/>
  <c r="Q240" i="34"/>
  <c r="Q334" i="34"/>
  <c r="Q417" i="34"/>
  <c r="Q475" i="34"/>
  <c r="Q491" i="34"/>
  <c r="U21" i="34"/>
  <c r="U92" i="34"/>
  <c r="U110" i="34"/>
  <c r="U126" i="34"/>
  <c r="U180" i="34"/>
  <c r="U224" i="34"/>
  <c r="U240" i="34"/>
  <c r="U334" i="34"/>
  <c r="U417" i="34"/>
  <c r="U475" i="34"/>
  <c r="U491" i="34"/>
  <c r="V21" i="34"/>
  <c r="V92" i="34"/>
  <c r="V110" i="34"/>
  <c r="V126" i="34"/>
  <c r="V180" i="34"/>
  <c r="V224" i="34"/>
  <c r="V240" i="34"/>
  <c r="V334" i="34"/>
  <c r="V417" i="34"/>
  <c r="V475" i="34"/>
  <c r="V491" i="34"/>
  <c r="W21" i="34"/>
  <c r="W92" i="34"/>
  <c r="W110" i="34"/>
  <c r="W126" i="34"/>
  <c r="W180" i="34"/>
  <c r="W224" i="34"/>
  <c r="W240" i="34"/>
  <c r="W334" i="34"/>
  <c r="W417" i="34"/>
  <c r="W475" i="34"/>
  <c r="W491" i="34"/>
  <c r="X21" i="34"/>
  <c r="X92" i="34"/>
  <c r="X110" i="34"/>
  <c r="X126" i="34"/>
  <c r="X180" i="34"/>
  <c r="X224" i="34"/>
  <c r="X240" i="34"/>
  <c r="X334" i="34"/>
  <c r="X417" i="34"/>
  <c r="X475" i="34"/>
  <c r="X491" i="34"/>
  <c r="Y21" i="34"/>
  <c r="Y92" i="34"/>
  <c r="Y110" i="34"/>
  <c r="Y126" i="34"/>
  <c r="Y180" i="34"/>
  <c r="Y224" i="34"/>
  <c r="Y240" i="34"/>
  <c r="Y334" i="34"/>
  <c r="Y417" i="34"/>
  <c r="Y475" i="34"/>
  <c r="Y491" i="34"/>
  <c r="Z21" i="34"/>
  <c r="Z92" i="34"/>
  <c r="Z110" i="34"/>
  <c r="Z126" i="34"/>
  <c r="Z180" i="34"/>
  <c r="Z224" i="34"/>
  <c r="Z240" i="34"/>
  <c r="Z334" i="34"/>
  <c r="Z417" i="34"/>
  <c r="Z475" i="34"/>
  <c r="Z491" i="34"/>
  <c r="AA21" i="34"/>
  <c r="AA92" i="34"/>
  <c r="AA110" i="34"/>
  <c r="AA126" i="34"/>
  <c r="AA180" i="34"/>
  <c r="AA224" i="34"/>
  <c r="AA240" i="34"/>
  <c r="AA334" i="34"/>
  <c r="AA417" i="34"/>
  <c r="AA475" i="34"/>
  <c r="AA491" i="34"/>
  <c r="AB21" i="34"/>
  <c r="AB92" i="34"/>
  <c r="AB110" i="34"/>
  <c r="AB126" i="34"/>
  <c r="AB180" i="34"/>
  <c r="AB224" i="34"/>
  <c r="AB240" i="34"/>
  <c r="AB334" i="34"/>
  <c r="AB417" i="34"/>
  <c r="AB475" i="34"/>
  <c r="AB491" i="34"/>
  <c r="AC21" i="34"/>
  <c r="AC92" i="34"/>
  <c r="AC110" i="34"/>
  <c r="AC126" i="34"/>
  <c r="AC180" i="34"/>
  <c r="AC224" i="34"/>
  <c r="AC240" i="34"/>
  <c r="AC334" i="34"/>
  <c r="AC417" i="34"/>
  <c r="AC475" i="34"/>
  <c r="AC491" i="34"/>
  <c r="AD21" i="34"/>
  <c r="AD92" i="34"/>
  <c r="AD110" i="34"/>
  <c r="AD126" i="34"/>
  <c r="AD180" i="34"/>
  <c r="AD224" i="34"/>
  <c r="AD240" i="34"/>
  <c r="AD334" i="34"/>
  <c r="AD417" i="34"/>
  <c r="AD475" i="34"/>
  <c r="AD491" i="34"/>
  <c r="AE21" i="34"/>
  <c r="AE92" i="34"/>
  <c r="AE110" i="34"/>
  <c r="AE126" i="34"/>
  <c r="AE180" i="34"/>
  <c r="AE224" i="34"/>
  <c r="AE240" i="34"/>
  <c r="AE334" i="34"/>
  <c r="AE417" i="34"/>
  <c r="AE475" i="34"/>
  <c r="AE491" i="34"/>
  <c r="AF21" i="34"/>
  <c r="AF92" i="34"/>
  <c r="AF110" i="34"/>
  <c r="AF126" i="34"/>
  <c r="AF180" i="34"/>
  <c r="AF224" i="34"/>
  <c r="AF240" i="34"/>
  <c r="AF334" i="34"/>
  <c r="AF417" i="34"/>
  <c r="AF475" i="34"/>
  <c r="AF491" i="34"/>
  <c r="AG21" i="34"/>
  <c r="AG92" i="34"/>
  <c r="AG110" i="34"/>
  <c r="AG126" i="34"/>
  <c r="AG180" i="34"/>
  <c r="AG224" i="34"/>
  <c r="AG240" i="34"/>
  <c r="AG334" i="34"/>
  <c r="AG417" i="34"/>
  <c r="AG475" i="34"/>
  <c r="AG491" i="34"/>
  <c r="D22" i="34"/>
  <c r="D33" i="34"/>
  <c r="D46" i="34"/>
  <c r="D106" i="34"/>
  <c r="D141" i="34"/>
  <c r="D155" i="34"/>
  <c r="D168" i="34"/>
  <c r="D191" i="34"/>
  <c r="D196" i="34"/>
  <c r="D200" i="34"/>
  <c r="D210" i="34"/>
  <c r="D225" i="34"/>
  <c r="D230" i="34"/>
  <c r="D305" i="34"/>
  <c r="D311" i="34"/>
  <c r="D318" i="34"/>
  <c r="D374" i="34"/>
  <c r="D382" i="34"/>
  <c r="D391" i="34"/>
  <c r="D407" i="34"/>
  <c r="D422" i="34"/>
  <c r="D423" i="34"/>
  <c r="D427" i="34"/>
  <c r="D486" i="34"/>
  <c r="D499" i="34"/>
  <c r="D506" i="34"/>
  <c r="D516" i="34"/>
  <c r="D520" i="34"/>
  <c r="D522" i="34"/>
  <c r="D523" i="34"/>
  <c r="D534" i="34"/>
  <c r="D539" i="34"/>
  <c r="D540" i="34"/>
  <c r="D542" i="34"/>
  <c r="O22" i="34"/>
  <c r="O33" i="34"/>
  <c r="O46" i="34"/>
  <c r="O106" i="34"/>
  <c r="O141" i="34"/>
  <c r="O155" i="34"/>
  <c r="O168" i="34"/>
  <c r="O191" i="34"/>
  <c r="O196" i="34"/>
  <c r="O200" i="34"/>
  <c r="O210" i="34"/>
  <c r="O225" i="34"/>
  <c r="O230" i="34"/>
  <c r="O305" i="34"/>
  <c r="O311" i="34"/>
  <c r="O318" i="34"/>
  <c r="O374" i="34"/>
  <c r="O382" i="34"/>
  <c r="O391" i="34"/>
  <c r="O407" i="34"/>
  <c r="O422" i="34"/>
  <c r="O423" i="34"/>
  <c r="O427" i="34"/>
  <c r="O486" i="34"/>
  <c r="O499" i="34"/>
  <c r="O506" i="34"/>
  <c r="O516" i="34"/>
  <c r="O520" i="34"/>
  <c r="O522" i="34"/>
  <c r="O523" i="34"/>
  <c r="O534" i="34"/>
  <c r="O539" i="34"/>
  <c r="O540" i="34"/>
  <c r="O542" i="34"/>
  <c r="P22" i="34"/>
  <c r="P33" i="34"/>
  <c r="P46" i="34"/>
  <c r="P106" i="34"/>
  <c r="P141" i="34"/>
  <c r="P155" i="34"/>
  <c r="P168" i="34"/>
  <c r="P191" i="34"/>
  <c r="P196" i="34"/>
  <c r="P200" i="34"/>
  <c r="P210" i="34"/>
  <c r="P225" i="34"/>
  <c r="P230" i="34"/>
  <c r="P305" i="34"/>
  <c r="P311" i="34"/>
  <c r="P318" i="34"/>
  <c r="P374" i="34"/>
  <c r="P382" i="34"/>
  <c r="P391" i="34"/>
  <c r="P407" i="34"/>
  <c r="P422" i="34"/>
  <c r="P423" i="34"/>
  <c r="P427" i="34"/>
  <c r="P486" i="34"/>
  <c r="P499" i="34"/>
  <c r="P506" i="34"/>
  <c r="P516" i="34"/>
  <c r="P520" i="34"/>
  <c r="P522" i="34"/>
  <c r="P523" i="34"/>
  <c r="P534" i="34"/>
  <c r="P539" i="34"/>
  <c r="P540" i="34"/>
  <c r="P542" i="34"/>
  <c r="Q22" i="34"/>
  <c r="Q33" i="34"/>
  <c r="Q46" i="34"/>
  <c r="Q106" i="34"/>
  <c r="Q141" i="34"/>
  <c r="Q155" i="34"/>
  <c r="Q168" i="34"/>
  <c r="Q191" i="34"/>
  <c r="Q196" i="34"/>
  <c r="Q200" i="34"/>
  <c r="Q210" i="34"/>
  <c r="Q225" i="34"/>
  <c r="Q230" i="34"/>
  <c r="Q305" i="34"/>
  <c r="Q311" i="34"/>
  <c r="Q318" i="34"/>
  <c r="Q374" i="34"/>
  <c r="Q382" i="34"/>
  <c r="Q391" i="34"/>
  <c r="Q407" i="34"/>
  <c r="Q422" i="34"/>
  <c r="Q423" i="34"/>
  <c r="Q427" i="34"/>
  <c r="Q486" i="34"/>
  <c r="Q499" i="34"/>
  <c r="Q506" i="34"/>
  <c r="Q516" i="34"/>
  <c r="Q520" i="34"/>
  <c r="Q522" i="34"/>
  <c r="Q523" i="34"/>
  <c r="Q534" i="34"/>
  <c r="Q539" i="34"/>
  <c r="Q540" i="34"/>
  <c r="Q542" i="34"/>
  <c r="U22" i="34"/>
  <c r="U33" i="34"/>
  <c r="U46" i="34"/>
  <c r="U106" i="34"/>
  <c r="U141" i="34"/>
  <c r="U155" i="34"/>
  <c r="U168" i="34"/>
  <c r="U191" i="34"/>
  <c r="U196" i="34"/>
  <c r="U200" i="34"/>
  <c r="U210" i="34"/>
  <c r="U225" i="34"/>
  <c r="U230" i="34"/>
  <c r="U305" i="34"/>
  <c r="U311" i="34"/>
  <c r="U318" i="34"/>
  <c r="U374" i="34"/>
  <c r="U382" i="34"/>
  <c r="U391" i="34"/>
  <c r="U407" i="34"/>
  <c r="U422" i="34"/>
  <c r="U423" i="34"/>
  <c r="U427" i="34"/>
  <c r="U486" i="34"/>
  <c r="U499" i="34"/>
  <c r="U506" i="34"/>
  <c r="U516" i="34"/>
  <c r="U520" i="34"/>
  <c r="U522" i="34"/>
  <c r="U523" i="34"/>
  <c r="U534" i="34"/>
  <c r="U539" i="34"/>
  <c r="U540" i="34"/>
  <c r="U542" i="34"/>
  <c r="V22" i="34"/>
  <c r="V33" i="34"/>
  <c r="V46" i="34"/>
  <c r="V106" i="34"/>
  <c r="V141" i="34"/>
  <c r="V155" i="34"/>
  <c r="V168" i="34"/>
  <c r="V191" i="34"/>
  <c r="V196" i="34"/>
  <c r="V200" i="34"/>
  <c r="V210" i="34"/>
  <c r="V225" i="34"/>
  <c r="V230" i="34"/>
  <c r="V305" i="34"/>
  <c r="V311" i="34"/>
  <c r="V318" i="34"/>
  <c r="V374" i="34"/>
  <c r="V382" i="34"/>
  <c r="V391" i="34"/>
  <c r="V407" i="34"/>
  <c r="V422" i="34"/>
  <c r="V423" i="34"/>
  <c r="V427" i="34"/>
  <c r="V486" i="34"/>
  <c r="V499" i="34"/>
  <c r="V506" i="34"/>
  <c r="V516" i="34"/>
  <c r="V520" i="34"/>
  <c r="V522" i="34"/>
  <c r="V523" i="34"/>
  <c r="V534" i="34"/>
  <c r="V539" i="34"/>
  <c r="V540" i="34"/>
  <c r="V542" i="34"/>
  <c r="W22" i="34"/>
  <c r="W33" i="34"/>
  <c r="W46" i="34"/>
  <c r="W106" i="34"/>
  <c r="W141" i="34"/>
  <c r="W155" i="34"/>
  <c r="W168" i="34"/>
  <c r="W191" i="34"/>
  <c r="W196" i="34"/>
  <c r="W200" i="34"/>
  <c r="W210" i="34"/>
  <c r="W225" i="34"/>
  <c r="W230" i="34"/>
  <c r="W305" i="34"/>
  <c r="W311" i="34"/>
  <c r="W318" i="34"/>
  <c r="W374" i="34"/>
  <c r="W382" i="34"/>
  <c r="W391" i="34"/>
  <c r="W407" i="34"/>
  <c r="W422" i="34"/>
  <c r="W423" i="34"/>
  <c r="W427" i="34"/>
  <c r="W486" i="34"/>
  <c r="W499" i="34"/>
  <c r="W506" i="34"/>
  <c r="W516" i="34"/>
  <c r="W520" i="34"/>
  <c r="W522" i="34"/>
  <c r="W523" i="34"/>
  <c r="W534" i="34"/>
  <c r="W539" i="34"/>
  <c r="W540" i="34"/>
  <c r="W542" i="34"/>
  <c r="X22" i="34"/>
  <c r="X33" i="34"/>
  <c r="X46" i="34"/>
  <c r="X106" i="34"/>
  <c r="X141" i="34"/>
  <c r="X155" i="34"/>
  <c r="X168" i="34"/>
  <c r="X191" i="34"/>
  <c r="X196" i="34"/>
  <c r="X200" i="34"/>
  <c r="X210" i="34"/>
  <c r="X225" i="34"/>
  <c r="X230" i="34"/>
  <c r="X305" i="34"/>
  <c r="X311" i="34"/>
  <c r="X318" i="34"/>
  <c r="X374" i="34"/>
  <c r="X382" i="34"/>
  <c r="X391" i="34"/>
  <c r="X407" i="34"/>
  <c r="X422" i="34"/>
  <c r="X423" i="34"/>
  <c r="X427" i="34"/>
  <c r="X486" i="34"/>
  <c r="X499" i="34"/>
  <c r="X506" i="34"/>
  <c r="X516" i="34"/>
  <c r="X520" i="34"/>
  <c r="X522" i="34"/>
  <c r="X523" i="34"/>
  <c r="X534" i="34"/>
  <c r="X539" i="34"/>
  <c r="X540" i="34"/>
  <c r="X542" i="34"/>
  <c r="Y22" i="34"/>
  <c r="Y33" i="34"/>
  <c r="Y46" i="34"/>
  <c r="Y106" i="34"/>
  <c r="Y141" i="34"/>
  <c r="Y155" i="34"/>
  <c r="Y168" i="34"/>
  <c r="Y191" i="34"/>
  <c r="Y196" i="34"/>
  <c r="Y200" i="34"/>
  <c r="Y210" i="34"/>
  <c r="Y225" i="34"/>
  <c r="Y230" i="34"/>
  <c r="Y305" i="34"/>
  <c r="Y311" i="34"/>
  <c r="Y318" i="34"/>
  <c r="Y374" i="34"/>
  <c r="Y382" i="34"/>
  <c r="Y391" i="34"/>
  <c r="Y407" i="34"/>
  <c r="Y422" i="34"/>
  <c r="Y423" i="34"/>
  <c r="Y427" i="34"/>
  <c r="Y486" i="34"/>
  <c r="Y499" i="34"/>
  <c r="Y506" i="34"/>
  <c r="Y516" i="34"/>
  <c r="Y520" i="34"/>
  <c r="Y522" i="34"/>
  <c r="Y523" i="34"/>
  <c r="Y534" i="34"/>
  <c r="Y539" i="34"/>
  <c r="Y540" i="34"/>
  <c r="Y542" i="34"/>
  <c r="Z22" i="34"/>
  <c r="Z33" i="34"/>
  <c r="Z46" i="34"/>
  <c r="Z106" i="34"/>
  <c r="Z141" i="34"/>
  <c r="Z155" i="34"/>
  <c r="Z168" i="34"/>
  <c r="Z191" i="34"/>
  <c r="Z196" i="34"/>
  <c r="Z200" i="34"/>
  <c r="Z210" i="34"/>
  <c r="Z225" i="34"/>
  <c r="Z230" i="34"/>
  <c r="Z305" i="34"/>
  <c r="Z311" i="34"/>
  <c r="Z318" i="34"/>
  <c r="Z374" i="34"/>
  <c r="Z382" i="34"/>
  <c r="Z391" i="34"/>
  <c r="Z407" i="34"/>
  <c r="Z422" i="34"/>
  <c r="Z423" i="34"/>
  <c r="Z427" i="34"/>
  <c r="Z486" i="34"/>
  <c r="Z499" i="34"/>
  <c r="Z506" i="34"/>
  <c r="Z516" i="34"/>
  <c r="Z520" i="34"/>
  <c r="Z522" i="34"/>
  <c r="Z523" i="34"/>
  <c r="Z534" i="34"/>
  <c r="Z539" i="34"/>
  <c r="Z540" i="34"/>
  <c r="Z542" i="34"/>
  <c r="AA22" i="34"/>
  <c r="AA33" i="34"/>
  <c r="AA46" i="34"/>
  <c r="AA106" i="34"/>
  <c r="AA141" i="34"/>
  <c r="AA155" i="34"/>
  <c r="AA168" i="34"/>
  <c r="AA191" i="34"/>
  <c r="AA196" i="34"/>
  <c r="AA200" i="34"/>
  <c r="AA210" i="34"/>
  <c r="AA225" i="34"/>
  <c r="AA230" i="34"/>
  <c r="AA305" i="34"/>
  <c r="AA311" i="34"/>
  <c r="AA318" i="34"/>
  <c r="AA374" i="34"/>
  <c r="AA382" i="34"/>
  <c r="AA391" i="34"/>
  <c r="AA407" i="34"/>
  <c r="AA422" i="34"/>
  <c r="AA423" i="34"/>
  <c r="AA427" i="34"/>
  <c r="AA486" i="34"/>
  <c r="AA499" i="34"/>
  <c r="AA506" i="34"/>
  <c r="AA516" i="34"/>
  <c r="AA520" i="34"/>
  <c r="AA522" i="34"/>
  <c r="AA523" i="34"/>
  <c r="AA534" i="34"/>
  <c r="AA539" i="34"/>
  <c r="AA540" i="34"/>
  <c r="AA542" i="34"/>
  <c r="AB22" i="34"/>
  <c r="AB33" i="34"/>
  <c r="AB46" i="34"/>
  <c r="AB106" i="34"/>
  <c r="AB141" i="34"/>
  <c r="AB155" i="34"/>
  <c r="AB168" i="34"/>
  <c r="AB191" i="34"/>
  <c r="AB196" i="34"/>
  <c r="AB200" i="34"/>
  <c r="AB210" i="34"/>
  <c r="AB225" i="34"/>
  <c r="AB230" i="34"/>
  <c r="AB305" i="34"/>
  <c r="AB311" i="34"/>
  <c r="AB318" i="34"/>
  <c r="AB374" i="34"/>
  <c r="AB382" i="34"/>
  <c r="AB391" i="34"/>
  <c r="AB407" i="34"/>
  <c r="AB422" i="34"/>
  <c r="AB423" i="34"/>
  <c r="AB427" i="34"/>
  <c r="AB486" i="34"/>
  <c r="AB499" i="34"/>
  <c r="AB506" i="34"/>
  <c r="AB516" i="34"/>
  <c r="AB520" i="34"/>
  <c r="AB522" i="34"/>
  <c r="AB523" i="34"/>
  <c r="AB534" i="34"/>
  <c r="AB539" i="34"/>
  <c r="AB540" i="34"/>
  <c r="AB542" i="34"/>
  <c r="AC22" i="34"/>
  <c r="AC33" i="34"/>
  <c r="AC46" i="34"/>
  <c r="AC106" i="34"/>
  <c r="AC141" i="34"/>
  <c r="AC155" i="34"/>
  <c r="AC168" i="34"/>
  <c r="AC191" i="34"/>
  <c r="AC196" i="34"/>
  <c r="AC200" i="34"/>
  <c r="AC210" i="34"/>
  <c r="AC225" i="34"/>
  <c r="AC230" i="34"/>
  <c r="AC305" i="34"/>
  <c r="AC311" i="34"/>
  <c r="AC318" i="34"/>
  <c r="AC374" i="34"/>
  <c r="AC382" i="34"/>
  <c r="AC391" i="34"/>
  <c r="AC407" i="34"/>
  <c r="AC422" i="34"/>
  <c r="AC423" i="34"/>
  <c r="AC427" i="34"/>
  <c r="AC486" i="34"/>
  <c r="AC499" i="34"/>
  <c r="AC506" i="34"/>
  <c r="AC516" i="34"/>
  <c r="AC520" i="34"/>
  <c r="AC522" i="34"/>
  <c r="AC523" i="34"/>
  <c r="AC534" i="34"/>
  <c r="AC539" i="34"/>
  <c r="AC540" i="34"/>
  <c r="AC542" i="34"/>
  <c r="AD22" i="34"/>
  <c r="AD33" i="34"/>
  <c r="AD46" i="34"/>
  <c r="AD106" i="34"/>
  <c r="AD141" i="34"/>
  <c r="AD155" i="34"/>
  <c r="AD168" i="34"/>
  <c r="AD191" i="34"/>
  <c r="AD196" i="34"/>
  <c r="AD200" i="34"/>
  <c r="AD210" i="34"/>
  <c r="AD225" i="34"/>
  <c r="AD230" i="34"/>
  <c r="AD305" i="34"/>
  <c r="AD311" i="34"/>
  <c r="AD318" i="34"/>
  <c r="AD374" i="34"/>
  <c r="AD382" i="34"/>
  <c r="AD391" i="34"/>
  <c r="AD407" i="34"/>
  <c r="AD422" i="34"/>
  <c r="AD423" i="34"/>
  <c r="AD427" i="34"/>
  <c r="AD486" i="34"/>
  <c r="AD499" i="34"/>
  <c r="AD506" i="34"/>
  <c r="AD516" i="34"/>
  <c r="AD520" i="34"/>
  <c r="AD522" i="34"/>
  <c r="AD523" i="34"/>
  <c r="AD534" i="34"/>
  <c r="AD539" i="34"/>
  <c r="AD540" i="34"/>
  <c r="AD542" i="34"/>
  <c r="AE22" i="34"/>
  <c r="AE33" i="34"/>
  <c r="AE46" i="34"/>
  <c r="AE106" i="34"/>
  <c r="AE141" i="34"/>
  <c r="AE155" i="34"/>
  <c r="AE168" i="34"/>
  <c r="AE191" i="34"/>
  <c r="AE196" i="34"/>
  <c r="AE200" i="34"/>
  <c r="AE210" i="34"/>
  <c r="AE225" i="34"/>
  <c r="AE230" i="34"/>
  <c r="AE305" i="34"/>
  <c r="AE311" i="34"/>
  <c r="AE318" i="34"/>
  <c r="AE374" i="34"/>
  <c r="AE382" i="34"/>
  <c r="AE391" i="34"/>
  <c r="AE407" i="34"/>
  <c r="AE422" i="34"/>
  <c r="AE423" i="34"/>
  <c r="AE427" i="34"/>
  <c r="AE486" i="34"/>
  <c r="AE499" i="34"/>
  <c r="AE506" i="34"/>
  <c r="AE516" i="34"/>
  <c r="AE520" i="34"/>
  <c r="AE522" i="34"/>
  <c r="AE523" i="34"/>
  <c r="AE534" i="34"/>
  <c r="AE539" i="34"/>
  <c r="AE540" i="34"/>
  <c r="AE542" i="34"/>
  <c r="AF22" i="34"/>
  <c r="AF33" i="34"/>
  <c r="AF46" i="34"/>
  <c r="AF106" i="34"/>
  <c r="AF141" i="34"/>
  <c r="AF155" i="34"/>
  <c r="AF168" i="34"/>
  <c r="AF191" i="34"/>
  <c r="AF196" i="34"/>
  <c r="AF200" i="34"/>
  <c r="AF210" i="34"/>
  <c r="AF225" i="34"/>
  <c r="AF230" i="34"/>
  <c r="AF305" i="34"/>
  <c r="AF311" i="34"/>
  <c r="AF318" i="34"/>
  <c r="AF374" i="34"/>
  <c r="AF382" i="34"/>
  <c r="AF391" i="34"/>
  <c r="AF407" i="34"/>
  <c r="AF422" i="34"/>
  <c r="AF423" i="34"/>
  <c r="AF427" i="34"/>
  <c r="AF486" i="34"/>
  <c r="AF499" i="34"/>
  <c r="AF506" i="34"/>
  <c r="AF516" i="34"/>
  <c r="AF520" i="34"/>
  <c r="AF522" i="34"/>
  <c r="AF523" i="34"/>
  <c r="AF534" i="34"/>
  <c r="AF539" i="34"/>
  <c r="AF540" i="34"/>
  <c r="AF542" i="34"/>
  <c r="AG22" i="34"/>
  <c r="AG33" i="34"/>
  <c r="AG46" i="34"/>
  <c r="AG106" i="34"/>
  <c r="AG141" i="34"/>
  <c r="AG155" i="34"/>
  <c r="AG168" i="34"/>
  <c r="AG191" i="34"/>
  <c r="AG196" i="34"/>
  <c r="AG200" i="34"/>
  <c r="AG210" i="34"/>
  <c r="AG225" i="34"/>
  <c r="AG230" i="34"/>
  <c r="AG305" i="34"/>
  <c r="AG311" i="34"/>
  <c r="AG318" i="34"/>
  <c r="AG374" i="34"/>
  <c r="AG382" i="34"/>
  <c r="AG391" i="34"/>
  <c r="AG407" i="34"/>
  <c r="AG422" i="34"/>
  <c r="AG423" i="34"/>
  <c r="AG427" i="34"/>
  <c r="AG486" i="34"/>
  <c r="AG499" i="34"/>
  <c r="AG506" i="34"/>
  <c r="AG516" i="34"/>
  <c r="AG520" i="34"/>
  <c r="AG522" i="34"/>
  <c r="AG523" i="34"/>
  <c r="AG534" i="34"/>
  <c r="AG539" i="34"/>
  <c r="AG540" i="34"/>
  <c r="AG542" i="34"/>
  <c r="D26" i="34"/>
  <c r="D81" i="34"/>
  <c r="D142" i="34"/>
  <c r="D163" i="34"/>
  <c r="D172" i="34"/>
  <c r="D203" i="34"/>
  <c r="D244" i="34"/>
  <c r="D279" i="34"/>
  <c r="D332" i="34"/>
  <c r="D341" i="34"/>
  <c r="D362" i="34"/>
  <c r="D412" i="34"/>
  <c r="O26" i="34"/>
  <c r="O81" i="34"/>
  <c r="O142" i="34"/>
  <c r="O163" i="34"/>
  <c r="O172" i="34"/>
  <c r="O203" i="34"/>
  <c r="O244" i="34"/>
  <c r="O279" i="34"/>
  <c r="O332" i="34"/>
  <c r="O341" i="34"/>
  <c r="O362" i="34"/>
  <c r="O412" i="34"/>
  <c r="P26" i="34"/>
  <c r="P81" i="34"/>
  <c r="P142" i="34"/>
  <c r="P163" i="34"/>
  <c r="P172" i="34"/>
  <c r="P203" i="34"/>
  <c r="P244" i="34"/>
  <c r="P279" i="34"/>
  <c r="P332" i="34"/>
  <c r="P341" i="34"/>
  <c r="P362" i="34"/>
  <c r="P412" i="34"/>
  <c r="Q26" i="34"/>
  <c r="Q81" i="34"/>
  <c r="Q142" i="34"/>
  <c r="Q163" i="34"/>
  <c r="Q172" i="34"/>
  <c r="Q203" i="34"/>
  <c r="Q244" i="34"/>
  <c r="Q279" i="34"/>
  <c r="Q332" i="34"/>
  <c r="Q341" i="34"/>
  <c r="Q362" i="34"/>
  <c r="Q412" i="34"/>
  <c r="U26" i="34"/>
  <c r="U81" i="34"/>
  <c r="U142" i="34"/>
  <c r="U163" i="34"/>
  <c r="U172" i="34"/>
  <c r="U203" i="34"/>
  <c r="U244" i="34"/>
  <c r="U279" i="34"/>
  <c r="U332" i="34"/>
  <c r="U341" i="34"/>
  <c r="U362" i="34"/>
  <c r="U412" i="34"/>
  <c r="V26" i="34"/>
  <c r="V81" i="34"/>
  <c r="V142" i="34"/>
  <c r="V163" i="34"/>
  <c r="V172" i="34"/>
  <c r="V203" i="34"/>
  <c r="V244" i="34"/>
  <c r="V279" i="34"/>
  <c r="V332" i="34"/>
  <c r="V341" i="34"/>
  <c r="V362" i="34"/>
  <c r="V412" i="34"/>
  <c r="W26" i="34"/>
  <c r="W81" i="34"/>
  <c r="W142" i="34"/>
  <c r="W163" i="34"/>
  <c r="W172" i="34"/>
  <c r="W203" i="34"/>
  <c r="W244" i="34"/>
  <c r="W279" i="34"/>
  <c r="W332" i="34"/>
  <c r="W341" i="34"/>
  <c r="W362" i="34"/>
  <c r="W412" i="34"/>
  <c r="X26" i="34"/>
  <c r="X81" i="34"/>
  <c r="X142" i="34"/>
  <c r="X163" i="34"/>
  <c r="X172" i="34"/>
  <c r="X203" i="34"/>
  <c r="X244" i="34"/>
  <c r="X279" i="34"/>
  <c r="X332" i="34"/>
  <c r="X341" i="34"/>
  <c r="X362" i="34"/>
  <c r="X412" i="34"/>
  <c r="Y26" i="34"/>
  <c r="Y81" i="34"/>
  <c r="Y142" i="34"/>
  <c r="Y163" i="34"/>
  <c r="Y172" i="34"/>
  <c r="Y203" i="34"/>
  <c r="Y244" i="34"/>
  <c r="Y279" i="34"/>
  <c r="Y332" i="34"/>
  <c r="Y341" i="34"/>
  <c r="Y362" i="34"/>
  <c r="Y412" i="34"/>
  <c r="Z26" i="34"/>
  <c r="Z81" i="34"/>
  <c r="Z142" i="34"/>
  <c r="Z163" i="34"/>
  <c r="Z172" i="34"/>
  <c r="Z203" i="34"/>
  <c r="Z244" i="34"/>
  <c r="Z279" i="34"/>
  <c r="Z332" i="34"/>
  <c r="Z341" i="34"/>
  <c r="Z362" i="34"/>
  <c r="Z412" i="34"/>
  <c r="AA26" i="34"/>
  <c r="AA81" i="34"/>
  <c r="AA142" i="34"/>
  <c r="AA163" i="34"/>
  <c r="AA172" i="34"/>
  <c r="AA203" i="34"/>
  <c r="AA244" i="34"/>
  <c r="AA279" i="34"/>
  <c r="AA332" i="34"/>
  <c r="AA341" i="34"/>
  <c r="AA362" i="34"/>
  <c r="AA412" i="34"/>
  <c r="AB26" i="34"/>
  <c r="AB81" i="34"/>
  <c r="AB142" i="34"/>
  <c r="AB163" i="34"/>
  <c r="AB172" i="34"/>
  <c r="AB203" i="34"/>
  <c r="AB244" i="34"/>
  <c r="AB279" i="34"/>
  <c r="AB332" i="34"/>
  <c r="AB341" i="34"/>
  <c r="AB362" i="34"/>
  <c r="AB412" i="34"/>
  <c r="AC26" i="34"/>
  <c r="AC81" i="34"/>
  <c r="AC142" i="34"/>
  <c r="AC163" i="34"/>
  <c r="AC172" i="34"/>
  <c r="AC203" i="34"/>
  <c r="AC244" i="34"/>
  <c r="AC279" i="34"/>
  <c r="AC332" i="34"/>
  <c r="AC341" i="34"/>
  <c r="AC362" i="34"/>
  <c r="AC412" i="34"/>
  <c r="AD26" i="34"/>
  <c r="AD81" i="34"/>
  <c r="AD142" i="34"/>
  <c r="AD163" i="34"/>
  <c r="AD172" i="34"/>
  <c r="AD203" i="34"/>
  <c r="AD244" i="34"/>
  <c r="AD279" i="34"/>
  <c r="AD332" i="34"/>
  <c r="AD341" i="34"/>
  <c r="AD362" i="34"/>
  <c r="AD412" i="34"/>
  <c r="AE26" i="34"/>
  <c r="AE81" i="34"/>
  <c r="AE142" i="34"/>
  <c r="AE163" i="34"/>
  <c r="AE172" i="34"/>
  <c r="AE203" i="34"/>
  <c r="AE244" i="34"/>
  <c r="AE279" i="34"/>
  <c r="AE332" i="34"/>
  <c r="AE341" i="34"/>
  <c r="AE362" i="34"/>
  <c r="AE412" i="34"/>
  <c r="AF26" i="34"/>
  <c r="AF81" i="34"/>
  <c r="AF142" i="34"/>
  <c r="AF163" i="34"/>
  <c r="AF172" i="34"/>
  <c r="AF203" i="34"/>
  <c r="AF244" i="34"/>
  <c r="AF279" i="34"/>
  <c r="AF332" i="34"/>
  <c r="AF341" i="34"/>
  <c r="AF362" i="34"/>
  <c r="AF412" i="34"/>
  <c r="AG26" i="34"/>
  <c r="AG81" i="34"/>
  <c r="AG142" i="34"/>
  <c r="AG163" i="34"/>
  <c r="AG172" i="34"/>
  <c r="AG203" i="34"/>
  <c r="AG244" i="34"/>
  <c r="AG279" i="34"/>
  <c r="AG332" i="34"/>
  <c r="AG341" i="34"/>
  <c r="AG362" i="34"/>
  <c r="AG412" i="34"/>
  <c r="D31" i="34"/>
  <c r="D35" i="34"/>
  <c r="D40" i="34"/>
  <c r="D53" i="34"/>
  <c r="D76" i="34"/>
  <c r="D87" i="34"/>
  <c r="D89" i="34"/>
  <c r="D95" i="34"/>
  <c r="D140" i="34"/>
  <c r="D160" i="34"/>
  <c r="D166" i="34"/>
  <c r="D173" i="34"/>
  <c r="D176" i="34"/>
  <c r="D177" i="34"/>
  <c r="D194" i="34"/>
  <c r="D217" i="34"/>
  <c r="D228" i="34"/>
  <c r="D261" i="34"/>
  <c r="D272" i="34"/>
  <c r="D285" i="34"/>
  <c r="D292" i="34"/>
  <c r="D296" i="34"/>
  <c r="D304" i="34"/>
  <c r="D315" i="34"/>
  <c r="D327" i="34"/>
  <c r="D348" i="34"/>
  <c r="D363" i="34"/>
  <c r="D370" i="34"/>
  <c r="D379" i="34"/>
  <c r="D387" i="34"/>
  <c r="D396" i="34"/>
  <c r="D402" i="34"/>
  <c r="D410" i="34"/>
  <c r="D413" i="34"/>
  <c r="D420" i="34"/>
  <c r="D445" i="34"/>
  <c r="D457" i="34"/>
  <c r="D462" i="34"/>
  <c r="D469" i="34"/>
  <c r="D473" i="34"/>
  <c r="D482" i="34"/>
  <c r="D489" i="34"/>
  <c r="D501" i="34"/>
  <c r="D513" i="34"/>
  <c r="O31" i="34"/>
  <c r="O35" i="34"/>
  <c r="O40" i="34"/>
  <c r="O53" i="34"/>
  <c r="O76" i="34"/>
  <c r="O87" i="34"/>
  <c r="O89" i="34"/>
  <c r="O95" i="34"/>
  <c r="O140" i="34"/>
  <c r="O160" i="34"/>
  <c r="O166" i="34"/>
  <c r="O173" i="34"/>
  <c r="O176" i="34"/>
  <c r="O177" i="34"/>
  <c r="O194" i="34"/>
  <c r="O217" i="34"/>
  <c r="O228" i="34"/>
  <c r="O261" i="34"/>
  <c r="O272" i="34"/>
  <c r="O285" i="34"/>
  <c r="O292" i="34"/>
  <c r="O296" i="34"/>
  <c r="O304" i="34"/>
  <c r="O315" i="34"/>
  <c r="O327" i="34"/>
  <c r="O348" i="34"/>
  <c r="O363" i="34"/>
  <c r="O370" i="34"/>
  <c r="O379" i="34"/>
  <c r="O387" i="34"/>
  <c r="O396" i="34"/>
  <c r="O402" i="34"/>
  <c r="O410" i="34"/>
  <c r="O413" i="34"/>
  <c r="O420" i="34"/>
  <c r="O445" i="34"/>
  <c r="O457" i="34"/>
  <c r="O462" i="34"/>
  <c r="O469" i="34"/>
  <c r="O473" i="34"/>
  <c r="O482" i="34"/>
  <c r="O489" i="34"/>
  <c r="O501" i="34"/>
  <c r="O513" i="34"/>
  <c r="P31" i="34"/>
  <c r="P35" i="34"/>
  <c r="P40" i="34"/>
  <c r="P53" i="34"/>
  <c r="P76" i="34"/>
  <c r="P87" i="34"/>
  <c r="P89" i="34"/>
  <c r="P95" i="34"/>
  <c r="P140" i="34"/>
  <c r="P160" i="34"/>
  <c r="P166" i="34"/>
  <c r="P173" i="34"/>
  <c r="P176" i="34"/>
  <c r="P177" i="34"/>
  <c r="P194" i="34"/>
  <c r="P217" i="34"/>
  <c r="P228" i="34"/>
  <c r="P261" i="34"/>
  <c r="P272" i="34"/>
  <c r="P285" i="34"/>
  <c r="P292" i="34"/>
  <c r="P296" i="34"/>
  <c r="P304" i="34"/>
  <c r="P315" i="34"/>
  <c r="P327" i="34"/>
  <c r="P348" i="34"/>
  <c r="P363" i="34"/>
  <c r="P370" i="34"/>
  <c r="P379" i="34"/>
  <c r="P387" i="34"/>
  <c r="P396" i="34"/>
  <c r="P402" i="34"/>
  <c r="P410" i="34"/>
  <c r="P413" i="34"/>
  <c r="P420" i="34"/>
  <c r="P445" i="34"/>
  <c r="P457" i="34"/>
  <c r="P462" i="34"/>
  <c r="P469" i="34"/>
  <c r="P473" i="34"/>
  <c r="P482" i="34"/>
  <c r="P489" i="34"/>
  <c r="P501" i="34"/>
  <c r="P513" i="34"/>
  <c r="Q31" i="34"/>
  <c r="Q35" i="34"/>
  <c r="Q40" i="34"/>
  <c r="Q53" i="34"/>
  <c r="Q76" i="34"/>
  <c r="Q87" i="34"/>
  <c r="Q89" i="34"/>
  <c r="Q95" i="34"/>
  <c r="Q140" i="34"/>
  <c r="Q160" i="34"/>
  <c r="Q166" i="34"/>
  <c r="Q173" i="34"/>
  <c r="Q176" i="34"/>
  <c r="Q177" i="34"/>
  <c r="Q194" i="34"/>
  <c r="Q217" i="34"/>
  <c r="Q228" i="34"/>
  <c r="Q261" i="34"/>
  <c r="Q272" i="34"/>
  <c r="Q285" i="34"/>
  <c r="Q292" i="34"/>
  <c r="Q296" i="34"/>
  <c r="Q304" i="34"/>
  <c r="Q315" i="34"/>
  <c r="Q327" i="34"/>
  <c r="Q348" i="34"/>
  <c r="Q363" i="34"/>
  <c r="Q370" i="34"/>
  <c r="Q379" i="34"/>
  <c r="Q387" i="34"/>
  <c r="Q396" i="34"/>
  <c r="Q402" i="34"/>
  <c r="Q410" i="34"/>
  <c r="Q413" i="34"/>
  <c r="Q420" i="34"/>
  <c r="Q445" i="34"/>
  <c r="Q457" i="34"/>
  <c r="Q462" i="34"/>
  <c r="Q469" i="34"/>
  <c r="Q473" i="34"/>
  <c r="Q482" i="34"/>
  <c r="Q489" i="34"/>
  <c r="Q501" i="34"/>
  <c r="Q513" i="34"/>
  <c r="U31" i="34"/>
  <c r="U35" i="34"/>
  <c r="U40" i="34"/>
  <c r="U53" i="34"/>
  <c r="U76" i="34"/>
  <c r="U87" i="34"/>
  <c r="U89" i="34"/>
  <c r="U95" i="34"/>
  <c r="U140" i="34"/>
  <c r="U160" i="34"/>
  <c r="U166" i="34"/>
  <c r="U173" i="34"/>
  <c r="U176" i="34"/>
  <c r="U177" i="34"/>
  <c r="U194" i="34"/>
  <c r="U217" i="34"/>
  <c r="U228" i="34"/>
  <c r="U261" i="34"/>
  <c r="U272" i="34"/>
  <c r="U285" i="34"/>
  <c r="U292" i="34"/>
  <c r="U296" i="34"/>
  <c r="U304" i="34"/>
  <c r="U315" i="34"/>
  <c r="U327" i="34"/>
  <c r="U348" i="34"/>
  <c r="U363" i="34"/>
  <c r="U370" i="34"/>
  <c r="U379" i="34"/>
  <c r="U387" i="34"/>
  <c r="U396" i="34"/>
  <c r="U402" i="34"/>
  <c r="U410" i="34"/>
  <c r="U413" i="34"/>
  <c r="U420" i="34"/>
  <c r="U445" i="34"/>
  <c r="U457" i="34"/>
  <c r="U462" i="34"/>
  <c r="U469" i="34"/>
  <c r="U473" i="34"/>
  <c r="U482" i="34"/>
  <c r="U489" i="34"/>
  <c r="U501" i="34"/>
  <c r="U513" i="34"/>
  <c r="V31" i="34"/>
  <c r="V35" i="34"/>
  <c r="V40" i="34"/>
  <c r="V53" i="34"/>
  <c r="V76" i="34"/>
  <c r="V87" i="34"/>
  <c r="V89" i="34"/>
  <c r="V95" i="34"/>
  <c r="V140" i="34"/>
  <c r="V160" i="34"/>
  <c r="V166" i="34"/>
  <c r="V173" i="34"/>
  <c r="V176" i="34"/>
  <c r="V177" i="34"/>
  <c r="V194" i="34"/>
  <c r="V217" i="34"/>
  <c r="V228" i="34"/>
  <c r="V261" i="34"/>
  <c r="V272" i="34"/>
  <c r="V285" i="34"/>
  <c r="V292" i="34"/>
  <c r="V296" i="34"/>
  <c r="V304" i="34"/>
  <c r="V315" i="34"/>
  <c r="V327" i="34"/>
  <c r="V348" i="34"/>
  <c r="V363" i="34"/>
  <c r="V370" i="34"/>
  <c r="V379" i="34"/>
  <c r="V387" i="34"/>
  <c r="V396" i="34"/>
  <c r="V402" i="34"/>
  <c r="V410" i="34"/>
  <c r="V413" i="34"/>
  <c r="V420" i="34"/>
  <c r="V445" i="34"/>
  <c r="V457" i="34"/>
  <c r="V462" i="34"/>
  <c r="V469" i="34"/>
  <c r="V473" i="34"/>
  <c r="V482" i="34"/>
  <c r="V489" i="34"/>
  <c r="V501" i="34"/>
  <c r="V513" i="34"/>
  <c r="W31" i="34"/>
  <c r="W35" i="34"/>
  <c r="W40" i="34"/>
  <c r="W53" i="34"/>
  <c r="W76" i="34"/>
  <c r="W87" i="34"/>
  <c r="W89" i="34"/>
  <c r="W95" i="34"/>
  <c r="W140" i="34"/>
  <c r="W160" i="34"/>
  <c r="W166" i="34"/>
  <c r="W173" i="34"/>
  <c r="W176" i="34"/>
  <c r="W177" i="34"/>
  <c r="W194" i="34"/>
  <c r="W217" i="34"/>
  <c r="W228" i="34"/>
  <c r="W261" i="34"/>
  <c r="W272" i="34"/>
  <c r="W285" i="34"/>
  <c r="W292" i="34"/>
  <c r="W296" i="34"/>
  <c r="W304" i="34"/>
  <c r="W315" i="34"/>
  <c r="W327" i="34"/>
  <c r="W348" i="34"/>
  <c r="W363" i="34"/>
  <c r="W370" i="34"/>
  <c r="W379" i="34"/>
  <c r="W387" i="34"/>
  <c r="W396" i="34"/>
  <c r="W402" i="34"/>
  <c r="W410" i="34"/>
  <c r="W413" i="34"/>
  <c r="W420" i="34"/>
  <c r="W445" i="34"/>
  <c r="W457" i="34"/>
  <c r="W462" i="34"/>
  <c r="W469" i="34"/>
  <c r="W473" i="34"/>
  <c r="W482" i="34"/>
  <c r="W489" i="34"/>
  <c r="W501" i="34"/>
  <c r="W513" i="34"/>
  <c r="X31" i="34"/>
  <c r="X35" i="34"/>
  <c r="X40" i="34"/>
  <c r="X53" i="34"/>
  <c r="X76" i="34"/>
  <c r="X87" i="34"/>
  <c r="X89" i="34"/>
  <c r="X95" i="34"/>
  <c r="X140" i="34"/>
  <c r="X160" i="34"/>
  <c r="X166" i="34"/>
  <c r="X173" i="34"/>
  <c r="X176" i="34"/>
  <c r="X177" i="34"/>
  <c r="X194" i="34"/>
  <c r="X217" i="34"/>
  <c r="X228" i="34"/>
  <c r="X261" i="34"/>
  <c r="X272" i="34"/>
  <c r="X285" i="34"/>
  <c r="X292" i="34"/>
  <c r="X296" i="34"/>
  <c r="X304" i="34"/>
  <c r="X315" i="34"/>
  <c r="X327" i="34"/>
  <c r="X348" i="34"/>
  <c r="X363" i="34"/>
  <c r="X370" i="34"/>
  <c r="X379" i="34"/>
  <c r="X387" i="34"/>
  <c r="X396" i="34"/>
  <c r="X402" i="34"/>
  <c r="X410" i="34"/>
  <c r="X413" i="34"/>
  <c r="X420" i="34"/>
  <c r="X445" i="34"/>
  <c r="X457" i="34"/>
  <c r="X462" i="34"/>
  <c r="X469" i="34"/>
  <c r="X473" i="34"/>
  <c r="X482" i="34"/>
  <c r="X489" i="34"/>
  <c r="X501" i="34"/>
  <c r="X513" i="34"/>
  <c r="Y31" i="34"/>
  <c r="Y35" i="34"/>
  <c r="Y40" i="34"/>
  <c r="Y53" i="34"/>
  <c r="Y76" i="34"/>
  <c r="Y87" i="34"/>
  <c r="Y89" i="34"/>
  <c r="Y95" i="34"/>
  <c r="Y140" i="34"/>
  <c r="Y160" i="34"/>
  <c r="Y166" i="34"/>
  <c r="Y173" i="34"/>
  <c r="Y176" i="34"/>
  <c r="Y177" i="34"/>
  <c r="Y194" i="34"/>
  <c r="Y217" i="34"/>
  <c r="Y228" i="34"/>
  <c r="Y261" i="34"/>
  <c r="Y272" i="34"/>
  <c r="Y285" i="34"/>
  <c r="Y292" i="34"/>
  <c r="Y296" i="34"/>
  <c r="Y304" i="34"/>
  <c r="Y315" i="34"/>
  <c r="Y327" i="34"/>
  <c r="Y348" i="34"/>
  <c r="Y363" i="34"/>
  <c r="Y370" i="34"/>
  <c r="Y379" i="34"/>
  <c r="Y387" i="34"/>
  <c r="Y396" i="34"/>
  <c r="Y402" i="34"/>
  <c r="Y410" i="34"/>
  <c r="Y413" i="34"/>
  <c r="Y420" i="34"/>
  <c r="Y445" i="34"/>
  <c r="Y457" i="34"/>
  <c r="Y462" i="34"/>
  <c r="Y469" i="34"/>
  <c r="Y473" i="34"/>
  <c r="Y482" i="34"/>
  <c r="Y489" i="34"/>
  <c r="Y501" i="34"/>
  <c r="Y513" i="34"/>
  <c r="Z31" i="34"/>
  <c r="Z35" i="34"/>
  <c r="Z40" i="34"/>
  <c r="Z53" i="34"/>
  <c r="Z76" i="34"/>
  <c r="Z87" i="34"/>
  <c r="Z89" i="34"/>
  <c r="Z95" i="34"/>
  <c r="Z140" i="34"/>
  <c r="Z160" i="34"/>
  <c r="Z166" i="34"/>
  <c r="Z173" i="34"/>
  <c r="Z176" i="34"/>
  <c r="Z177" i="34"/>
  <c r="Z194" i="34"/>
  <c r="Z217" i="34"/>
  <c r="Z228" i="34"/>
  <c r="Z261" i="34"/>
  <c r="Z272" i="34"/>
  <c r="Z285" i="34"/>
  <c r="Z292" i="34"/>
  <c r="Z296" i="34"/>
  <c r="Z304" i="34"/>
  <c r="Z315" i="34"/>
  <c r="Z327" i="34"/>
  <c r="Z348" i="34"/>
  <c r="Z363" i="34"/>
  <c r="Z370" i="34"/>
  <c r="Z379" i="34"/>
  <c r="Z387" i="34"/>
  <c r="Z396" i="34"/>
  <c r="Z402" i="34"/>
  <c r="Z410" i="34"/>
  <c r="Z413" i="34"/>
  <c r="Z420" i="34"/>
  <c r="Z445" i="34"/>
  <c r="Z457" i="34"/>
  <c r="Z462" i="34"/>
  <c r="Z469" i="34"/>
  <c r="Z473" i="34"/>
  <c r="Z482" i="34"/>
  <c r="Z489" i="34"/>
  <c r="Z501" i="34"/>
  <c r="Z513" i="34"/>
  <c r="AA31" i="34"/>
  <c r="AA35" i="34"/>
  <c r="AA40" i="34"/>
  <c r="AA53" i="34"/>
  <c r="AA76" i="34"/>
  <c r="AA87" i="34"/>
  <c r="AA89" i="34"/>
  <c r="AA95" i="34"/>
  <c r="AA140" i="34"/>
  <c r="AA160" i="34"/>
  <c r="AA166" i="34"/>
  <c r="AA173" i="34"/>
  <c r="AA176" i="34"/>
  <c r="AA177" i="34"/>
  <c r="AA194" i="34"/>
  <c r="AA217" i="34"/>
  <c r="AA228" i="34"/>
  <c r="AA261" i="34"/>
  <c r="AA272" i="34"/>
  <c r="AA285" i="34"/>
  <c r="AA292" i="34"/>
  <c r="AA296" i="34"/>
  <c r="AA304" i="34"/>
  <c r="AA315" i="34"/>
  <c r="AA327" i="34"/>
  <c r="AA348" i="34"/>
  <c r="AA363" i="34"/>
  <c r="AA370" i="34"/>
  <c r="AA379" i="34"/>
  <c r="AA387" i="34"/>
  <c r="AA396" i="34"/>
  <c r="AA402" i="34"/>
  <c r="AA410" i="34"/>
  <c r="AA413" i="34"/>
  <c r="AA420" i="34"/>
  <c r="AA445" i="34"/>
  <c r="AA457" i="34"/>
  <c r="AA462" i="34"/>
  <c r="AA469" i="34"/>
  <c r="AA473" i="34"/>
  <c r="AA482" i="34"/>
  <c r="AA489" i="34"/>
  <c r="AA501" i="34"/>
  <c r="AA513" i="34"/>
  <c r="AB31" i="34"/>
  <c r="AB35" i="34"/>
  <c r="AB40" i="34"/>
  <c r="AB53" i="34"/>
  <c r="AB76" i="34"/>
  <c r="AB87" i="34"/>
  <c r="AB89" i="34"/>
  <c r="AB95" i="34"/>
  <c r="AB140" i="34"/>
  <c r="AB160" i="34"/>
  <c r="AB166" i="34"/>
  <c r="AB173" i="34"/>
  <c r="AB176" i="34"/>
  <c r="AB177" i="34"/>
  <c r="AB194" i="34"/>
  <c r="AB217" i="34"/>
  <c r="AB228" i="34"/>
  <c r="AB261" i="34"/>
  <c r="AB272" i="34"/>
  <c r="AB285" i="34"/>
  <c r="AB292" i="34"/>
  <c r="AB296" i="34"/>
  <c r="AB304" i="34"/>
  <c r="AB315" i="34"/>
  <c r="AB327" i="34"/>
  <c r="AB348" i="34"/>
  <c r="AB363" i="34"/>
  <c r="AB370" i="34"/>
  <c r="AB379" i="34"/>
  <c r="AB387" i="34"/>
  <c r="AB396" i="34"/>
  <c r="AB402" i="34"/>
  <c r="AB410" i="34"/>
  <c r="AB413" i="34"/>
  <c r="AB420" i="34"/>
  <c r="AB445" i="34"/>
  <c r="AB457" i="34"/>
  <c r="AB462" i="34"/>
  <c r="AB469" i="34"/>
  <c r="AB473" i="34"/>
  <c r="AB482" i="34"/>
  <c r="AB489" i="34"/>
  <c r="AB501" i="34"/>
  <c r="AB513" i="34"/>
  <c r="AC31" i="34"/>
  <c r="AC35" i="34"/>
  <c r="AC40" i="34"/>
  <c r="AC53" i="34"/>
  <c r="AC76" i="34"/>
  <c r="AC87" i="34"/>
  <c r="AC89" i="34"/>
  <c r="AC95" i="34"/>
  <c r="AC140" i="34"/>
  <c r="AC160" i="34"/>
  <c r="AC166" i="34"/>
  <c r="AC173" i="34"/>
  <c r="AC176" i="34"/>
  <c r="AC177" i="34"/>
  <c r="AC194" i="34"/>
  <c r="AC217" i="34"/>
  <c r="AC228" i="34"/>
  <c r="AC261" i="34"/>
  <c r="AC272" i="34"/>
  <c r="AC285" i="34"/>
  <c r="AC292" i="34"/>
  <c r="AC296" i="34"/>
  <c r="AC304" i="34"/>
  <c r="AC315" i="34"/>
  <c r="AC327" i="34"/>
  <c r="AC348" i="34"/>
  <c r="AC363" i="34"/>
  <c r="AC370" i="34"/>
  <c r="AC379" i="34"/>
  <c r="AC387" i="34"/>
  <c r="AC396" i="34"/>
  <c r="AC402" i="34"/>
  <c r="AC410" i="34"/>
  <c r="AC413" i="34"/>
  <c r="AC420" i="34"/>
  <c r="AC445" i="34"/>
  <c r="AC457" i="34"/>
  <c r="AC462" i="34"/>
  <c r="AC469" i="34"/>
  <c r="AC473" i="34"/>
  <c r="AC482" i="34"/>
  <c r="AC489" i="34"/>
  <c r="AC501" i="34"/>
  <c r="AC513" i="34"/>
  <c r="AD31" i="34"/>
  <c r="AD35" i="34"/>
  <c r="AD40" i="34"/>
  <c r="AD53" i="34"/>
  <c r="AD76" i="34"/>
  <c r="AD87" i="34"/>
  <c r="AD89" i="34"/>
  <c r="AD95" i="34"/>
  <c r="AD140" i="34"/>
  <c r="AD160" i="34"/>
  <c r="AD166" i="34"/>
  <c r="AD173" i="34"/>
  <c r="AD176" i="34"/>
  <c r="AD177" i="34"/>
  <c r="AD194" i="34"/>
  <c r="AD217" i="34"/>
  <c r="AD228" i="34"/>
  <c r="AD261" i="34"/>
  <c r="AD272" i="34"/>
  <c r="AD285" i="34"/>
  <c r="AD292" i="34"/>
  <c r="AD296" i="34"/>
  <c r="AD304" i="34"/>
  <c r="AD315" i="34"/>
  <c r="AD327" i="34"/>
  <c r="AD348" i="34"/>
  <c r="AD363" i="34"/>
  <c r="AD370" i="34"/>
  <c r="AD379" i="34"/>
  <c r="AD387" i="34"/>
  <c r="AD396" i="34"/>
  <c r="AD402" i="34"/>
  <c r="AD410" i="34"/>
  <c r="AD413" i="34"/>
  <c r="AD420" i="34"/>
  <c r="AD445" i="34"/>
  <c r="AD457" i="34"/>
  <c r="AD462" i="34"/>
  <c r="AD469" i="34"/>
  <c r="AD473" i="34"/>
  <c r="AD482" i="34"/>
  <c r="AD489" i="34"/>
  <c r="AD501" i="34"/>
  <c r="AD513" i="34"/>
  <c r="AE31" i="34"/>
  <c r="AE35" i="34"/>
  <c r="AE40" i="34"/>
  <c r="AE53" i="34"/>
  <c r="AE76" i="34"/>
  <c r="AE87" i="34"/>
  <c r="AE89" i="34"/>
  <c r="AE95" i="34"/>
  <c r="AE140" i="34"/>
  <c r="AE160" i="34"/>
  <c r="AE166" i="34"/>
  <c r="AE173" i="34"/>
  <c r="AE176" i="34"/>
  <c r="AE177" i="34"/>
  <c r="AE194" i="34"/>
  <c r="AE217" i="34"/>
  <c r="AE228" i="34"/>
  <c r="AE261" i="34"/>
  <c r="AE272" i="34"/>
  <c r="AE285" i="34"/>
  <c r="AE292" i="34"/>
  <c r="AE296" i="34"/>
  <c r="AE304" i="34"/>
  <c r="AE315" i="34"/>
  <c r="AE327" i="34"/>
  <c r="AE348" i="34"/>
  <c r="AE363" i="34"/>
  <c r="AE370" i="34"/>
  <c r="AE379" i="34"/>
  <c r="AE387" i="34"/>
  <c r="AE396" i="34"/>
  <c r="AE402" i="34"/>
  <c r="AE410" i="34"/>
  <c r="AE413" i="34"/>
  <c r="AE420" i="34"/>
  <c r="AE445" i="34"/>
  <c r="AE457" i="34"/>
  <c r="AE462" i="34"/>
  <c r="AE469" i="34"/>
  <c r="AE473" i="34"/>
  <c r="AE482" i="34"/>
  <c r="AE489" i="34"/>
  <c r="AE501" i="34"/>
  <c r="AE513" i="34"/>
  <c r="AF31" i="34"/>
  <c r="AF35" i="34"/>
  <c r="AF40" i="34"/>
  <c r="AF53" i="34"/>
  <c r="AF76" i="34"/>
  <c r="AF87" i="34"/>
  <c r="AF89" i="34"/>
  <c r="AF95" i="34"/>
  <c r="AF140" i="34"/>
  <c r="AF160" i="34"/>
  <c r="AF166" i="34"/>
  <c r="AF173" i="34"/>
  <c r="AF176" i="34"/>
  <c r="AF177" i="34"/>
  <c r="AF194" i="34"/>
  <c r="AF217" i="34"/>
  <c r="AF228" i="34"/>
  <c r="AF261" i="34"/>
  <c r="AF272" i="34"/>
  <c r="AF285" i="34"/>
  <c r="AF292" i="34"/>
  <c r="AF296" i="34"/>
  <c r="AF304" i="34"/>
  <c r="AF315" i="34"/>
  <c r="AF327" i="34"/>
  <c r="AF348" i="34"/>
  <c r="AF363" i="34"/>
  <c r="AF370" i="34"/>
  <c r="AF379" i="34"/>
  <c r="AF387" i="34"/>
  <c r="AF396" i="34"/>
  <c r="AF402" i="34"/>
  <c r="AF410" i="34"/>
  <c r="AF413" i="34"/>
  <c r="AF420" i="34"/>
  <c r="AF445" i="34"/>
  <c r="AF457" i="34"/>
  <c r="AF462" i="34"/>
  <c r="AF469" i="34"/>
  <c r="AF473" i="34"/>
  <c r="AF482" i="34"/>
  <c r="AF489" i="34"/>
  <c r="AF501" i="34"/>
  <c r="AF513" i="34"/>
  <c r="AG31" i="34"/>
  <c r="AG35" i="34"/>
  <c r="AG40" i="34"/>
  <c r="AG53" i="34"/>
  <c r="AG76" i="34"/>
  <c r="AG87" i="34"/>
  <c r="AG89" i="34"/>
  <c r="AG95" i="34"/>
  <c r="AG140" i="34"/>
  <c r="AG160" i="34"/>
  <c r="AG166" i="34"/>
  <c r="AG173" i="34"/>
  <c r="AG176" i="34"/>
  <c r="AG177" i="34"/>
  <c r="AG194" i="34"/>
  <c r="AG217" i="34"/>
  <c r="AG228" i="34"/>
  <c r="AG261" i="34"/>
  <c r="AG272" i="34"/>
  <c r="AG285" i="34"/>
  <c r="AG292" i="34"/>
  <c r="AG296" i="34"/>
  <c r="AG304" i="34"/>
  <c r="AG315" i="34"/>
  <c r="AG327" i="34"/>
  <c r="AG348" i="34"/>
  <c r="AG363" i="34"/>
  <c r="AG370" i="34"/>
  <c r="AG379" i="34"/>
  <c r="AG387" i="34"/>
  <c r="AG396" i="34"/>
  <c r="AG402" i="34"/>
  <c r="AG410" i="34"/>
  <c r="AG413" i="34"/>
  <c r="AG420" i="34"/>
  <c r="AG445" i="34"/>
  <c r="AG457" i="34"/>
  <c r="AG462" i="34"/>
  <c r="AG469" i="34"/>
  <c r="AG473" i="34"/>
  <c r="AG482" i="34"/>
  <c r="AG489" i="34"/>
  <c r="AG501" i="34"/>
  <c r="AG513" i="34"/>
  <c r="D29" i="34"/>
  <c r="D50" i="34"/>
  <c r="D65" i="34"/>
  <c r="D132" i="34"/>
  <c r="D148" i="34"/>
  <c r="D221" i="34"/>
  <c r="D239" i="34"/>
  <c r="D251" i="34"/>
  <c r="D273" i="34"/>
  <c r="D309" i="34"/>
  <c r="D320" i="34"/>
  <c r="D344" i="34"/>
  <c r="D351" i="34"/>
  <c r="D368" i="34"/>
  <c r="D403" i="34"/>
  <c r="D405" i="34"/>
  <c r="D414" i="34"/>
  <c r="D441" i="34"/>
  <c r="D480" i="34"/>
  <c r="D517" i="34"/>
  <c r="D524" i="34"/>
  <c r="O29" i="34"/>
  <c r="O50" i="34"/>
  <c r="O65" i="34"/>
  <c r="O132" i="34"/>
  <c r="O148" i="34"/>
  <c r="O221" i="34"/>
  <c r="O239" i="34"/>
  <c r="O251" i="34"/>
  <c r="O273" i="34"/>
  <c r="O309" i="34"/>
  <c r="O320" i="34"/>
  <c r="O344" i="34"/>
  <c r="O351" i="34"/>
  <c r="O368" i="34"/>
  <c r="O403" i="34"/>
  <c r="O405" i="34"/>
  <c r="O414" i="34"/>
  <c r="O441" i="34"/>
  <c r="O480" i="34"/>
  <c r="O517" i="34"/>
  <c r="O524" i="34"/>
  <c r="P29" i="34"/>
  <c r="P50" i="34"/>
  <c r="P65" i="34"/>
  <c r="P132" i="34"/>
  <c r="P148" i="34"/>
  <c r="P221" i="34"/>
  <c r="P239" i="34"/>
  <c r="P251" i="34"/>
  <c r="P273" i="34"/>
  <c r="P309" i="34"/>
  <c r="P320" i="34"/>
  <c r="P344" i="34"/>
  <c r="P351" i="34"/>
  <c r="P368" i="34"/>
  <c r="P403" i="34"/>
  <c r="P405" i="34"/>
  <c r="P414" i="34"/>
  <c r="P441" i="34"/>
  <c r="P480" i="34"/>
  <c r="P517" i="34"/>
  <c r="P524" i="34"/>
  <c r="Q29" i="34"/>
  <c r="Q50" i="34"/>
  <c r="Q65" i="34"/>
  <c r="Q132" i="34"/>
  <c r="Q148" i="34"/>
  <c r="Q221" i="34"/>
  <c r="Q239" i="34"/>
  <c r="Q251" i="34"/>
  <c r="Q273" i="34"/>
  <c r="Q309" i="34"/>
  <c r="Q320" i="34"/>
  <c r="Q344" i="34"/>
  <c r="Q351" i="34"/>
  <c r="Q368" i="34"/>
  <c r="Q403" i="34"/>
  <c r="Q405" i="34"/>
  <c r="Q414" i="34"/>
  <c r="Q441" i="34"/>
  <c r="Q480" i="34"/>
  <c r="Q517" i="34"/>
  <c r="Q524" i="34"/>
  <c r="U29" i="34"/>
  <c r="U50" i="34"/>
  <c r="U65" i="34"/>
  <c r="U132" i="34"/>
  <c r="U148" i="34"/>
  <c r="U221" i="34"/>
  <c r="U239" i="34"/>
  <c r="U251" i="34"/>
  <c r="U273" i="34"/>
  <c r="U309" i="34"/>
  <c r="U320" i="34"/>
  <c r="U344" i="34"/>
  <c r="U351" i="34"/>
  <c r="U368" i="34"/>
  <c r="U403" i="34"/>
  <c r="U405" i="34"/>
  <c r="U414" i="34"/>
  <c r="U441" i="34"/>
  <c r="U480" i="34"/>
  <c r="U517" i="34"/>
  <c r="U524" i="34"/>
  <c r="V29" i="34"/>
  <c r="V50" i="34"/>
  <c r="V65" i="34"/>
  <c r="V132" i="34"/>
  <c r="V148" i="34"/>
  <c r="V221" i="34"/>
  <c r="V239" i="34"/>
  <c r="V251" i="34"/>
  <c r="V273" i="34"/>
  <c r="V309" i="34"/>
  <c r="V320" i="34"/>
  <c r="V344" i="34"/>
  <c r="V351" i="34"/>
  <c r="V368" i="34"/>
  <c r="V403" i="34"/>
  <c r="V405" i="34"/>
  <c r="V414" i="34"/>
  <c r="V441" i="34"/>
  <c r="V480" i="34"/>
  <c r="V517" i="34"/>
  <c r="V524" i="34"/>
  <c r="W29" i="34"/>
  <c r="W50" i="34"/>
  <c r="W65" i="34"/>
  <c r="W132" i="34"/>
  <c r="W148" i="34"/>
  <c r="W221" i="34"/>
  <c r="W239" i="34"/>
  <c r="W251" i="34"/>
  <c r="W273" i="34"/>
  <c r="W309" i="34"/>
  <c r="W320" i="34"/>
  <c r="W344" i="34"/>
  <c r="W351" i="34"/>
  <c r="W368" i="34"/>
  <c r="W403" i="34"/>
  <c r="W405" i="34"/>
  <c r="W414" i="34"/>
  <c r="W441" i="34"/>
  <c r="W480" i="34"/>
  <c r="W517" i="34"/>
  <c r="W524" i="34"/>
  <c r="X29" i="34"/>
  <c r="X50" i="34"/>
  <c r="X65" i="34"/>
  <c r="X132" i="34"/>
  <c r="X148" i="34"/>
  <c r="X221" i="34"/>
  <c r="X239" i="34"/>
  <c r="X251" i="34"/>
  <c r="X273" i="34"/>
  <c r="X309" i="34"/>
  <c r="X320" i="34"/>
  <c r="X344" i="34"/>
  <c r="X351" i="34"/>
  <c r="X368" i="34"/>
  <c r="X403" i="34"/>
  <c r="X405" i="34"/>
  <c r="X414" i="34"/>
  <c r="X441" i="34"/>
  <c r="X480" i="34"/>
  <c r="X517" i="34"/>
  <c r="X524" i="34"/>
  <c r="Y29" i="34"/>
  <c r="Y50" i="34"/>
  <c r="Y65" i="34"/>
  <c r="Y132" i="34"/>
  <c r="Y148" i="34"/>
  <c r="Y221" i="34"/>
  <c r="Y239" i="34"/>
  <c r="Y251" i="34"/>
  <c r="Y273" i="34"/>
  <c r="Y309" i="34"/>
  <c r="Y320" i="34"/>
  <c r="Y344" i="34"/>
  <c r="Y351" i="34"/>
  <c r="Y368" i="34"/>
  <c r="Y403" i="34"/>
  <c r="Y405" i="34"/>
  <c r="Y414" i="34"/>
  <c r="Y441" i="34"/>
  <c r="Y480" i="34"/>
  <c r="Y517" i="34"/>
  <c r="Y524" i="34"/>
  <c r="Z29" i="34"/>
  <c r="Z50" i="34"/>
  <c r="Z65" i="34"/>
  <c r="Z132" i="34"/>
  <c r="Z148" i="34"/>
  <c r="Z221" i="34"/>
  <c r="Z239" i="34"/>
  <c r="Z251" i="34"/>
  <c r="Z273" i="34"/>
  <c r="Z309" i="34"/>
  <c r="Z320" i="34"/>
  <c r="Z344" i="34"/>
  <c r="Z351" i="34"/>
  <c r="Z368" i="34"/>
  <c r="Z403" i="34"/>
  <c r="Z405" i="34"/>
  <c r="Z414" i="34"/>
  <c r="Z441" i="34"/>
  <c r="Z480" i="34"/>
  <c r="Z517" i="34"/>
  <c r="Z524" i="34"/>
  <c r="AA29" i="34"/>
  <c r="AA50" i="34"/>
  <c r="AA65" i="34"/>
  <c r="AA132" i="34"/>
  <c r="AA148" i="34"/>
  <c r="AA221" i="34"/>
  <c r="AA239" i="34"/>
  <c r="AA251" i="34"/>
  <c r="AA273" i="34"/>
  <c r="AA309" i="34"/>
  <c r="AA320" i="34"/>
  <c r="AA344" i="34"/>
  <c r="AA351" i="34"/>
  <c r="AA368" i="34"/>
  <c r="AA403" i="34"/>
  <c r="AA405" i="34"/>
  <c r="AA414" i="34"/>
  <c r="AA441" i="34"/>
  <c r="AA480" i="34"/>
  <c r="AA517" i="34"/>
  <c r="AA524" i="34"/>
  <c r="AB29" i="34"/>
  <c r="AB50" i="34"/>
  <c r="AB65" i="34"/>
  <c r="AB132" i="34"/>
  <c r="AB148" i="34"/>
  <c r="AB221" i="34"/>
  <c r="AB239" i="34"/>
  <c r="AB251" i="34"/>
  <c r="AB273" i="34"/>
  <c r="AB309" i="34"/>
  <c r="AB320" i="34"/>
  <c r="AB344" i="34"/>
  <c r="AB351" i="34"/>
  <c r="AB368" i="34"/>
  <c r="AB403" i="34"/>
  <c r="AB405" i="34"/>
  <c r="AB414" i="34"/>
  <c r="AB441" i="34"/>
  <c r="AB480" i="34"/>
  <c r="AB517" i="34"/>
  <c r="AB524" i="34"/>
  <c r="AC29" i="34"/>
  <c r="AC50" i="34"/>
  <c r="AC65" i="34"/>
  <c r="AC132" i="34"/>
  <c r="AC148" i="34"/>
  <c r="AC221" i="34"/>
  <c r="AC239" i="34"/>
  <c r="AC251" i="34"/>
  <c r="AC273" i="34"/>
  <c r="AC309" i="34"/>
  <c r="AC320" i="34"/>
  <c r="AC344" i="34"/>
  <c r="AC351" i="34"/>
  <c r="AC368" i="34"/>
  <c r="AC403" i="34"/>
  <c r="AC405" i="34"/>
  <c r="AC414" i="34"/>
  <c r="AC441" i="34"/>
  <c r="AC480" i="34"/>
  <c r="AC517" i="34"/>
  <c r="AC524" i="34"/>
  <c r="AD29" i="34"/>
  <c r="AD50" i="34"/>
  <c r="AD65" i="34"/>
  <c r="AD132" i="34"/>
  <c r="AD148" i="34"/>
  <c r="AD221" i="34"/>
  <c r="AD239" i="34"/>
  <c r="AD251" i="34"/>
  <c r="AD273" i="34"/>
  <c r="AD309" i="34"/>
  <c r="AD320" i="34"/>
  <c r="AD344" i="34"/>
  <c r="AD351" i="34"/>
  <c r="AD368" i="34"/>
  <c r="AD403" i="34"/>
  <c r="AD405" i="34"/>
  <c r="AD414" i="34"/>
  <c r="AD441" i="34"/>
  <c r="AD480" i="34"/>
  <c r="AD517" i="34"/>
  <c r="AD524" i="34"/>
  <c r="AE29" i="34"/>
  <c r="AE50" i="34"/>
  <c r="AE65" i="34"/>
  <c r="AE132" i="34"/>
  <c r="AE148" i="34"/>
  <c r="AE221" i="34"/>
  <c r="AE239" i="34"/>
  <c r="AE251" i="34"/>
  <c r="AE273" i="34"/>
  <c r="AE309" i="34"/>
  <c r="AE320" i="34"/>
  <c r="AE344" i="34"/>
  <c r="AE351" i="34"/>
  <c r="AE368" i="34"/>
  <c r="AE403" i="34"/>
  <c r="AE405" i="34"/>
  <c r="AE414" i="34"/>
  <c r="AE441" i="34"/>
  <c r="AE480" i="34"/>
  <c r="AE517" i="34"/>
  <c r="AE524" i="34"/>
  <c r="AF29" i="34"/>
  <c r="AF50" i="34"/>
  <c r="AF65" i="34"/>
  <c r="AF132" i="34"/>
  <c r="AF148" i="34"/>
  <c r="AF221" i="34"/>
  <c r="AF239" i="34"/>
  <c r="AF251" i="34"/>
  <c r="AF273" i="34"/>
  <c r="AF309" i="34"/>
  <c r="AF320" i="34"/>
  <c r="AF344" i="34"/>
  <c r="AF351" i="34"/>
  <c r="AF368" i="34"/>
  <c r="AF403" i="34"/>
  <c r="AF405" i="34"/>
  <c r="AF414" i="34"/>
  <c r="AF441" i="34"/>
  <c r="AF480" i="34"/>
  <c r="AF517" i="34"/>
  <c r="AF524" i="34"/>
  <c r="AG29" i="34"/>
  <c r="AG50" i="34"/>
  <c r="AG65" i="34"/>
  <c r="AG132" i="34"/>
  <c r="AG148" i="34"/>
  <c r="AG221" i="34"/>
  <c r="AG239" i="34"/>
  <c r="AG251" i="34"/>
  <c r="AG273" i="34"/>
  <c r="AG309" i="34"/>
  <c r="AG320" i="34"/>
  <c r="AG344" i="34"/>
  <c r="AG351" i="34"/>
  <c r="AG368" i="34"/>
  <c r="AG403" i="34"/>
  <c r="AG405" i="34"/>
  <c r="AG414" i="34"/>
  <c r="AG441" i="34"/>
  <c r="AG480" i="34"/>
  <c r="AG517" i="34"/>
  <c r="AG524" i="34"/>
  <c r="D34" i="34"/>
  <c r="D44" i="34"/>
  <c r="D63" i="34"/>
  <c r="D107" i="34"/>
  <c r="D134" i="34"/>
  <c r="D167" i="34"/>
  <c r="D181" i="34"/>
  <c r="D207" i="34"/>
  <c r="D223" i="34"/>
  <c r="D237" i="34"/>
  <c r="D262" i="34"/>
  <c r="D275" i="34"/>
  <c r="D300" i="34"/>
  <c r="D316" i="34"/>
  <c r="D319" i="34"/>
  <c r="D321" i="34"/>
  <c r="D328" i="34"/>
  <c r="D333" i="34"/>
  <c r="D335" i="34"/>
  <c r="D356" i="34"/>
  <c r="D372" i="34"/>
  <c r="D386" i="34"/>
  <c r="D393" i="34"/>
  <c r="D401" i="34"/>
  <c r="D415" i="34"/>
  <c r="D428" i="34"/>
  <c r="D440" i="34"/>
  <c r="D485" i="34"/>
  <c r="D503" i="34"/>
  <c r="D504" i="34"/>
  <c r="D514" i="34"/>
  <c r="D546" i="34"/>
  <c r="O34" i="34"/>
  <c r="O44" i="34"/>
  <c r="O63" i="34"/>
  <c r="O107" i="34"/>
  <c r="O134" i="34"/>
  <c r="O167" i="34"/>
  <c r="O181" i="34"/>
  <c r="O207" i="34"/>
  <c r="O223" i="34"/>
  <c r="O237" i="34"/>
  <c r="O262" i="34"/>
  <c r="O275" i="34"/>
  <c r="O300" i="34"/>
  <c r="O316" i="34"/>
  <c r="O319" i="34"/>
  <c r="O321" i="34"/>
  <c r="O328" i="34"/>
  <c r="O333" i="34"/>
  <c r="O335" i="34"/>
  <c r="O356" i="34"/>
  <c r="O372" i="34"/>
  <c r="O386" i="34"/>
  <c r="O393" i="34"/>
  <c r="O401" i="34"/>
  <c r="O415" i="34"/>
  <c r="O428" i="34"/>
  <c r="O440" i="34"/>
  <c r="O485" i="34"/>
  <c r="O503" i="34"/>
  <c r="O504" i="34"/>
  <c r="O514" i="34"/>
  <c r="O546" i="34"/>
  <c r="P34" i="34"/>
  <c r="P44" i="34"/>
  <c r="P63" i="34"/>
  <c r="P107" i="34"/>
  <c r="P134" i="34"/>
  <c r="P167" i="34"/>
  <c r="P181" i="34"/>
  <c r="P207" i="34"/>
  <c r="P223" i="34"/>
  <c r="P237" i="34"/>
  <c r="P262" i="34"/>
  <c r="P275" i="34"/>
  <c r="P300" i="34"/>
  <c r="P316" i="34"/>
  <c r="P319" i="34"/>
  <c r="P321" i="34"/>
  <c r="P328" i="34"/>
  <c r="P333" i="34"/>
  <c r="P335" i="34"/>
  <c r="P356" i="34"/>
  <c r="P372" i="34"/>
  <c r="P386" i="34"/>
  <c r="P393" i="34"/>
  <c r="P401" i="34"/>
  <c r="P415" i="34"/>
  <c r="P428" i="34"/>
  <c r="P440" i="34"/>
  <c r="P485" i="34"/>
  <c r="P503" i="34"/>
  <c r="P504" i="34"/>
  <c r="P514" i="34"/>
  <c r="P546" i="34"/>
  <c r="Q34" i="34"/>
  <c r="Q44" i="34"/>
  <c r="Q63" i="34"/>
  <c r="Q107" i="34"/>
  <c r="Q134" i="34"/>
  <c r="Q167" i="34"/>
  <c r="Q181" i="34"/>
  <c r="Q207" i="34"/>
  <c r="Q223" i="34"/>
  <c r="Q237" i="34"/>
  <c r="Q262" i="34"/>
  <c r="Q275" i="34"/>
  <c r="Q300" i="34"/>
  <c r="Q316" i="34"/>
  <c r="Q319" i="34"/>
  <c r="Q321" i="34"/>
  <c r="Q328" i="34"/>
  <c r="Q333" i="34"/>
  <c r="Q335" i="34"/>
  <c r="Q356" i="34"/>
  <c r="Q372" i="34"/>
  <c r="Q386" i="34"/>
  <c r="Q393" i="34"/>
  <c r="Q401" i="34"/>
  <c r="Q415" i="34"/>
  <c r="Q428" i="34"/>
  <c r="Q440" i="34"/>
  <c r="Q485" i="34"/>
  <c r="Q503" i="34"/>
  <c r="Q504" i="34"/>
  <c r="Q514" i="34"/>
  <c r="Q546" i="34"/>
  <c r="U34" i="34"/>
  <c r="U44" i="34"/>
  <c r="U63" i="34"/>
  <c r="U107" i="34"/>
  <c r="U134" i="34"/>
  <c r="U167" i="34"/>
  <c r="U181" i="34"/>
  <c r="U207" i="34"/>
  <c r="U223" i="34"/>
  <c r="U237" i="34"/>
  <c r="U262" i="34"/>
  <c r="U275" i="34"/>
  <c r="U300" i="34"/>
  <c r="U316" i="34"/>
  <c r="U319" i="34"/>
  <c r="U321" i="34"/>
  <c r="U328" i="34"/>
  <c r="U333" i="34"/>
  <c r="U335" i="34"/>
  <c r="U356" i="34"/>
  <c r="U372" i="34"/>
  <c r="U386" i="34"/>
  <c r="U393" i="34"/>
  <c r="U401" i="34"/>
  <c r="U415" i="34"/>
  <c r="U428" i="34"/>
  <c r="U440" i="34"/>
  <c r="U485" i="34"/>
  <c r="U503" i="34"/>
  <c r="U504" i="34"/>
  <c r="U514" i="34"/>
  <c r="U546" i="34"/>
  <c r="V34" i="34"/>
  <c r="V44" i="34"/>
  <c r="V63" i="34"/>
  <c r="V107" i="34"/>
  <c r="V134" i="34"/>
  <c r="V167" i="34"/>
  <c r="V181" i="34"/>
  <c r="V207" i="34"/>
  <c r="V223" i="34"/>
  <c r="V237" i="34"/>
  <c r="V262" i="34"/>
  <c r="V275" i="34"/>
  <c r="V300" i="34"/>
  <c r="V316" i="34"/>
  <c r="V319" i="34"/>
  <c r="V321" i="34"/>
  <c r="V328" i="34"/>
  <c r="V333" i="34"/>
  <c r="V335" i="34"/>
  <c r="V356" i="34"/>
  <c r="V372" i="34"/>
  <c r="V386" i="34"/>
  <c r="V393" i="34"/>
  <c r="V401" i="34"/>
  <c r="V415" i="34"/>
  <c r="V428" i="34"/>
  <c r="V440" i="34"/>
  <c r="V485" i="34"/>
  <c r="V503" i="34"/>
  <c r="V504" i="34"/>
  <c r="V514" i="34"/>
  <c r="V546" i="34"/>
  <c r="W34" i="34"/>
  <c r="W44" i="34"/>
  <c r="W63" i="34"/>
  <c r="W107" i="34"/>
  <c r="W134" i="34"/>
  <c r="W167" i="34"/>
  <c r="W181" i="34"/>
  <c r="W207" i="34"/>
  <c r="W223" i="34"/>
  <c r="W237" i="34"/>
  <c r="W262" i="34"/>
  <c r="W275" i="34"/>
  <c r="W300" i="34"/>
  <c r="W316" i="34"/>
  <c r="W319" i="34"/>
  <c r="W321" i="34"/>
  <c r="W328" i="34"/>
  <c r="W333" i="34"/>
  <c r="W335" i="34"/>
  <c r="W356" i="34"/>
  <c r="W372" i="34"/>
  <c r="W386" i="34"/>
  <c r="W393" i="34"/>
  <c r="W401" i="34"/>
  <c r="W415" i="34"/>
  <c r="W428" i="34"/>
  <c r="W440" i="34"/>
  <c r="W485" i="34"/>
  <c r="W503" i="34"/>
  <c r="W504" i="34"/>
  <c r="W514" i="34"/>
  <c r="W546" i="34"/>
  <c r="X34" i="34"/>
  <c r="X44" i="34"/>
  <c r="X63" i="34"/>
  <c r="X107" i="34"/>
  <c r="X134" i="34"/>
  <c r="X167" i="34"/>
  <c r="X181" i="34"/>
  <c r="X207" i="34"/>
  <c r="X223" i="34"/>
  <c r="X237" i="34"/>
  <c r="X262" i="34"/>
  <c r="X275" i="34"/>
  <c r="X300" i="34"/>
  <c r="X316" i="34"/>
  <c r="X319" i="34"/>
  <c r="X321" i="34"/>
  <c r="X328" i="34"/>
  <c r="X333" i="34"/>
  <c r="X335" i="34"/>
  <c r="X356" i="34"/>
  <c r="X372" i="34"/>
  <c r="X386" i="34"/>
  <c r="X393" i="34"/>
  <c r="X401" i="34"/>
  <c r="X415" i="34"/>
  <c r="X428" i="34"/>
  <c r="X440" i="34"/>
  <c r="X485" i="34"/>
  <c r="X503" i="34"/>
  <c r="X504" i="34"/>
  <c r="X514" i="34"/>
  <c r="X546" i="34"/>
  <c r="Y34" i="34"/>
  <c r="Y44" i="34"/>
  <c r="Y63" i="34"/>
  <c r="Y107" i="34"/>
  <c r="Y134" i="34"/>
  <c r="Y167" i="34"/>
  <c r="Y181" i="34"/>
  <c r="Y207" i="34"/>
  <c r="Y223" i="34"/>
  <c r="Y237" i="34"/>
  <c r="Y262" i="34"/>
  <c r="Y275" i="34"/>
  <c r="Y300" i="34"/>
  <c r="Y316" i="34"/>
  <c r="Y319" i="34"/>
  <c r="Y321" i="34"/>
  <c r="Y328" i="34"/>
  <c r="Y333" i="34"/>
  <c r="Y335" i="34"/>
  <c r="Y356" i="34"/>
  <c r="Y372" i="34"/>
  <c r="Y386" i="34"/>
  <c r="Y393" i="34"/>
  <c r="Y401" i="34"/>
  <c r="Y415" i="34"/>
  <c r="Y428" i="34"/>
  <c r="Y440" i="34"/>
  <c r="Y485" i="34"/>
  <c r="Y503" i="34"/>
  <c r="Y504" i="34"/>
  <c r="Y514" i="34"/>
  <c r="Y546" i="34"/>
  <c r="Z34" i="34"/>
  <c r="Z44" i="34"/>
  <c r="Z63" i="34"/>
  <c r="Z107" i="34"/>
  <c r="Z134" i="34"/>
  <c r="Z167" i="34"/>
  <c r="Z181" i="34"/>
  <c r="Z207" i="34"/>
  <c r="Z223" i="34"/>
  <c r="Z237" i="34"/>
  <c r="Z262" i="34"/>
  <c r="Z275" i="34"/>
  <c r="Z300" i="34"/>
  <c r="Z316" i="34"/>
  <c r="Z319" i="34"/>
  <c r="Z321" i="34"/>
  <c r="Z328" i="34"/>
  <c r="Z333" i="34"/>
  <c r="Z335" i="34"/>
  <c r="Z356" i="34"/>
  <c r="Z372" i="34"/>
  <c r="Z386" i="34"/>
  <c r="Z393" i="34"/>
  <c r="Z401" i="34"/>
  <c r="Z415" i="34"/>
  <c r="Z428" i="34"/>
  <c r="Z440" i="34"/>
  <c r="Z485" i="34"/>
  <c r="Z503" i="34"/>
  <c r="Z504" i="34"/>
  <c r="Z514" i="34"/>
  <c r="Z546" i="34"/>
  <c r="AA34" i="34"/>
  <c r="AA44" i="34"/>
  <c r="AA63" i="34"/>
  <c r="AA107" i="34"/>
  <c r="AA134" i="34"/>
  <c r="AA167" i="34"/>
  <c r="AA181" i="34"/>
  <c r="AA207" i="34"/>
  <c r="AA223" i="34"/>
  <c r="AA237" i="34"/>
  <c r="AA262" i="34"/>
  <c r="AA275" i="34"/>
  <c r="AA300" i="34"/>
  <c r="AA316" i="34"/>
  <c r="AA319" i="34"/>
  <c r="AA321" i="34"/>
  <c r="AA328" i="34"/>
  <c r="AA333" i="34"/>
  <c r="AA335" i="34"/>
  <c r="AA356" i="34"/>
  <c r="AA372" i="34"/>
  <c r="AA386" i="34"/>
  <c r="AA393" i="34"/>
  <c r="AA401" i="34"/>
  <c r="AA415" i="34"/>
  <c r="AA428" i="34"/>
  <c r="AA440" i="34"/>
  <c r="AA485" i="34"/>
  <c r="AA503" i="34"/>
  <c r="AA504" i="34"/>
  <c r="AA514" i="34"/>
  <c r="AA546" i="34"/>
  <c r="AB34" i="34"/>
  <c r="AB44" i="34"/>
  <c r="AB63" i="34"/>
  <c r="AB107" i="34"/>
  <c r="AB134" i="34"/>
  <c r="AB167" i="34"/>
  <c r="AB181" i="34"/>
  <c r="AB207" i="34"/>
  <c r="AB223" i="34"/>
  <c r="AB237" i="34"/>
  <c r="AB262" i="34"/>
  <c r="AB275" i="34"/>
  <c r="AB300" i="34"/>
  <c r="AB316" i="34"/>
  <c r="AB319" i="34"/>
  <c r="AB321" i="34"/>
  <c r="AB328" i="34"/>
  <c r="AB333" i="34"/>
  <c r="AB335" i="34"/>
  <c r="AB356" i="34"/>
  <c r="AB372" i="34"/>
  <c r="AB386" i="34"/>
  <c r="AB393" i="34"/>
  <c r="AB401" i="34"/>
  <c r="AB415" i="34"/>
  <c r="AB428" i="34"/>
  <c r="AB440" i="34"/>
  <c r="AB485" i="34"/>
  <c r="AB503" i="34"/>
  <c r="AB504" i="34"/>
  <c r="AB514" i="34"/>
  <c r="AB546" i="34"/>
  <c r="AC34" i="34"/>
  <c r="AC44" i="34"/>
  <c r="AC63" i="34"/>
  <c r="AC107" i="34"/>
  <c r="AC134" i="34"/>
  <c r="AC167" i="34"/>
  <c r="AC181" i="34"/>
  <c r="AC207" i="34"/>
  <c r="AC223" i="34"/>
  <c r="AC237" i="34"/>
  <c r="AC262" i="34"/>
  <c r="AC275" i="34"/>
  <c r="AC300" i="34"/>
  <c r="AC316" i="34"/>
  <c r="AC319" i="34"/>
  <c r="AC321" i="34"/>
  <c r="AC328" i="34"/>
  <c r="AC333" i="34"/>
  <c r="AC335" i="34"/>
  <c r="AC356" i="34"/>
  <c r="AC372" i="34"/>
  <c r="AC386" i="34"/>
  <c r="AC393" i="34"/>
  <c r="AC401" i="34"/>
  <c r="AC415" i="34"/>
  <c r="AC428" i="34"/>
  <c r="AC440" i="34"/>
  <c r="AC485" i="34"/>
  <c r="AC503" i="34"/>
  <c r="AC504" i="34"/>
  <c r="AC514" i="34"/>
  <c r="AC546" i="34"/>
  <c r="AD34" i="34"/>
  <c r="AD44" i="34"/>
  <c r="AD63" i="34"/>
  <c r="AD107" i="34"/>
  <c r="AD134" i="34"/>
  <c r="AD167" i="34"/>
  <c r="AD181" i="34"/>
  <c r="AD207" i="34"/>
  <c r="AD223" i="34"/>
  <c r="AD237" i="34"/>
  <c r="AD262" i="34"/>
  <c r="AD275" i="34"/>
  <c r="AD300" i="34"/>
  <c r="AD316" i="34"/>
  <c r="AD319" i="34"/>
  <c r="AD321" i="34"/>
  <c r="AD328" i="34"/>
  <c r="AD333" i="34"/>
  <c r="AD335" i="34"/>
  <c r="AD356" i="34"/>
  <c r="AD372" i="34"/>
  <c r="AD386" i="34"/>
  <c r="AD393" i="34"/>
  <c r="AD401" i="34"/>
  <c r="AD415" i="34"/>
  <c r="AD428" i="34"/>
  <c r="AD440" i="34"/>
  <c r="AD485" i="34"/>
  <c r="AD503" i="34"/>
  <c r="AD504" i="34"/>
  <c r="AD514" i="34"/>
  <c r="AD546" i="34"/>
  <c r="AE34" i="34"/>
  <c r="AE44" i="34"/>
  <c r="AE63" i="34"/>
  <c r="AE107" i="34"/>
  <c r="AE134" i="34"/>
  <c r="AE167" i="34"/>
  <c r="AE181" i="34"/>
  <c r="AE207" i="34"/>
  <c r="AE223" i="34"/>
  <c r="AE237" i="34"/>
  <c r="AE262" i="34"/>
  <c r="AE275" i="34"/>
  <c r="AE300" i="34"/>
  <c r="AE316" i="34"/>
  <c r="AE319" i="34"/>
  <c r="AE321" i="34"/>
  <c r="AE328" i="34"/>
  <c r="AE333" i="34"/>
  <c r="AE335" i="34"/>
  <c r="AE356" i="34"/>
  <c r="AE372" i="34"/>
  <c r="AE386" i="34"/>
  <c r="AE393" i="34"/>
  <c r="AE401" i="34"/>
  <c r="AE415" i="34"/>
  <c r="AE428" i="34"/>
  <c r="AE440" i="34"/>
  <c r="AE485" i="34"/>
  <c r="AE503" i="34"/>
  <c r="AE504" i="34"/>
  <c r="AE514" i="34"/>
  <c r="AE546" i="34"/>
  <c r="AF34" i="34"/>
  <c r="AF44" i="34"/>
  <c r="AF63" i="34"/>
  <c r="AF107" i="34"/>
  <c r="AF134" i="34"/>
  <c r="AF167" i="34"/>
  <c r="AF181" i="34"/>
  <c r="AF207" i="34"/>
  <c r="AF223" i="34"/>
  <c r="AF237" i="34"/>
  <c r="AF262" i="34"/>
  <c r="AF275" i="34"/>
  <c r="AF300" i="34"/>
  <c r="AF316" i="34"/>
  <c r="AF319" i="34"/>
  <c r="AF321" i="34"/>
  <c r="AF328" i="34"/>
  <c r="AF333" i="34"/>
  <c r="AF335" i="34"/>
  <c r="AF356" i="34"/>
  <c r="AF372" i="34"/>
  <c r="AF386" i="34"/>
  <c r="AF393" i="34"/>
  <c r="AF401" i="34"/>
  <c r="AF415" i="34"/>
  <c r="AF428" i="34"/>
  <c r="AF440" i="34"/>
  <c r="AF485" i="34"/>
  <c r="AF503" i="34"/>
  <c r="AF504" i="34"/>
  <c r="AF514" i="34"/>
  <c r="AF546" i="34"/>
  <c r="AG34" i="34"/>
  <c r="AG44" i="34"/>
  <c r="AG63" i="34"/>
  <c r="AG107" i="34"/>
  <c r="AG134" i="34"/>
  <c r="AG167" i="34"/>
  <c r="AG181" i="34"/>
  <c r="AG207" i="34"/>
  <c r="AG223" i="34"/>
  <c r="AG237" i="34"/>
  <c r="AG262" i="34"/>
  <c r="AG275" i="34"/>
  <c r="AG300" i="34"/>
  <c r="AG316" i="34"/>
  <c r="AG319" i="34"/>
  <c r="AG321" i="34"/>
  <c r="AG328" i="34"/>
  <c r="AG333" i="34"/>
  <c r="AG335" i="34"/>
  <c r="AG356" i="34"/>
  <c r="AG372" i="34"/>
  <c r="AG386" i="34"/>
  <c r="AG393" i="34"/>
  <c r="AG401" i="34"/>
  <c r="AG415" i="34"/>
  <c r="AG428" i="34"/>
  <c r="AG440" i="34"/>
  <c r="AG485" i="34"/>
  <c r="AG503" i="34"/>
  <c r="AG504" i="34"/>
  <c r="AG514" i="34"/>
  <c r="AG546" i="34"/>
  <c r="M48" i="49"/>
  <c r="I48" i="49"/>
  <c r="N48" i="49"/>
  <c r="S48" i="49"/>
  <c r="M47" i="49"/>
  <c r="I47" i="49"/>
  <c r="N47" i="49"/>
  <c r="S47" i="49"/>
  <c r="M46" i="49"/>
  <c r="I46" i="49"/>
  <c r="N46" i="49"/>
  <c r="S46" i="49"/>
  <c r="M45" i="49"/>
  <c r="I45" i="49"/>
  <c r="N45" i="49"/>
  <c r="S45" i="49"/>
  <c r="M44" i="49"/>
  <c r="I44" i="49"/>
  <c r="N44" i="49"/>
  <c r="S44" i="49"/>
  <c r="M43" i="49"/>
  <c r="I43" i="49"/>
  <c r="N43" i="49"/>
  <c r="S43" i="49"/>
  <c r="M42" i="49"/>
  <c r="I42" i="49"/>
  <c r="N42" i="49"/>
  <c r="S42" i="49"/>
  <c r="M41" i="49"/>
  <c r="I41" i="49"/>
  <c r="N41" i="49"/>
  <c r="S41" i="49"/>
  <c r="M40" i="49"/>
  <c r="I40" i="49"/>
  <c r="N40" i="49"/>
  <c r="S40" i="49"/>
  <c r="M39" i="49"/>
  <c r="I39" i="49"/>
  <c r="N39" i="49"/>
  <c r="S39" i="49"/>
  <c r="M38" i="49"/>
  <c r="I38" i="49"/>
  <c r="N38" i="49"/>
  <c r="S38" i="49"/>
  <c r="M37" i="49"/>
  <c r="I37" i="49"/>
  <c r="N37" i="49"/>
  <c r="S37" i="49"/>
  <c r="M36" i="49"/>
  <c r="I36" i="49"/>
  <c r="N36" i="49"/>
  <c r="S36" i="49"/>
  <c r="M35" i="49"/>
  <c r="I35" i="49"/>
  <c r="N35" i="49"/>
  <c r="S35" i="49"/>
  <c r="M34" i="49"/>
  <c r="I34" i="49"/>
  <c r="N34" i="49"/>
  <c r="S34" i="49"/>
  <c r="M33" i="49"/>
  <c r="I33" i="49"/>
  <c r="N33" i="49"/>
  <c r="S33" i="49"/>
  <c r="M32" i="49"/>
  <c r="I32" i="49"/>
  <c r="N32" i="49"/>
  <c r="S32" i="49"/>
  <c r="M31" i="49"/>
  <c r="I31" i="49"/>
  <c r="N31" i="49"/>
  <c r="S31" i="49"/>
  <c r="M30" i="49"/>
  <c r="I30" i="49"/>
  <c r="N30" i="49"/>
  <c r="S30" i="49"/>
  <c r="M29" i="49"/>
  <c r="I29" i="49"/>
  <c r="N29" i="49"/>
  <c r="S29" i="49"/>
  <c r="M28" i="49"/>
  <c r="I28" i="49"/>
  <c r="N28" i="49"/>
  <c r="S28" i="49"/>
  <c r="M27" i="49"/>
  <c r="I27" i="49"/>
  <c r="N27" i="49"/>
  <c r="S27" i="49"/>
  <c r="M26" i="49"/>
  <c r="I26" i="49"/>
  <c r="N26" i="49"/>
  <c r="S26" i="49"/>
  <c r="M25" i="49"/>
  <c r="I25" i="49"/>
  <c r="N25" i="49"/>
  <c r="S25" i="49"/>
  <c r="M24" i="49"/>
  <c r="I24" i="49"/>
  <c r="N24" i="49"/>
  <c r="S24" i="49"/>
  <c r="M23" i="49"/>
  <c r="I23" i="49"/>
  <c r="N23" i="49"/>
  <c r="S23" i="49"/>
  <c r="M22" i="49"/>
  <c r="I22" i="49"/>
  <c r="N22" i="49"/>
  <c r="S22" i="49"/>
  <c r="M21" i="49"/>
  <c r="I21" i="49"/>
  <c r="N21" i="49"/>
  <c r="S21" i="49"/>
  <c r="M20" i="49"/>
  <c r="I20" i="49"/>
  <c r="N20" i="49"/>
  <c r="S20" i="49"/>
  <c r="M19" i="49"/>
  <c r="I19" i="49"/>
  <c r="N19" i="49"/>
  <c r="S19" i="49"/>
  <c r="M18" i="49"/>
  <c r="I18" i="49"/>
  <c r="N18" i="49"/>
  <c r="S18" i="49"/>
  <c r="M17" i="49"/>
  <c r="I17" i="49"/>
  <c r="N17" i="49"/>
  <c r="S17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5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T48" i="49"/>
  <c r="T47" i="49"/>
  <c r="T46" i="49"/>
  <c r="T45" i="49"/>
  <c r="T44" i="49"/>
  <c r="T43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17" i="49"/>
  <c r="D17" i="49"/>
  <c r="O17" i="49"/>
  <c r="P17" i="49"/>
  <c r="Q17" i="49"/>
  <c r="U17" i="49"/>
  <c r="V17" i="49"/>
  <c r="W17" i="49"/>
  <c r="X17" i="49"/>
  <c r="Y17" i="49"/>
  <c r="Z17" i="49"/>
  <c r="AA17" i="49"/>
  <c r="AB17" i="49"/>
  <c r="AC17" i="49"/>
  <c r="AD17" i="49"/>
  <c r="AE17" i="49"/>
  <c r="AF17" i="49"/>
  <c r="AG17" i="49"/>
  <c r="D18" i="49"/>
  <c r="O18" i="49"/>
  <c r="P18" i="49"/>
  <c r="Q18" i="49"/>
  <c r="U18" i="49"/>
  <c r="V18" i="49"/>
  <c r="W18" i="49"/>
  <c r="X18" i="49"/>
  <c r="Y18" i="49"/>
  <c r="Z18" i="49"/>
  <c r="AA18" i="49"/>
  <c r="AB18" i="49"/>
  <c r="AC18" i="49"/>
  <c r="AD18" i="49"/>
  <c r="AE18" i="49"/>
  <c r="AF18" i="49"/>
  <c r="AG18" i="49"/>
  <c r="D19" i="49"/>
  <c r="O19" i="49"/>
  <c r="P19" i="49"/>
  <c r="Q19" i="49"/>
  <c r="U19" i="49"/>
  <c r="V19" i="49"/>
  <c r="W19" i="49"/>
  <c r="X19" i="49"/>
  <c r="Y19" i="49"/>
  <c r="Z19" i="49"/>
  <c r="AA19" i="49"/>
  <c r="AB19" i="49"/>
  <c r="AC19" i="49"/>
  <c r="AD19" i="49"/>
  <c r="AE19" i="49"/>
  <c r="AF19" i="49"/>
  <c r="AG19" i="49"/>
  <c r="D20" i="49"/>
  <c r="O20" i="49"/>
  <c r="P20" i="49"/>
  <c r="Q20" i="49"/>
  <c r="U20" i="49"/>
  <c r="V20" i="49"/>
  <c r="W20" i="49"/>
  <c r="X20" i="49"/>
  <c r="Y20" i="49"/>
  <c r="Z20" i="49"/>
  <c r="AA20" i="49"/>
  <c r="AB20" i="49"/>
  <c r="AC20" i="49"/>
  <c r="AD20" i="49"/>
  <c r="AE20" i="49"/>
  <c r="AF20" i="49"/>
  <c r="AG20" i="49"/>
  <c r="D21" i="49"/>
  <c r="O21" i="49"/>
  <c r="P21" i="49"/>
  <c r="Q21" i="49"/>
  <c r="U21" i="49"/>
  <c r="V21" i="49"/>
  <c r="W21" i="49"/>
  <c r="X21" i="49"/>
  <c r="Y21" i="49"/>
  <c r="Z21" i="49"/>
  <c r="AA21" i="49"/>
  <c r="AB21" i="49"/>
  <c r="AC21" i="49"/>
  <c r="AD21" i="49"/>
  <c r="AE21" i="49"/>
  <c r="AF21" i="49"/>
  <c r="AG21" i="49"/>
  <c r="D22" i="49"/>
  <c r="O22" i="49"/>
  <c r="P22" i="49"/>
  <c r="Q22" i="49"/>
  <c r="U22" i="49"/>
  <c r="V22" i="49"/>
  <c r="W22" i="49"/>
  <c r="X22" i="49"/>
  <c r="Y22" i="49"/>
  <c r="Z22" i="49"/>
  <c r="AA22" i="49"/>
  <c r="AB22" i="49"/>
  <c r="AC22" i="49"/>
  <c r="AD22" i="49"/>
  <c r="AE22" i="49"/>
  <c r="AF22" i="49"/>
  <c r="AG22" i="49"/>
  <c r="D23" i="49"/>
  <c r="O23" i="49"/>
  <c r="P23" i="49"/>
  <c r="Q23" i="49"/>
  <c r="U23" i="49"/>
  <c r="V23" i="49"/>
  <c r="W23" i="49"/>
  <c r="X23" i="49"/>
  <c r="Y23" i="49"/>
  <c r="Z23" i="49"/>
  <c r="AA23" i="49"/>
  <c r="AB23" i="49"/>
  <c r="AC23" i="49"/>
  <c r="AD23" i="49"/>
  <c r="AE23" i="49"/>
  <c r="AF23" i="49"/>
  <c r="AG23" i="49"/>
  <c r="D24" i="49"/>
  <c r="O24" i="49"/>
  <c r="P24" i="49"/>
  <c r="Q24" i="49"/>
  <c r="U24" i="49"/>
  <c r="V24" i="49"/>
  <c r="W24" i="49"/>
  <c r="X24" i="49"/>
  <c r="Y24" i="49"/>
  <c r="Z24" i="49"/>
  <c r="AA24" i="49"/>
  <c r="AB24" i="49"/>
  <c r="AC24" i="49"/>
  <c r="AD24" i="49"/>
  <c r="AE24" i="49"/>
  <c r="AF24" i="49"/>
  <c r="AG24" i="49"/>
  <c r="D25" i="49"/>
  <c r="O25" i="49"/>
  <c r="P25" i="49"/>
  <c r="Q25" i="49"/>
  <c r="U25" i="49"/>
  <c r="V25" i="49"/>
  <c r="W25" i="49"/>
  <c r="X25" i="49"/>
  <c r="Y25" i="49"/>
  <c r="Z25" i="49"/>
  <c r="AA25" i="49"/>
  <c r="AB25" i="49"/>
  <c r="AC25" i="49"/>
  <c r="AD25" i="49"/>
  <c r="AE25" i="49"/>
  <c r="AF25" i="49"/>
  <c r="AG25" i="49"/>
  <c r="D26" i="49"/>
  <c r="O26" i="49"/>
  <c r="P26" i="49"/>
  <c r="Q26" i="49"/>
  <c r="U26" i="49"/>
  <c r="V26" i="49"/>
  <c r="W26" i="49"/>
  <c r="X26" i="49"/>
  <c r="Y26" i="49"/>
  <c r="Z26" i="49"/>
  <c r="AA26" i="49"/>
  <c r="AB26" i="49"/>
  <c r="AC26" i="49"/>
  <c r="AD26" i="49"/>
  <c r="AE26" i="49"/>
  <c r="AF26" i="49"/>
  <c r="AG26" i="49"/>
  <c r="D27" i="49"/>
  <c r="O27" i="49"/>
  <c r="P27" i="49"/>
  <c r="Q27" i="49"/>
  <c r="U27" i="49"/>
  <c r="V27" i="49"/>
  <c r="W27" i="49"/>
  <c r="X27" i="49"/>
  <c r="Y27" i="49"/>
  <c r="Z27" i="49"/>
  <c r="AA27" i="49"/>
  <c r="AB27" i="49"/>
  <c r="AC27" i="49"/>
  <c r="AD27" i="49"/>
  <c r="AE27" i="49"/>
  <c r="AF27" i="49"/>
  <c r="AG27" i="49"/>
  <c r="D28" i="49"/>
  <c r="O28" i="49"/>
  <c r="P28" i="49"/>
  <c r="Q28" i="49"/>
  <c r="U28" i="49"/>
  <c r="V28" i="49"/>
  <c r="W28" i="49"/>
  <c r="X28" i="49"/>
  <c r="Y28" i="49"/>
  <c r="Z28" i="49"/>
  <c r="AA28" i="49"/>
  <c r="AB28" i="49"/>
  <c r="AC28" i="49"/>
  <c r="AD28" i="49"/>
  <c r="AE28" i="49"/>
  <c r="AF28" i="49"/>
  <c r="AG28" i="49"/>
  <c r="D29" i="49"/>
  <c r="O29" i="49"/>
  <c r="P29" i="49"/>
  <c r="Q29" i="49"/>
  <c r="U29" i="49"/>
  <c r="V29" i="49"/>
  <c r="W29" i="49"/>
  <c r="X29" i="49"/>
  <c r="Y29" i="49"/>
  <c r="Z29" i="49"/>
  <c r="AA29" i="49"/>
  <c r="AB29" i="49"/>
  <c r="AC29" i="49"/>
  <c r="AD29" i="49"/>
  <c r="AE29" i="49"/>
  <c r="AF29" i="49"/>
  <c r="AG29" i="49"/>
  <c r="D30" i="49"/>
  <c r="O30" i="49"/>
  <c r="P30" i="49"/>
  <c r="Q30" i="49"/>
  <c r="U30" i="49"/>
  <c r="V30" i="49"/>
  <c r="W30" i="49"/>
  <c r="X30" i="49"/>
  <c r="Y30" i="49"/>
  <c r="Z30" i="49"/>
  <c r="AA30" i="49"/>
  <c r="AB30" i="49"/>
  <c r="AC30" i="49"/>
  <c r="AD30" i="49"/>
  <c r="AE30" i="49"/>
  <c r="AF30" i="49"/>
  <c r="AG30" i="49"/>
  <c r="D31" i="49"/>
  <c r="O31" i="49"/>
  <c r="P31" i="49"/>
  <c r="Q31" i="49"/>
  <c r="U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D32" i="49"/>
  <c r="O32" i="49"/>
  <c r="P32" i="49"/>
  <c r="Q32" i="49"/>
  <c r="U32" i="49"/>
  <c r="V32" i="49"/>
  <c r="W32" i="49"/>
  <c r="X32" i="49"/>
  <c r="Y32" i="49"/>
  <c r="Z32" i="49"/>
  <c r="AA32" i="49"/>
  <c r="AB32" i="49"/>
  <c r="AC32" i="49"/>
  <c r="AD32" i="49"/>
  <c r="AE32" i="49"/>
  <c r="AF32" i="49"/>
  <c r="AG32" i="49"/>
  <c r="D33" i="49"/>
  <c r="O33" i="49"/>
  <c r="P33" i="49"/>
  <c r="Q33" i="49"/>
  <c r="U33" i="49"/>
  <c r="V33" i="49"/>
  <c r="W33" i="49"/>
  <c r="X33" i="49"/>
  <c r="Y33" i="49"/>
  <c r="Z33" i="49"/>
  <c r="AA33" i="49"/>
  <c r="AB33" i="49"/>
  <c r="AC33" i="49"/>
  <c r="AD33" i="49"/>
  <c r="AE33" i="49"/>
  <c r="AF33" i="49"/>
  <c r="AG33" i="49"/>
  <c r="D34" i="49"/>
  <c r="O34" i="49"/>
  <c r="P34" i="49"/>
  <c r="Q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AG34" i="49"/>
  <c r="D35" i="49"/>
  <c r="O35" i="49"/>
  <c r="P35" i="49"/>
  <c r="Q35" i="49"/>
  <c r="U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D36" i="49"/>
  <c r="O36" i="49"/>
  <c r="P36" i="49"/>
  <c r="Q36" i="49"/>
  <c r="U36" i="49"/>
  <c r="V36" i="49"/>
  <c r="W36" i="49"/>
  <c r="X36" i="49"/>
  <c r="Y36" i="49"/>
  <c r="Z36" i="49"/>
  <c r="AA36" i="49"/>
  <c r="AB36" i="49"/>
  <c r="AC36" i="49"/>
  <c r="AD36" i="49"/>
  <c r="AE36" i="49"/>
  <c r="AF36" i="49"/>
  <c r="AG36" i="49"/>
  <c r="D37" i="49"/>
  <c r="O37" i="49"/>
  <c r="P37" i="49"/>
  <c r="Q37" i="49"/>
  <c r="U37" i="49"/>
  <c r="V37" i="49"/>
  <c r="W37" i="49"/>
  <c r="X37" i="49"/>
  <c r="Y37" i="49"/>
  <c r="Z37" i="49"/>
  <c r="AA37" i="49"/>
  <c r="AB37" i="49"/>
  <c r="AC37" i="49"/>
  <c r="AD37" i="49"/>
  <c r="AE37" i="49"/>
  <c r="AF37" i="49"/>
  <c r="AG37" i="49"/>
  <c r="D38" i="49"/>
  <c r="O38" i="49"/>
  <c r="P38" i="49"/>
  <c r="Q38" i="49"/>
  <c r="U38" i="49"/>
  <c r="V38" i="49"/>
  <c r="W38" i="49"/>
  <c r="X38" i="49"/>
  <c r="Y38" i="49"/>
  <c r="Z38" i="49"/>
  <c r="AA38" i="49"/>
  <c r="AB38" i="49"/>
  <c r="AC38" i="49"/>
  <c r="AD38" i="49"/>
  <c r="AE38" i="49"/>
  <c r="AF38" i="49"/>
  <c r="AG38" i="49"/>
  <c r="D39" i="49"/>
  <c r="O39" i="49"/>
  <c r="P39" i="49"/>
  <c r="Q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D40" i="49"/>
  <c r="O40" i="49"/>
  <c r="P40" i="49"/>
  <c r="Q40" i="49"/>
  <c r="U40" i="49"/>
  <c r="V40" i="49"/>
  <c r="W40" i="49"/>
  <c r="X40" i="49"/>
  <c r="Y40" i="49"/>
  <c r="Z40" i="49"/>
  <c r="AA40" i="49"/>
  <c r="AB40" i="49"/>
  <c r="AC40" i="49"/>
  <c r="AD40" i="49"/>
  <c r="AE40" i="49"/>
  <c r="AF40" i="49"/>
  <c r="AG40" i="49"/>
  <c r="D41" i="49"/>
  <c r="O41" i="49"/>
  <c r="P41" i="49"/>
  <c r="Q41" i="49"/>
  <c r="U41" i="49"/>
  <c r="V41" i="49"/>
  <c r="W41" i="49"/>
  <c r="X41" i="49"/>
  <c r="Y41" i="49"/>
  <c r="Z41" i="49"/>
  <c r="AA41" i="49"/>
  <c r="AB41" i="49"/>
  <c r="AC41" i="49"/>
  <c r="AD41" i="49"/>
  <c r="AE41" i="49"/>
  <c r="AF41" i="49"/>
  <c r="AG41" i="49"/>
  <c r="D42" i="49"/>
  <c r="O42" i="49"/>
  <c r="P42" i="49"/>
  <c r="Q42" i="49"/>
  <c r="U42" i="49"/>
  <c r="V42" i="49"/>
  <c r="W42" i="49"/>
  <c r="X42" i="49"/>
  <c r="Y42" i="49"/>
  <c r="Z42" i="49"/>
  <c r="AA42" i="49"/>
  <c r="AB42" i="49"/>
  <c r="AC42" i="49"/>
  <c r="AD42" i="49"/>
  <c r="AE42" i="49"/>
  <c r="AF42" i="49"/>
  <c r="AG42" i="49"/>
  <c r="D43" i="49"/>
  <c r="O43" i="49"/>
  <c r="P43" i="49"/>
  <c r="Q43" i="49"/>
  <c r="U43" i="49"/>
  <c r="V43" i="49"/>
  <c r="W43" i="49"/>
  <c r="X43" i="49"/>
  <c r="Y43" i="49"/>
  <c r="Z43" i="49"/>
  <c r="AA43" i="49"/>
  <c r="AB43" i="49"/>
  <c r="AC43" i="49"/>
  <c r="AD43" i="49"/>
  <c r="AE43" i="49"/>
  <c r="AF43" i="49"/>
  <c r="AG43" i="49"/>
  <c r="D44" i="49"/>
  <c r="O44" i="49"/>
  <c r="P44" i="49"/>
  <c r="Q44" i="49"/>
  <c r="U44" i="49"/>
  <c r="V44" i="49"/>
  <c r="W44" i="49"/>
  <c r="X44" i="49"/>
  <c r="Y44" i="49"/>
  <c r="Z44" i="49"/>
  <c r="AA44" i="49"/>
  <c r="AB44" i="49"/>
  <c r="AC44" i="49"/>
  <c r="AD44" i="49"/>
  <c r="AE44" i="49"/>
  <c r="AF44" i="49"/>
  <c r="AG44" i="49"/>
  <c r="D45" i="49"/>
  <c r="O45" i="49"/>
  <c r="P45" i="49"/>
  <c r="Q45" i="49"/>
  <c r="U45" i="49"/>
  <c r="V45" i="49"/>
  <c r="W45" i="49"/>
  <c r="X45" i="49"/>
  <c r="Y45" i="49"/>
  <c r="Z45" i="49"/>
  <c r="AA45" i="49"/>
  <c r="AB45" i="49"/>
  <c r="AC45" i="49"/>
  <c r="AD45" i="49"/>
  <c r="AE45" i="49"/>
  <c r="AF45" i="49"/>
  <c r="AG45" i="49"/>
  <c r="D46" i="49"/>
  <c r="O46" i="49"/>
  <c r="P46" i="49"/>
  <c r="Q46" i="49"/>
  <c r="U46" i="49"/>
  <c r="V46" i="49"/>
  <c r="W46" i="49"/>
  <c r="X46" i="49"/>
  <c r="Y46" i="49"/>
  <c r="Z46" i="49"/>
  <c r="AA46" i="49"/>
  <c r="AB46" i="49"/>
  <c r="AC46" i="49"/>
  <c r="AD46" i="49"/>
  <c r="AE46" i="49"/>
  <c r="AF46" i="49"/>
  <c r="AG46" i="49"/>
  <c r="D47" i="49"/>
  <c r="O47" i="49"/>
  <c r="P47" i="49"/>
  <c r="Q47" i="49"/>
  <c r="U47" i="49"/>
  <c r="V47" i="49"/>
  <c r="W47" i="49"/>
  <c r="X47" i="49"/>
  <c r="Y47" i="49"/>
  <c r="Z47" i="49"/>
  <c r="AA47" i="49"/>
  <c r="AB47" i="49"/>
  <c r="AC47" i="49"/>
  <c r="AD47" i="49"/>
  <c r="AE47" i="49"/>
  <c r="AF47" i="49"/>
  <c r="AG47" i="49"/>
  <c r="D48" i="49"/>
  <c r="O48" i="49"/>
  <c r="P48" i="49"/>
  <c r="Q48" i="49"/>
  <c r="U48" i="49"/>
  <c r="V48" i="49"/>
  <c r="W48" i="49"/>
  <c r="X48" i="49"/>
  <c r="Y48" i="49"/>
  <c r="Z48" i="49"/>
  <c r="AA48" i="49"/>
  <c r="AB48" i="49"/>
  <c r="AC48" i="49"/>
  <c r="AD48" i="49"/>
  <c r="AE48" i="49"/>
  <c r="AF48" i="49"/>
  <c r="AG48" i="49"/>
  <c r="M37" i="50"/>
  <c r="I37" i="50"/>
  <c r="N37" i="50"/>
  <c r="S37" i="50"/>
  <c r="M36" i="50"/>
  <c r="I36" i="50"/>
  <c r="N36" i="50"/>
  <c r="S36" i="50"/>
  <c r="M35" i="50"/>
  <c r="I35" i="50"/>
  <c r="N35" i="50"/>
  <c r="S35" i="50"/>
  <c r="M34" i="50"/>
  <c r="I34" i="50"/>
  <c r="N34" i="50"/>
  <c r="S34" i="50"/>
  <c r="M33" i="50"/>
  <c r="I33" i="50"/>
  <c r="N33" i="50"/>
  <c r="S33" i="50"/>
  <c r="M32" i="50"/>
  <c r="I32" i="50"/>
  <c r="N32" i="50"/>
  <c r="S32" i="50"/>
  <c r="M31" i="50"/>
  <c r="I31" i="50"/>
  <c r="N31" i="50"/>
  <c r="S31" i="50"/>
  <c r="M30" i="50"/>
  <c r="I30" i="50"/>
  <c r="N30" i="50"/>
  <c r="S30" i="50"/>
  <c r="M29" i="50"/>
  <c r="I29" i="50"/>
  <c r="N29" i="50"/>
  <c r="S29" i="50"/>
  <c r="M28" i="50"/>
  <c r="I28" i="50"/>
  <c r="N28" i="50"/>
  <c r="S28" i="50"/>
  <c r="M27" i="50"/>
  <c r="I27" i="50"/>
  <c r="N27" i="50"/>
  <c r="S27" i="50"/>
  <c r="M26" i="50"/>
  <c r="I26" i="50"/>
  <c r="N26" i="50"/>
  <c r="S26" i="50"/>
  <c r="M25" i="50"/>
  <c r="I25" i="50"/>
  <c r="N25" i="50"/>
  <c r="S25" i="50"/>
  <c r="M24" i="50"/>
  <c r="I24" i="50"/>
  <c r="N24" i="50"/>
  <c r="S24" i="50"/>
  <c r="M23" i="50"/>
  <c r="I23" i="50"/>
  <c r="N23" i="50"/>
  <c r="S23" i="50"/>
  <c r="M22" i="50"/>
  <c r="I22" i="50"/>
  <c r="N22" i="50"/>
  <c r="S22" i="50"/>
  <c r="M21" i="50"/>
  <c r="I21" i="50"/>
  <c r="N21" i="50"/>
  <c r="S21" i="50"/>
  <c r="M20" i="50"/>
  <c r="I20" i="50"/>
  <c r="N20" i="50"/>
  <c r="S20" i="50"/>
  <c r="M19" i="50"/>
  <c r="I19" i="50"/>
  <c r="N19" i="50"/>
  <c r="S19" i="50"/>
  <c r="M18" i="50"/>
  <c r="I18" i="50"/>
  <c r="N18" i="50"/>
  <c r="S18" i="50"/>
  <c r="M17" i="50"/>
  <c r="I17" i="50"/>
  <c r="N17" i="50"/>
  <c r="S17" i="50"/>
  <c r="R37" i="50"/>
  <c r="R36" i="50"/>
  <c r="R35" i="50"/>
  <c r="R34" i="50"/>
  <c r="R33" i="50"/>
  <c r="R32" i="50"/>
  <c r="R31" i="50"/>
  <c r="R30" i="50"/>
  <c r="R29" i="50"/>
  <c r="R28" i="50"/>
  <c r="R27" i="50"/>
  <c r="R26" i="50"/>
  <c r="R25" i="50"/>
  <c r="R24" i="50"/>
  <c r="R23" i="50"/>
  <c r="R22" i="50"/>
  <c r="R21" i="50"/>
  <c r="R20" i="50"/>
  <c r="R19" i="50"/>
  <c r="R18" i="50"/>
  <c r="R17" i="50"/>
  <c r="T37" i="50"/>
  <c r="T36" i="50"/>
  <c r="T35" i="50"/>
  <c r="T34" i="50"/>
  <c r="T33" i="50"/>
  <c r="T32" i="50"/>
  <c r="T31" i="50"/>
  <c r="T30" i="50"/>
  <c r="T29" i="50"/>
  <c r="T28" i="50"/>
  <c r="T27" i="50"/>
  <c r="T26" i="50"/>
  <c r="T25" i="50"/>
  <c r="T24" i="50"/>
  <c r="T23" i="50"/>
  <c r="T22" i="50"/>
  <c r="T21" i="50"/>
  <c r="T20" i="50"/>
  <c r="T19" i="50"/>
  <c r="T18" i="50"/>
  <c r="T17" i="50"/>
  <c r="D17" i="50"/>
  <c r="O17" i="50"/>
  <c r="P17" i="50"/>
  <c r="Q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D18" i="50"/>
  <c r="O18" i="50"/>
  <c r="P18" i="50"/>
  <c r="Q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D19" i="50"/>
  <c r="O19" i="50"/>
  <c r="P19" i="50"/>
  <c r="Q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D20" i="50"/>
  <c r="O20" i="50"/>
  <c r="P20" i="50"/>
  <c r="Q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D21" i="50"/>
  <c r="O21" i="50"/>
  <c r="P21" i="50"/>
  <c r="Q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D22" i="50"/>
  <c r="O22" i="50"/>
  <c r="P22" i="50"/>
  <c r="Q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D23" i="50"/>
  <c r="O23" i="50"/>
  <c r="P23" i="50"/>
  <c r="Q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D24" i="50"/>
  <c r="O24" i="50"/>
  <c r="P24" i="50"/>
  <c r="Q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D25" i="50"/>
  <c r="O25" i="50"/>
  <c r="P25" i="50"/>
  <c r="Q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D26" i="50"/>
  <c r="O26" i="50"/>
  <c r="P26" i="50"/>
  <c r="Q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D27" i="50"/>
  <c r="O27" i="50"/>
  <c r="P27" i="50"/>
  <c r="Q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D28" i="50"/>
  <c r="O28" i="50"/>
  <c r="P28" i="50"/>
  <c r="Q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D29" i="50"/>
  <c r="O29" i="50"/>
  <c r="P29" i="50"/>
  <c r="Q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D30" i="50"/>
  <c r="O30" i="50"/>
  <c r="P30" i="50"/>
  <c r="Q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D31" i="50"/>
  <c r="O31" i="50"/>
  <c r="P31" i="50"/>
  <c r="Q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D32" i="50"/>
  <c r="O32" i="50"/>
  <c r="P32" i="50"/>
  <c r="Q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D33" i="50"/>
  <c r="O33" i="50"/>
  <c r="P33" i="50"/>
  <c r="Q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D34" i="50"/>
  <c r="O34" i="50"/>
  <c r="P34" i="50"/>
  <c r="Q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D35" i="50"/>
  <c r="O35" i="50"/>
  <c r="P35" i="50"/>
  <c r="Q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D36" i="50"/>
  <c r="O36" i="50"/>
  <c r="P36" i="50"/>
  <c r="Q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D37" i="50"/>
  <c r="O37" i="50"/>
  <c r="P37" i="50"/>
  <c r="Q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M60" i="55"/>
  <c r="I60" i="55"/>
  <c r="N60" i="55"/>
  <c r="S60" i="55"/>
  <c r="M59" i="55"/>
  <c r="I59" i="55"/>
  <c r="N59" i="55"/>
  <c r="S59" i="55"/>
  <c r="M58" i="55"/>
  <c r="I58" i="55"/>
  <c r="N58" i="55"/>
  <c r="S58" i="55"/>
  <c r="M57" i="55"/>
  <c r="I57" i="55"/>
  <c r="N57" i="55"/>
  <c r="S57" i="55"/>
  <c r="M56" i="55"/>
  <c r="I56" i="55"/>
  <c r="N56" i="55"/>
  <c r="S56" i="55"/>
  <c r="M55" i="55"/>
  <c r="I55" i="55"/>
  <c r="N55" i="55"/>
  <c r="S55" i="55"/>
  <c r="M54" i="55"/>
  <c r="I54" i="55"/>
  <c r="N54" i="55"/>
  <c r="S54" i="55"/>
  <c r="M53" i="55"/>
  <c r="I53" i="55"/>
  <c r="N53" i="55"/>
  <c r="S53" i="55"/>
  <c r="M52" i="55"/>
  <c r="I52" i="55"/>
  <c r="N52" i="55"/>
  <c r="S52" i="55"/>
  <c r="M51" i="55"/>
  <c r="I51" i="55"/>
  <c r="N51" i="55"/>
  <c r="S51" i="55"/>
  <c r="M50" i="55"/>
  <c r="I50" i="55"/>
  <c r="N50" i="55"/>
  <c r="S50" i="55"/>
  <c r="M49" i="55"/>
  <c r="I49" i="55"/>
  <c r="N49" i="55"/>
  <c r="S49" i="55"/>
  <c r="M48" i="55"/>
  <c r="I48" i="55"/>
  <c r="N48" i="55"/>
  <c r="S48" i="55"/>
  <c r="M47" i="55"/>
  <c r="I47" i="55"/>
  <c r="N47" i="55"/>
  <c r="S47" i="55"/>
  <c r="M46" i="55"/>
  <c r="I46" i="55"/>
  <c r="N46" i="55"/>
  <c r="S46" i="55"/>
  <c r="M45" i="55"/>
  <c r="I45" i="55"/>
  <c r="N45" i="55"/>
  <c r="S45" i="55"/>
  <c r="M44" i="55"/>
  <c r="I44" i="55"/>
  <c r="N44" i="55"/>
  <c r="S44" i="55"/>
  <c r="M43" i="55"/>
  <c r="I43" i="55"/>
  <c r="N43" i="55"/>
  <c r="S43" i="55"/>
  <c r="M42" i="55"/>
  <c r="I42" i="55"/>
  <c r="N42" i="55"/>
  <c r="S42" i="55"/>
  <c r="M41" i="55"/>
  <c r="I41" i="55"/>
  <c r="N41" i="55"/>
  <c r="S41" i="55"/>
  <c r="M40" i="55"/>
  <c r="I40" i="55"/>
  <c r="N40" i="55"/>
  <c r="S40" i="55"/>
  <c r="M39" i="55"/>
  <c r="I39" i="55"/>
  <c r="N39" i="55"/>
  <c r="S39" i="55"/>
  <c r="M38" i="55"/>
  <c r="I38" i="55"/>
  <c r="N38" i="55"/>
  <c r="S38" i="55"/>
  <c r="M37" i="55"/>
  <c r="I37" i="55"/>
  <c r="N37" i="55"/>
  <c r="S37" i="55"/>
  <c r="M36" i="55"/>
  <c r="I36" i="55"/>
  <c r="N36" i="55"/>
  <c r="S36" i="55"/>
  <c r="M35" i="55"/>
  <c r="I35" i="55"/>
  <c r="N35" i="55"/>
  <c r="S35" i="55"/>
  <c r="M34" i="55"/>
  <c r="I34" i="55"/>
  <c r="N34" i="55"/>
  <c r="S34" i="55"/>
  <c r="M33" i="55"/>
  <c r="I33" i="55"/>
  <c r="N33" i="55"/>
  <c r="S33" i="55"/>
  <c r="M32" i="55"/>
  <c r="I32" i="55"/>
  <c r="N32" i="55"/>
  <c r="S32" i="55"/>
  <c r="M31" i="55"/>
  <c r="I31" i="55"/>
  <c r="N31" i="55"/>
  <c r="S31" i="55"/>
  <c r="M30" i="55"/>
  <c r="I30" i="55"/>
  <c r="N30" i="55"/>
  <c r="S30" i="55"/>
  <c r="M29" i="55"/>
  <c r="I29" i="55"/>
  <c r="N29" i="55"/>
  <c r="S29" i="55"/>
  <c r="M28" i="55"/>
  <c r="I28" i="55"/>
  <c r="N28" i="55"/>
  <c r="S28" i="55"/>
  <c r="M27" i="55"/>
  <c r="I27" i="55"/>
  <c r="N27" i="55"/>
  <c r="S27" i="55"/>
  <c r="M26" i="55"/>
  <c r="I26" i="55"/>
  <c r="N26" i="55"/>
  <c r="S26" i="55"/>
  <c r="M25" i="55"/>
  <c r="I25" i="55"/>
  <c r="N25" i="55"/>
  <c r="S25" i="55"/>
  <c r="M24" i="55"/>
  <c r="I24" i="55"/>
  <c r="N24" i="55"/>
  <c r="S24" i="55"/>
  <c r="M23" i="55"/>
  <c r="I23" i="55"/>
  <c r="N23" i="55"/>
  <c r="S23" i="55"/>
  <c r="M22" i="55"/>
  <c r="I22" i="55"/>
  <c r="N22" i="55"/>
  <c r="S22" i="55"/>
  <c r="M21" i="55"/>
  <c r="I21" i="55"/>
  <c r="N21" i="55"/>
  <c r="S21" i="55"/>
  <c r="M20" i="55"/>
  <c r="I20" i="55"/>
  <c r="N20" i="55"/>
  <c r="S20" i="55"/>
  <c r="M19" i="55"/>
  <c r="I19" i="55"/>
  <c r="N19" i="55"/>
  <c r="S19" i="55"/>
  <c r="M18" i="55"/>
  <c r="I18" i="55"/>
  <c r="N18" i="55"/>
  <c r="S18" i="55"/>
  <c r="M17" i="55"/>
  <c r="I17" i="55"/>
  <c r="N17" i="55"/>
  <c r="S17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R24" i="55"/>
  <c r="R23" i="55"/>
  <c r="R22" i="55"/>
  <c r="R21" i="55"/>
  <c r="R20" i="55"/>
  <c r="R19" i="55"/>
  <c r="R18" i="55"/>
  <c r="R17" i="55"/>
  <c r="T60" i="55"/>
  <c r="T59" i="55"/>
  <c r="T58" i="55"/>
  <c r="T57" i="55"/>
  <c r="T56" i="55"/>
  <c r="T55" i="55"/>
  <c r="T54" i="55"/>
  <c r="T53" i="55"/>
  <c r="T52" i="55"/>
  <c r="T51" i="55"/>
  <c r="T50" i="55"/>
  <c r="T49" i="55"/>
  <c r="T48" i="55"/>
  <c r="T47" i="55"/>
  <c r="T46" i="55"/>
  <c r="T45" i="55"/>
  <c r="T44" i="55"/>
  <c r="T43" i="55"/>
  <c r="T42" i="55"/>
  <c r="T41" i="55"/>
  <c r="T40" i="55"/>
  <c r="T39" i="55"/>
  <c r="T38" i="55"/>
  <c r="T37" i="55"/>
  <c r="T36" i="55"/>
  <c r="T35" i="55"/>
  <c r="T34" i="55"/>
  <c r="T33" i="55"/>
  <c r="T32" i="55"/>
  <c r="T31" i="55"/>
  <c r="T30" i="55"/>
  <c r="T29" i="55"/>
  <c r="T28" i="55"/>
  <c r="T27" i="55"/>
  <c r="T26" i="55"/>
  <c r="T25" i="55"/>
  <c r="T24" i="55"/>
  <c r="T23" i="55"/>
  <c r="T22" i="55"/>
  <c r="T21" i="55"/>
  <c r="T20" i="55"/>
  <c r="T19" i="55"/>
  <c r="T18" i="55"/>
  <c r="T17" i="55"/>
  <c r="D17" i="55"/>
  <c r="O17" i="55"/>
  <c r="P17" i="55"/>
  <c r="Q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D18" i="55"/>
  <c r="O18" i="55"/>
  <c r="P18" i="55"/>
  <c r="Q18" i="55"/>
  <c r="U18" i="55"/>
  <c r="V18" i="55"/>
  <c r="W18" i="55"/>
  <c r="X18" i="55"/>
  <c r="Y18" i="55"/>
  <c r="Z18" i="55"/>
  <c r="AA18" i="55"/>
  <c r="AB18" i="55"/>
  <c r="AC18" i="55"/>
  <c r="AD18" i="55"/>
  <c r="AE18" i="55"/>
  <c r="AF18" i="55"/>
  <c r="AG18" i="55"/>
  <c r="D19" i="55"/>
  <c r="O19" i="55"/>
  <c r="P19" i="55"/>
  <c r="Q19" i="55"/>
  <c r="U19" i="55"/>
  <c r="V19" i="55"/>
  <c r="W19" i="55"/>
  <c r="X19" i="55"/>
  <c r="Y19" i="55"/>
  <c r="Z19" i="55"/>
  <c r="AA19" i="55"/>
  <c r="AB19" i="55"/>
  <c r="AC19" i="55"/>
  <c r="AD19" i="55"/>
  <c r="AE19" i="55"/>
  <c r="AF19" i="55"/>
  <c r="AG19" i="55"/>
  <c r="D20" i="55"/>
  <c r="O20" i="55"/>
  <c r="P20" i="55"/>
  <c r="Q20" i="55"/>
  <c r="U20" i="55"/>
  <c r="V20" i="55"/>
  <c r="W20" i="55"/>
  <c r="X20" i="55"/>
  <c r="Y20" i="55"/>
  <c r="Z20" i="55"/>
  <c r="AA20" i="55"/>
  <c r="AB20" i="55"/>
  <c r="AC20" i="55"/>
  <c r="AD20" i="55"/>
  <c r="AE20" i="55"/>
  <c r="AF20" i="55"/>
  <c r="AG20" i="55"/>
  <c r="D21" i="55"/>
  <c r="O21" i="55"/>
  <c r="P21" i="55"/>
  <c r="Q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D22" i="55"/>
  <c r="O22" i="55"/>
  <c r="P22" i="55"/>
  <c r="Q22" i="55"/>
  <c r="U22" i="55"/>
  <c r="V22" i="55"/>
  <c r="W22" i="55"/>
  <c r="X22" i="55"/>
  <c r="Y22" i="55"/>
  <c r="Z22" i="55"/>
  <c r="AA22" i="55"/>
  <c r="AB22" i="55"/>
  <c r="AC22" i="55"/>
  <c r="AD22" i="55"/>
  <c r="AE22" i="55"/>
  <c r="AF22" i="55"/>
  <c r="AG22" i="55"/>
  <c r="D23" i="55"/>
  <c r="O23" i="55"/>
  <c r="P23" i="55"/>
  <c r="Q23" i="55"/>
  <c r="U23" i="55"/>
  <c r="V23" i="55"/>
  <c r="W23" i="55"/>
  <c r="X23" i="55"/>
  <c r="Y23" i="55"/>
  <c r="Z23" i="55"/>
  <c r="AA23" i="55"/>
  <c r="AB23" i="55"/>
  <c r="AC23" i="55"/>
  <c r="AD23" i="55"/>
  <c r="AE23" i="55"/>
  <c r="AF23" i="55"/>
  <c r="AG23" i="55"/>
  <c r="D24" i="55"/>
  <c r="O24" i="55"/>
  <c r="P24" i="55"/>
  <c r="Q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D25" i="55"/>
  <c r="O25" i="55"/>
  <c r="P25" i="55"/>
  <c r="Q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D26" i="55"/>
  <c r="O26" i="55"/>
  <c r="P26" i="55"/>
  <c r="Q26" i="55"/>
  <c r="U26" i="55"/>
  <c r="V26" i="55"/>
  <c r="W26" i="55"/>
  <c r="X26" i="55"/>
  <c r="Y26" i="55"/>
  <c r="Z26" i="55"/>
  <c r="AA26" i="55"/>
  <c r="AB26" i="55"/>
  <c r="AC26" i="55"/>
  <c r="AD26" i="55"/>
  <c r="AE26" i="55"/>
  <c r="AF26" i="55"/>
  <c r="AG26" i="55"/>
  <c r="D27" i="55"/>
  <c r="O27" i="55"/>
  <c r="P27" i="55"/>
  <c r="Q27" i="55"/>
  <c r="U27" i="55"/>
  <c r="V27" i="55"/>
  <c r="W27" i="55"/>
  <c r="X27" i="55"/>
  <c r="Y27" i="55"/>
  <c r="Z27" i="55"/>
  <c r="AA27" i="55"/>
  <c r="AB27" i="55"/>
  <c r="AC27" i="55"/>
  <c r="AD27" i="55"/>
  <c r="AE27" i="55"/>
  <c r="AF27" i="55"/>
  <c r="AG27" i="55"/>
  <c r="D28" i="55"/>
  <c r="O28" i="55"/>
  <c r="P28" i="55"/>
  <c r="Q28" i="55"/>
  <c r="U28" i="55"/>
  <c r="V28" i="55"/>
  <c r="W28" i="55"/>
  <c r="X28" i="55"/>
  <c r="Y28" i="55"/>
  <c r="Z28" i="55"/>
  <c r="AA28" i="55"/>
  <c r="AB28" i="55"/>
  <c r="AC28" i="55"/>
  <c r="AD28" i="55"/>
  <c r="AE28" i="55"/>
  <c r="AF28" i="55"/>
  <c r="AG28" i="55"/>
  <c r="D29" i="55"/>
  <c r="O29" i="55"/>
  <c r="P29" i="55"/>
  <c r="Q29" i="55"/>
  <c r="U29" i="55"/>
  <c r="V29" i="55"/>
  <c r="W29" i="55"/>
  <c r="X29" i="55"/>
  <c r="Y29" i="55"/>
  <c r="Z29" i="55"/>
  <c r="AA29" i="55"/>
  <c r="AB29" i="55"/>
  <c r="AC29" i="55"/>
  <c r="AD29" i="55"/>
  <c r="AE29" i="55"/>
  <c r="AF29" i="55"/>
  <c r="AG29" i="55"/>
  <c r="D30" i="55"/>
  <c r="O30" i="55"/>
  <c r="P30" i="55"/>
  <c r="Q30" i="55"/>
  <c r="U30" i="55"/>
  <c r="V30" i="55"/>
  <c r="W30" i="55"/>
  <c r="X30" i="55"/>
  <c r="Y30" i="55"/>
  <c r="Z30" i="55"/>
  <c r="AA30" i="55"/>
  <c r="AB30" i="55"/>
  <c r="AC30" i="55"/>
  <c r="AD30" i="55"/>
  <c r="AE30" i="55"/>
  <c r="AF30" i="55"/>
  <c r="AG30" i="55"/>
  <c r="D31" i="55"/>
  <c r="O31" i="55"/>
  <c r="P31" i="55"/>
  <c r="Q31" i="55"/>
  <c r="U31" i="55"/>
  <c r="V31" i="55"/>
  <c r="W31" i="55"/>
  <c r="X31" i="55"/>
  <c r="Y31" i="55"/>
  <c r="Z31" i="55"/>
  <c r="AA31" i="55"/>
  <c r="AB31" i="55"/>
  <c r="AC31" i="55"/>
  <c r="AD31" i="55"/>
  <c r="AE31" i="55"/>
  <c r="AF31" i="55"/>
  <c r="AG31" i="55"/>
  <c r="D32" i="55"/>
  <c r="O32" i="55"/>
  <c r="P32" i="55"/>
  <c r="Q32" i="55"/>
  <c r="U32" i="55"/>
  <c r="V32" i="55"/>
  <c r="W32" i="55"/>
  <c r="X32" i="55"/>
  <c r="Y32" i="55"/>
  <c r="Z32" i="55"/>
  <c r="AA32" i="55"/>
  <c r="AB32" i="55"/>
  <c r="AC32" i="55"/>
  <c r="AD32" i="55"/>
  <c r="AE32" i="55"/>
  <c r="AF32" i="55"/>
  <c r="AG32" i="55"/>
  <c r="D33" i="55"/>
  <c r="O33" i="55"/>
  <c r="P33" i="55"/>
  <c r="Q33" i="55"/>
  <c r="U33" i="55"/>
  <c r="V33" i="55"/>
  <c r="W33" i="55"/>
  <c r="X33" i="55"/>
  <c r="Y33" i="55"/>
  <c r="Z33" i="55"/>
  <c r="AA33" i="55"/>
  <c r="AB33" i="55"/>
  <c r="AC33" i="55"/>
  <c r="AD33" i="55"/>
  <c r="AE33" i="55"/>
  <c r="AF33" i="55"/>
  <c r="AG33" i="55"/>
  <c r="D34" i="55"/>
  <c r="O34" i="55"/>
  <c r="P34" i="55"/>
  <c r="Q34" i="55"/>
  <c r="U34" i="55"/>
  <c r="V34" i="55"/>
  <c r="W34" i="55"/>
  <c r="X34" i="55"/>
  <c r="Y34" i="55"/>
  <c r="Z34" i="55"/>
  <c r="AA34" i="55"/>
  <c r="AB34" i="55"/>
  <c r="AC34" i="55"/>
  <c r="AD34" i="55"/>
  <c r="AE34" i="55"/>
  <c r="AF34" i="55"/>
  <c r="AG34" i="55"/>
  <c r="D35" i="55"/>
  <c r="O35" i="55"/>
  <c r="P35" i="55"/>
  <c r="Q35" i="55"/>
  <c r="U35" i="55"/>
  <c r="V35" i="55"/>
  <c r="W35" i="55"/>
  <c r="X35" i="55"/>
  <c r="Y35" i="55"/>
  <c r="Z35" i="55"/>
  <c r="AA35" i="55"/>
  <c r="AB35" i="55"/>
  <c r="AC35" i="55"/>
  <c r="AD35" i="55"/>
  <c r="AE35" i="55"/>
  <c r="AF35" i="55"/>
  <c r="AG35" i="55"/>
  <c r="D36" i="55"/>
  <c r="O36" i="55"/>
  <c r="P36" i="55"/>
  <c r="Q36" i="55"/>
  <c r="U36" i="55"/>
  <c r="V36" i="55"/>
  <c r="W36" i="55"/>
  <c r="X36" i="55"/>
  <c r="Y36" i="55"/>
  <c r="Z36" i="55"/>
  <c r="AA36" i="55"/>
  <c r="AB36" i="55"/>
  <c r="AC36" i="55"/>
  <c r="AD36" i="55"/>
  <c r="AE36" i="55"/>
  <c r="AF36" i="55"/>
  <c r="AG36" i="55"/>
  <c r="D37" i="55"/>
  <c r="O37" i="55"/>
  <c r="P37" i="55"/>
  <c r="Q37" i="55"/>
  <c r="U37" i="55"/>
  <c r="V37" i="55"/>
  <c r="W37" i="55"/>
  <c r="X37" i="55"/>
  <c r="Y37" i="55"/>
  <c r="Z37" i="55"/>
  <c r="AA37" i="55"/>
  <c r="AB37" i="55"/>
  <c r="AC37" i="55"/>
  <c r="AD37" i="55"/>
  <c r="AE37" i="55"/>
  <c r="AF37" i="55"/>
  <c r="AG37" i="55"/>
  <c r="D38" i="55"/>
  <c r="O38" i="55"/>
  <c r="P38" i="55"/>
  <c r="Q38" i="55"/>
  <c r="U38" i="55"/>
  <c r="V38" i="55"/>
  <c r="W38" i="55"/>
  <c r="X38" i="55"/>
  <c r="Y38" i="55"/>
  <c r="Z38" i="55"/>
  <c r="AA38" i="55"/>
  <c r="AB38" i="55"/>
  <c r="AC38" i="55"/>
  <c r="AD38" i="55"/>
  <c r="AE38" i="55"/>
  <c r="AF38" i="55"/>
  <c r="AG38" i="55"/>
  <c r="D39" i="55"/>
  <c r="O39" i="55"/>
  <c r="P39" i="55"/>
  <c r="Q39" i="55"/>
  <c r="U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D40" i="55"/>
  <c r="O40" i="55"/>
  <c r="P40" i="55"/>
  <c r="Q40" i="55"/>
  <c r="U40" i="55"/>
  <c r="V40" i="55"/>
  <c r="W40" i="55"/>
  <c r="X40" i="55"/>
  <c r="Y40" i="55"/>
  <c r="Z40" i="55"/>
  <c r="AA40" i="55"/>
  <c r="AB40" i="55"/>
  <c r="AC40" i="55"/>
  <c r="AD40" i="55"/>
  <c r="AE40" i="55"/>
  <c r="AF40" i="55"/>
  <c r="AG40" i="55"/>
  <c r="D41" i="55"/>
  <c r="O41" i="55"/>
  <c r="P41" i="55"/>
  <c r="Q41" i="55"/>
  <c r="U41" i="55"/>
  <c r="V41" i="55"/>
  <c r="W41" i="55"/>
  <c r="X41" i="55"/>
  <c r="Y41" i="55"/>
  <c r="Z41" i="55"/>
  <c r="AA41" i="55"/>
  <c r="AB41" i="55"/>
  <c r="AC41" i="55"/>
  <c r="AD41" i="55"/>
  <c r="AE41" i="55"/>
  <c r="AF41" i="55"/>
  <c r="AG41" i="55"/>
  <c r="D42" i="55"/>
  <c r="O42" i="55"/>
  <c r="P42" i="55"/>
  <c r="Q42" i="55"/>
  <c r="U42" i="55"/>
  <c r="V42" i="55"/>
  <c r="W42" i="55"/>
  <c r="X42" i="55"/>
  <c r="Y42" i="55"/>
  <c r="Z42" i="55"/>
  <c r="AA42" i="55"/>
  <c r="AB42" i="55"/>
  <c r="AC42" i="55"/>
  <c r="AD42" i="55"/>
  <c r="AE42" i="55"/>
  <c r="AF42" i="55"/>
  <c r="AG42" i="55"/>
  <c r="D43" i="55"/>
  <c r="O43" i="55"/>
  <c r="P43" i="55"/>
  <c r="Q43" i="55"/>
  <c r="U43" i="55"/>
  <c r="V43" i="55"/>
  <c r="W43" i="55"/>
  <c r="X43" i="55"/>
  <c r="Y43" i="55"/>
  <c r="Z43" i="55"/>
  <c r="AA43" i="55"/>
  <c r="AB43" i="55"/>
  <c r="AC43" i="55"/>
  <c r="AD43" i="55"/>
  <c r="AE43" i="55"/>
  <c r="AF43" i="55"/>
  <c r="AG43" i="55"/>
  <c r="D44" i="55"/>
  <c r="O44" i="55"/>
  <c r="P44" i="55"/>
  <c r="Q44" i="55"/>
  <c r="U44" i="55"/>
  <c r="V44" i="55"/>
  <c r="W44" i="55"/>
  <c r="X44" i="55"/>
  <c r="Y44" i="55"/>
  <c r="Z44" i="55"/>
  <c r="AA44" i="55"/>
  <c r="AB44" i="55"/>
  <c r="AC44" i="55"/>
  <c r="AD44" i="55"/>
  <c r="AE44" i="55"/>
  <c r="AF44" i="55"/>
  <c r="AG44" i="55"/>
  <c r="D45" i="55"/>
  <c r="O45" i="55"/>
  <c r="P45" i="55"/>
  <c r="Q45" i="55"/>
  <c r="U45" i="55"/>
  <c r="V45" i="55"/>
  <c r="W45" i="55"/>
  <c r="X45" i="55"/>
  <c r="Y45" i="55"/>
  <c r="Z45" i="55"/>
  <c r="AA45" i="55"/>
  <c r="AB45" i="55"/>
  <c r="AC45" i="55"/>
  <c r="AD45" i="55"/>
  <c r="AE45" i="55"/>
  <c r="AF45" i="55"/>
  <c r="AG45" i="55"/>
  <c r="D46" i="55"/>
  <c r="O46" i="55"/>
  <c r="P46" i="55"/>
  <c r="Q46" i="55"/>
  <c r="U46" i="55"/>
  <c r="V46" i="55"/>
  <c r="W46" i="55"/>
  <c r="X46" i="55"/>
  <c r="Y46" i="55"/>
  <c r="Z46" i="55"/>
  <c r="AA46" i="55"/>
  <c r="AB46" i="55"/>
  <c r="AC46" i="55"/>
  <c r="AD46" i="55"/>
  <c r="AE46" i="55"/>
  <c r="AF46" i="55"/>
  <c r="AG46" i="55"/>
  <c r="D47" i="55"/>
  <c r="O47" i="55"/>
  <c r="P47" i="55"/>
  <c r="Q47" i="55"/>
  <c r="U47" i="55"/>
  <c r="V47" i="55"/>
  <c r="W47" i="55"/>
  <c r="X47" i="55"/>
  <c r="Y47" i="55"/>
  <c r="Z47" i="55"/>
  <c r="AA47" i="55"/>
  <c r="AB47" i="55"/>
  <c r="AC47" i="55"/>
  <c r="AD47" i="55"/>
  <c r="AE47" i="55"/>
  <c r="AF47" i="55"/>
  <c r="AG47" i="55"/>
  <c r="D48" i="55"/>
  <c r="O48" i="55"/>
  <c r="P48" i="55"/>
  <c r="Q48" i="55"/>
  <c r="U48" i="55"/>
  <c r="V48" i="55"/>
  <c r="W48" i="55"/>
  <c r="X48" i="55"/>
  <c r="Y48" i="55"/>
  <c r="Z48" i="55"/>
  <c r="AA48" i="55"/>
  <c r="AB48" i="55"/>
  <c r="AC48" i="55"/>
  <c r="AD48" i="55"/>
  <c r="AE48" i="55"/>
  <c r="AF48" i="55"/>
  <c r="AG48" i="55"/>
  <c r="D49" i="55"/>
  <c r="O49" i="55"/>
  <c r="P49" i="55"/>
  <c r="Q49" i="55"/>
  <c r="U49" i="55"/>
  <c r="V49" i="55"/>
  <c r="W49" i="55"/>
  <c r="X49" i="55"/>
  <c r="Y49" i="55"/>
  <c r="Z49" i="55"/>
  <c r="AA49" i="55"/>
  <c r="AB49" i="55"/>
  <c r="AC49" i="55"/>
  <c r="AD49" i="55"/>
  <c r="AE49" i="55"/>
  <c r="AF49" i="55"/>
  <c r="AG49" i="55"/>
  <c r="D50" i="55"/>
  <c r="O50" i="55"/>
  <c r="P50" i="55"/>
  <c r="Q50" i="55"/>
  <c r="U50" i="55"/>
  <c r="V50" i="55"/>
  <c r="W50" i="55"/>
  <c r="X50" i="55"/>
  <c r="Y50" i="55"/>
  <c r="Z50" i="55"/>
  <c r="AA50" i="55"/>
  <c r="AB50" i="55"/>
  <c r="AC50" i="55"/>
  <c r="AD50" i="55"/>
  <c r="AE50" i="55"/>
  <c r="AF50" i="55"/>
  <c r="AG50" i="55"/>
  <c r="D51" i="55"/>
  <c r="O51" i="55"/>
  <c r="P51" i="55"/>
  <c r="Q51" i="55"/>
  <c r="U51" i="55"/>
  <c r="V51" i="55"/>
  <c r="W51" i="55"/>
  <c r="X51" i="55"/>
  <c r="Y51" i="55"/>
  <c r="Z51" i="55"/>
  <c r="AA51" i="55"/>
  <c r="AB51" i="55"/>
  <c r="AC51" i="55"/>
  <c r="AD51" i="55"/>
  <c r="AE51" i="55"/>
  <c r="AF51" i="55"/>
  <c r="AG51" i="55"/>
  <c r="D52" i="55"/>
  <c r="O52" i="55"/>
  <c r="P52" i="55"/>
  <c r="Q52" i="55"/>
  <c r="U52" i="55"/>
  <c r="V52" i="55"/>
  <c r="W52" i="55"/>
  <c r="X52" i="55"/>
  <c r="Y52" i="55"/>
  <c r="Z52" i="55"/>
  <c r="AA52" i="55"/>
  <c r="AB52" i="55"/>
  <c r="AC52" i="55"/>
  <c r="AD52" i="55"/>
  <c r="AE52" i="55"/>
  <c r="AF52" i="55"/>
  <c r="AG52" i="55"/>
  <c r="D53" i="55"/>
  <c r="O53" i="55"/>
  <c r="P53" i="55"/>
  <c r="Q53" i="55"/>
  <c r="U53" i="55"/>
  <c r="V53" i="55"/>
  <c r="W53" i="55"/>
  <c r="X53" i="55"/>
  <c r="Y53" i="55"/>
  <c r="Z53" i="55"/>
  <c r="AA53" i="55"/>
  <c r="AB53" i="55"/>
  <c r="AC53" i="55"/>
  <c r="AD53" i="55"/>
  <c r="AE53" i="55"/>
  <c r="AF53" i="55"/>
  <c r="AG53" i="55"/>
  <c r="D54" i="55"/>
  <c r="O54" i="55"/>
  <c r="P54" i="55"/>
  <c r="Q54" i="55"/>
  <c r="U54" i="55"/>
  <c r="V54" i="55"/>
  <c r="W54" i="55"/>
  <c r="X54" i="55"/>
  <c r="Y54" i="55"/>
  <c r="Z54" i="55"/>
  <c r="AA54" i="55"/>
  <c r="AB54" i="55"/>
  <c r="AC54" i="55"/>
  <c r="AD54" i="55"/>
  <c r="AE54" i="55"/>
  <c r="AF54" i="55"/>
  <c r="AG54" i="55"/>
  <c r="D55" i="55"/>
  <c r="O55" i="55"/>
  <c r="P55" i="55"/>
  <c r="Q55" i="55"/>
  <c r="U55" i="55"/>
  <c r="V55" i="55"/>
  <c r="W55" i="55"/>
  <c r="X55" i="55"/>
  <c r="Y55" i="55"/>
  <c r="Z55" i="55"/>
  <c r="AA55" i="55"/>
  <c r="AB55" i="55"/>
  <c r="AC55" i="55"/>
  <c r="AD55" i="55"/>
  <c r="AE55" i="55"/>
  <c r="AF55" i="55"/>
  <c r="AG55" i="55"/>
  <c r="D56" i="55"/>
  <c r="O56" i="55"/>
  <c r="P56" i="55"/>
  <c r="Q56" i="55"/>
  <c r="U56" i="55"/>
  <c r="V56" i="55"/>
  <c r="W56" i="55"/>
  <c r="X56" i="55"/>
  <c r="Y56" i="55"/>
  <c r="Z56" i="55"/>
  <c r="AA56" i="55"/>
  <c r="AB56" i="55"/>
  <c r="AC56" i="55"/>
  <c r="AD56" i="55"/>
  <c r="AE56" i="55"/>
  <c r="AF56" i="55"/>
  <c r="AG56" i="55"/>
  <c r="D57" i="55"/>
  <c r="O57" i="55"/>
  <c r="P57" i="55"/>
  <c r="Q57" i="55"/>
  <c r="U57" i="55"/>
  <c r="V57" i="55"/>
  <c r="W57" i="55"/>
  <c r="X57" i="55"/>
  <c r="Y57" i="55"/>
  <c r="Z57" i="55"/>
  <c r="AA57" i="55"/>
  <c r="AB57" i="55"/>
  <c r="AC57" i="55"/>
  <c r="AD57" i="55"/>
  <c r="AE57" i="55"/>
  <c r="AF57" i="55"/>
  <c r="AG57" i="55"/>
  <c r="D58" i="55"/>
  <c r="O58" i="55"/>
  <c r="P58" i="55"/>
  <c r="Q58" i="55"/>
  <c r="U58" i="55"/>
  <c r="V58" i="55"/>
  <c r="W58" i="55"/>
  <c r="X58" i="55"/>
  <c r="Y58" i="55"/>
  <c r="Z58" i="55"/>
  <c r="AA58" i="55"/>
  <c r="AB58" i="55"/>
  <c r="AC58" i="55"/>
  <c r="AD58" i="55"/>
  <c r="AE58" i="55"/>
  <c r="AF58" i="55"/>
  <c r="AG58" i="55"/>
  <c r="D59" i="55"/>
  <c r="O59" i="55"/>
  <c r="P59" i="55"/>
  <c r="Q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D60" i="55"/>
  <c r="O60" i="55"/>
  <c r="P60" i="55"/>
  <c r="Q60" i="55"/>
  <c r="U60" i="55"/>
  <c r="V60" i="55"/>
  <c r="W60" i="55"/>
  <c r="X60" i="55"/>
  <c r="Y60" i="55"/>
  <c r="Z60" i="55"/>
  <c r="AA60" i="55"/>
  <c r="AB60" i="55"/>
  <c r="AC60" i="55"/>
  <c r="AD60" i="55"/>
  <c r="AE60" i="55"/>
  <c r="AF60" i="55"/>
  <c r="AG60" i="55"/>
  <c r="M28" i="51"/>
  <c r="I28" i="51"/>
  <c r="N28" i="51"/>
  <c r="S28" i="51"/>
  <c r="M27" i="51"/>
  <c r="I27" i="51"/>
  <c r="N27" i="51"/>
  <c r="S27" i="51"/>
  <c r="M26" i="51"/>
  <c r="I26" i="51"/>
  <c r="N26" i="51"/>
  <c r="S26" i="51"/>
  <c r="M25" i="51"/>
  <c r="I25" i="51"/>
  <c r="N25" i="51"/>
  <c r="S25" i="51"/>
  <c r="M24" i="51"/>
  <c r="I24" i="51"/>
  <c r="N24" i="51"/>
  <c r="S24" i="51"/>
  <c r="M23" i="51"/>
  <c r="I23" i="51"/>
  <c r="N23" i="51"/>
  <c r="S23" i="51"/>
  <c r="M22" i="51"/>
  <c r="I22" i="51"/>
  <c r="N22" i="51"/>
  <c r="S22" i="51"/>
  <c r="M21" i="51"/>
  <c r="I21" i="51"/>
  <c r="N21" i="51"/>
  <c r="S21" i="51"/>
  <c r="M20" i="51"/>
  <c r="I20" i="51"/>
  <c r="N20" i="51"/>
  <c r="S20" i="51"/>
  <c r="M19" i="51"/>
  <c r="I19" i="51"/>
  <c r="N19" i="51"/>
  <c r="S19" i="51"/>
  <c r="M18" i="51"/>
  <c r="I18" i="51"/>
  <c r="N18" i="51"/>
  <c r="S18" i="51"/>
  <c r="M17" i="51"/>
  <c r="I17" i="51"/>
  <c r="N17" i="51"/>
  <c r="S17" i="51"/>
  <c r="R28" i="51"/>
  <c r="R27" i="51"/>
  <c r="R26" i="51"/>
  <c r="R25" i="51"/>
  <c r="R24" i="51"/>
  <c r="R23" i="51"/>
  <c r="R22" i="51"/>
  <c r="R21" i="51"/>
  <c r="R20" i="51"/>
  <c r="R19" i="51"/>
  <c r="R18" i="51"/>
  <c r="R17" i="51"/>
  <c r="T28" i="51"/>
  <c r="T27" i="51"/>
  <c r="T26" i="51"/>
  <c r="T25" i="51"/>
  <c r="T24" i="51"/>
  <c r="T23" i="51"/>
  <c r="T22" i="51"/>
  <c r="T21" i="51"/>
  <c r="T20" i="51"/>
  <c r="T19" i="51"/>
  <c r="T18" i="51"/>
  <c r="T17" i="51"/>
  <c r="D17" i="51"/>
  <c r="O17" i="51"/>
  <c r="P17" i="51"/>
  <c r="Q17" i="51"/>
  <c r="U17" i="51"/>
  <c r="V17" i="51"/>
  <c r="W17" i="51"/>
  <c r="X17" i="51"/>
  <c r="Y17" i="51"/>
  <c r="Z17" i="51"/>
  <c r="AA17" i="51"/>
  <c r="AB17" i="51"/>
  <c r="AC17" i="51"/>
  <c r="AD17" i="51"/>
  <c r="AE17" i="51"/>
  <c r="AF17" i="51"/>
  <c r="AG17" i="51"/>
  <c r="D18" i="51"/>
  <c r="O18" i="51"/>
  <c r="P18" i="51"/>
  <c r="Q18" i="51"/>
  <c r="U18" i="51"/>
  <c r="V18" i="51"/>
  <c r="W18" i="51"/>
  <c r="X18" i="51"/>
  <c r="Y18" i="51"/>
  <c r="Z18" i="51"/>
  <c r="AA18" i="51"/>
  <c r="AB18" i="51"/>
  <c r="AC18" i="51"/>
  <c r="AD18" i="51"/>
  <c r="AE18" i="51"/>
  <c r="AF18" i="51"/>
  <c r="AG18" i="51"/>
  <c r="D19" i="51"/>
  <c r="O19" i="51"/>
  <c r="P19" i="51"/>
  <c r="Q19" i="51"/>
  <c r="U19" i="51"/>
  <c r="V19" i="51"/>
  <c r="W19" i="51"/>
  <c r="X19" i="51"/>
  <c r="Y19" i="51"/>
  <c r="Z19" i="51"/>
  <c r="AA19" i="51"/>
  <c r="AB19" i="51"/>
  <c r="AC19" i="51"/>
  <c r="AD19" i="51"/>
  <c r="AE19" i="51"/>
  <c r="AF19" i="51"/>
  <c r="AG19" i="51"/>
  <c r="D20" i="51"/>
  <c r="O20" i="51"/>
  <c r="P20" i="51"/>
  <c r="Q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D21" i="51"/>
  <c r="O21" i="51"/>
  <c r="P21" i="51"/>
  <c r="Q21" i="51"/>
  <c r="U21" i="51"/>
  <c r="V21" i="51"/>
  <c r="W21" i="51"/>
  <c r="X21" i="51"/>
  <c r="Y21" i="51"/>
  <c r="Z21" i="51"/>
  <c r="AA21" i="51"/>
  <c r="AB21" i="51"/>
  <c r="AC21" i="51"/>
  <c r="AD21" i="51"/>
  <c r="AE21" i="51"/>
  <c r="AF21" i="51"/>
  <c r="AG21" i="51"/>
  <c r="D22" i="51"/>
  <c r="O22" i="51"/>
  <c r="P22" i="51"/>
  <c r="Q22" i="51"/>
  <c r="U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D23" i="51"/>
  <c r="O23" i="51"/>
  <c r="P23" i="51"/>
  <c r="Q23" i="51"/>
  <c r="U23" i="51"/>
  <c r="V23" i="51"/>
  <c r="W23" i="51"/>
  <c r="X23" i="51"/>
  <c r="Y23" i="51"/>
  <c r="Z23" i="51"/>
  <c r="AA23" i="51"/>
  <c r="AB23" i="51"/>
  <c r="AC23" i="51"/>
  <c r="AD23" i="51"/>
  <c r="AE23" i="51"/>
  <c r="AF23" i="51"/>
  <c r="AG23" i="51"/>
  <c r="D24" i="51"/>
  <c r="O24" i="51"/>
  <c r="P24" i="51"/>
  <c r="Q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D25" i="51"/>
  <c r="O25" i="51"/>
  <c r="P25" i="51"/>
  <c r="Q25" i="51"/>
  <c r="U25" i="51"/>
  <c r="V25" i="51"/>
  <c r="W25" i="51"/>
  <c r="X25" i="51"/>
  <c r="Y25" i="51"/>
  <c r="Z25" i="51"/>
  <c r="AA25" i="51"/>
  <c r="AB25" i="51"/>
  <c r="AC25" i="51"/>
  <c r="AD25" i="51"/>
  <c r="AE25" i="51"/>
  <c r="AF25" i="51"/>
  <c r="AG25" i="51"/>
  <c r="D26" i="51"/>
  <c r="O26" i="51"/>
  <c r="P26" i="51"/>
  <c r="Q26" i="51"/>
  <c r="U26" i="51"/>
  <c r="V26" i="51"/>
  <c r="W26" i="51"/>
  <c r="X26" i="51"/>
  <c r="Y26" i="51"/>
  <c r="Z26" i="51"/>
  <c r="AA26" i="51"/>
  <c r="AB26" i="51"/>
  <c r="AC26" i="51"/>
  <c r="AD26" i="51"/>
  <c r="AE26" i="51"/>
  <c r="AF26" i="51"/>
  <c r="AG26" i="51"/>
  <c r="D27" i="51"/>
  <c r="O27" i="51"/>
  <c r="P27" i="51"/>
  <c r="Q27" i="51"/>
  <c r="U27" i="51"/>
  <c r="V27" i="51"/>
  <c r="W27" i="51"/>
  <c r="X27" i="51"/>
  <c r="Y27" i="51"/>
  <c r="Z27" i="51"/>
  <c r="AA27" i="51"/>
  <c r="AB27" i="51"/>
  <c r="AC27" i="51"/>
  <c r="AD27" i="51"/>
  <c r="AE27" i="51"/>
  <c r="AF27" i="51"/>
  <c r="AG27" i="51"/>
  <c r="D28" i="51"/>
  <c r="O28" i="51"/>
  <c r="P28" i="51"/>
  <c r="Q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M50" i="52"/>
  <c r="I50" i="52"/>
  <c r="N50" i="52"/>
  <c r="S50" i="52"/>
  <c r="M49" i="52"/>
  <c r="I49" i="52"/>
  <c r="N49" i="52"/>
  <c r="S49" i="52"/>
  <c r="M48" i="52"/>
  <c r="I48" i="52"/>
  <c r="N48" i="52"/>
  <c r="S48" i="52"/>
  <c r="M47" i="52"/>
  <c r="I47" i="52"/>
  <c r="N47" i="52"/>
  <c r="S47" i="52"/>
  <c r="M46" i="52"/>
  <c r="I46" i="52"/>
  <c r="N46" i="52"/>
  <c r="S46" i="52"/>
  <c r="M45" i="52"/>
  <c r="I45" i="52"/>
  <c r="N45" i="52"/>
  <c r="S45" i="52"/>
  <c r="M44" i="52"/>
  <c r="I44" i="52"/>
  <c r="N44" i="52"/>
  <c r="S44" i="52"/>
  <c r="M43" i="52"/>
  <c r="I43" i="52"/>
  <c r="N43" i="52"/>
  <c r="S43" i="52"/>
  <c r="M42" i="52"/>
  <c r="I42" i="52"/>
  <c r="N42" i="52"/>
  <c r="S42" i="52"/>
  <c r="M41" i="52"/>
  <c r="I41" i="52"/>
  <c r="N41" i="52"/>
  <c r="S41" i="52"/>
  <c r="M40" i="52"/>
  <c r="I40" i="52"/>
  <c r="N40" i="52"/>
  <c r="S40" i="52"/>
  <c r="M39" i="52"/>
  <c r="I39" i="52"/>
  <c r="N39" i="52"/>
  <c r="S39" i="52"/>
  <c r="M38" i="52"/>
  <c r="I38" i="52"/>
  <c r="N38" i="52"/>
  <c r="S38" i="52"/>
  <c r="M37" i="52"/>
  <c r="I37" i="52"/>
  <c r="N37" i="52"/>
  <c r="S37" i="52"/>
  <c r="M36" i="52"/>
  <c r="I36" i="52"/>
  <c r="N36" i="52"/>
  <c r="S36" i="52"/>
  <c r="M35" i="52"/>
  <c r="I35" i="52"/>
  <c r="N35" i="52"/>
  <c r="S35" i="52"/>
  <c r="M34" i="52"/>
  <c r="I34" i="52"/>
  <c r="N34" i="52"/>
  <c r="S34" i="52"/>
  <c r="M33" i="52"/>
  <c r="I33" i="52"/>
  <c r="N33" i="52"/>
  <c r="S33" i="52"/>
  <c r="M32" i="52"/>
  <c r="I32" i="52"/>
  <c r="N32" i="52"/>
  <c r="S32" i="52"/>
  <c r="M31" i="52"/>
  <c r="I31" i="52"/>
  <c r="N31" i="52"/>
  <c r="S31" i="52"/>
  <c r="M30" i="52"/>
  <c r="I30" i="52"/>
  <c r="N30" i="52"/>
  <c r="S30" i="52"/>
  <c r="M29" i="52"/>
  <c r="I29" i="52"/>
  <c r="N29" i="52"/>
  <c r="S29" i="52"/>
  <c r="M28" i="52"/>
  <c r="I28" i="52"/>
  <c r="N28" i="52"/>
  <c r="S28" i="52"/>
  <c r="M27" i="52"/>
  <c r="I27" i="52"/>
  <c r="N27" i="52"/>
  <c r="S27" i="52"/>
  <c r="M26" i="52"/>
  <c r="I26" i="52"/>
  <c r="N26" i="52"/>
  <c r="S26" i="52"/>
  <c r="M25" i="52"/>
  <c r="I25" i="52"/>
  <c r="N25" i="52"/>
  <c r="S25" i="52"/>
  <c r="M24" i="52"/>
  <c r="I24" i="52"/>
  <c r="N24" i="52"/>
  <c r="S24" i="52"/>
  <c r="M23" i="52"/>
  <c r="I23" i="52"/>
  <c r="N23" i="52"/>
  <c r="S23" i="52"/>
  <c r="M22" i="52"/>
  <c r="I22" i="52"/>
  <c r="N22" i="52"/>
  <c r="S22" i="52"/>
  <c r="M21" i="52"/>
  <c r="I21" i="52"/>
  <c r="N21" i="52"/>
  <c r="S21" i="52"/>
  <c r="M20" i="52"/>
  <c r="I20" i="52"/>
  <c r="N20" i="52"/>
  <c r="S20" i="52"/>
  <c r="M19" i="52"/>
  <c r="I19" i="52"/>
  <c r="N19" i="52"/>
  <c r="S19" i="52"/>
  <c r="M18" i="52"/>
  <c r="I18" i="52"/>
  <c r="N18" i="52"/>
  <c r="S18" i="52"/>
  <c r="M17" i="52"/>
  <c r="I17" i="52"/>
  <c r="N17" i="52"/>
  <c r="S17" i="52"/>
  <c r="R50" i="52"/>
  <c r="R49" i="52"/>
  <c r="R48" i="52"/>
  <c r="R47" i="52"/>
  <c r="R46" i="52"/>
  <c r="R45" i="52"/>
  <c r="R44" i="52"/>
  <c r="R43" i="52"/>
  <c r="R42" i="52"/>
  <c r="R41" i="52"/>
  <c r="R40" i="52"/>
  <c r="R39" i="52"/>
  <c r="R38" i="52"/>
  <c r="R37" i="52"/>
  <c r="R36" i="52"/>
  <c r="R35" i="52"/>
  <c r="R34" i="52"/>
  <c r="R33" i="52"/>
  <c r="R32" i="52"/>
  <c r="R31" i="52"/>
  <c r="R30" i="52"/>
  <c r="R29" i="52"/>
  <c r="R28" i="52"/>
  <c r="R27" i="52"/>
  <c r="R26" i="52"/>
  <c r="R25" i="52"/>
  <c r="R24" i="52"/>
  <c r="R23" i="52"/>
  <c r="R22" i="52"/>
  <c r="R21" i="52"/>
  <c r="R20" i="52"/>
  <c r="R19" i="52"/>
  <c r="R18" i="52"/>
  <c r="R17" i="52"/>
  <c r="T50" i="52"/>
  <c r="T49" i="52"/>
  <c r="T48" i="52"/>
  <c r="T47" i="52"/>
  <c r="T46" i="52"/>
  <c r="T45" i="52"/>
  <c r="T44" i="52"/>
  <c r="T43" i="52"/>
  <c r="T42" i="52"/>
  <c r="T41" i="52"/>
  <c r="T40" i="52"/>
  <c r="T39" i="52"/>
  <c r="T38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17" i="52"/>
  <c r="D17" i="52"/>
  <c r="O17" i="52"/>
  <c r="P17" i="52"/>
  <c r="Q17" i="52"/>
  <c r="U17" i="52"/>
  <c r="V17" i="52"/>
  <c r="W17" i="52"/>
  <c r="X17" i="52"/>
  <c r="Y17" i="52"/>
  <c r="Z17" i="52"/>
  <c r="AA17" i="52"/>
  <c r="AB17" i="52"/>
  <c r="AC17" i="52"/>
  <c r="AD17" i="52"/>
  <c r="AE17" i="52"/>
  <c r="AF17" i="52"/>
  <c r="AG17" i="52"/>
  <c r="D18" i="52"/>
  <c r="O18" i="52"/>
  <c r="P18" i="52"/>
  <c r="Q18" i="52"/>
  <c r="U18" i="52"/>
  <c r="V18" i="52"/>
  <c r="W18" i="52"/>
  <c r="X18" i="52"/>
  <c r="Y18" i="52"/>
  <c r="Z18" i="52"/>
  <c r="AA18" i="52"/>
  <c r="AB18" i="52"/>
  <c r="AC18" i="52"/>
  <c r="AD18" i="52"/>
  <c r="AE18" i="52"/>
  <c r="AF18" i="52"/>
  <c r="AG18" i="52"/>
  <c r="D19" i="52"/>
  <c r="O19" i="52"/>
  <c r="P19" i="52"/>
  <c r="Q19" i="52"/>
  <c r="U19" i="52"/>
  <c r="V19" i="52"/>
  <c r="W19" i="52"/>
  <c r="X19" i="52"/>
  <c r="Y19" i="52"/>
  <c r="Z19" i="52"/>
  <c r="AA19" i="52"/>
  <c r="AB19" i="52"/>
  <c r="AC19" i="52"/>
  <c r="AD19" i="52"/>
  <c r="AE19" i="52"/>
  <c r="AF19" i="52"/>
  <c r="AG19" i="52"/>
  <c r="D20" i="52"/>
  <c r="O20" i="52"/>
  <c r="P20" i="52"/>
  <c r="Q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D21" i="52"/>
  <c r="O21" i="52"/>
  <c r="P21" i="52"/>
  <c r="Q21" i="52"/>
  <c r="U21" i="52"/>
  <c r="V21" i="52"/>
  <c r="W21" i="52"/>
  <c r="X21" i="52"/>
  <c r="Y21" i="52"/>
  <c r="Z21" i="52"/>
  <c r="AA21" i="52"/>
  <c r="AB21" i="52"/>
  <c r="AC21" i="52"/>
  <c r="AD21" i="52"/>
  <c r="AE21" i="52"/>
  <c r="AF21" i="52"/>
  <c r="AG21" i="52"/>
  <c r="D22" i="52"/>
  <c r="O22" i="52"/>
  <c r="P22" i="52"/>
  <c r="Q22" i="52"/>
  <c r="U22" i="52"/>
  <c r="V22" i="52"/>
  <c r="W22" i="52"/>
  <c r="X22" i="52"/>
  <c r="Y22" i="52"/>
  <c r="Z22" i="52"/>
  <c r="AA22" i="52"/>
  <c r="AB22" i="52"/>
  <c r="AC22" i="52"/>
  <c r="AD22" i="52"/>
  <c r="AE22" i="52"/>
  <c r="AF22" i="52"/>
  <c r="AG22" i="52"/>
  <c r="D23" i="52"/>
  <c r="O23" i="52"/>
  <c r="P23" i="52"/>
  <c r="Q23" i="52"/>
  <c r="U23" i="52"/>
  <c r="V23" i="52"/>
  <c r="W23" i="52"/>
  <c r="X23" i="52"/>
  <c r="Y23" i="52"/>
  <c r="Z23" i="52"/>
  <c r="AA23" i="52"/>
  <c r="AB23" i="52"/>
  <c r="AC23" i="52"/>
  <c r="AD23" i="52"/>
  <c r="AE23" i="52"/>
  <c r="AF23" i="52"/>
  <c r="AG23" i="52"/>
  <c r="D24" i="52"/>
  <c r="O24" i="52"/>
  <c r="P24" i="52"/>
  <c r="Q24" i="52"/>
  <c r="U24" i="52"/>
  <c r="V24" i="52"/>
  <c r="W24" i="52"/>
  <c r="X24" i="52"/>
  <c r="Y24" i="52"/>
  <c r="Z24" i="52"/>
  <c r="AA24" i="52"/>
  <c r="AB24" i="52"/>
  <c r="AC24" i="52"/>
  <c r="AD24" i="52"/>
  <c r="AE24" i="52"/>
  <c r="AF24" i="52"/>
  <c r="AG24" i="52"/>
  <c r="D25" i="52"/>
  <c r="O25" i="52"/>
  <c r="P25" i="52"/>
  <c r="Q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D26" i="52"/>
  <c r="O26" i="52"/>
  <c r="P26" i="52"/>
  <c r="Q26" i="52"/>
  <c r="U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D27" i="52"/>
  <c r="O27" i="52"/>
  <c r="P27" i="52"/>
  <c r="Q27" i="52"/>
  <c r="U27" i="52"/>
  <c r="V27" i="52"/>
  <c r="W27" i="52"/>
  <c r="X27" i="52"/>
  <c r="Y27" i="52"/>
  <c r="Z27" i="52"/>
  <c r="AA27" i="52"/>
  <c r="AB27" i="52"/>
  <c r="AC27" i="52"/>
  <c r="AD27" i="52"/>
  <c r="AE27" i="52"/>
  <c r="AF27" i="52"/>
  <c r="AG27" i="52"/>
  <c r="D28" i="52"/>
  <c r="O28" i="52"/>
  <c r="P28" i="52"/>
  <c r="Q28" i="52"/>
  <c r="U28" i="52"/>
  <c r="V28" i="52"/>
  <c r="W28" i="52"/>
  <c r="X28" i="52"/>
  <c r="Y28" i="52"/>
  <c r="Z28" i="52"/>
  <c r="AA28" i="52"/>
  <c r="AB28" i="52"/>
  <c r="AC28" i="52"/>
  <c r="AD28" i="52"/>
  <c r="AE28" i="52"/>
  <c r="AF28" i="52"/>
  <c r="AG28" i="52"/>
  <c r="D29" i="52"/>
  <c r="O29" i="52"/>
  <c r="P29" i="52"/>
  <c r="Q29" i="52"/>
  <c r="U29" i="52"/>
  <c r="V29" i="52"/>
  <c r="W29" i="52"/>
  <c r="X29" i="52"/>
  <c r="Y29" i="52"/>
  <c r="Z29" i="52"/>
  <c r="AA29" i="52"/>
  <c r="AB29" i="52"/>
  <c r="AC29" i="52"/>
  <c r="AD29" i="52"/>
  <c r="AE29" i="52"/>
  <c r="AF29" i="52"/>
  <c r="AG29" i="52"/>
  <c r="D30" i="52"/>
  <c r="O30" i="52"/>
  <c r="P30" i="52"/>
  <c r="Q30" i="52"/>
  <c r="U30" i="52"/>
  <c r="V30" i="52"/>
  <c r="W30" i="52"/>
  <c r="X30" i="52"/>
  <c r="Y30" i="52"/>
  <c r="Z30" i="52"/>
  <c r="AA30" i="52"/>
  <c r="AB30" i="52"/>
  <c r="AC30" i="52"/>
  <c r="AD30" i="52"/>
  <c r="AE30" i="52"/>
  <c r="AF30" i="52"/>
  <c r="AG30" i="52"/>
  <c r="D31" i="52"/>
  <c r="O31" i="52"/>
  <c r="P31" i="52"/>
  <c r="Q31" i="52"/>
  <c r="U31" i="52"/>
  <c r="V31" i="52"/>
  <c r="W31" i="52"/>
  <c r="X31" i="52"/>
  <c r="Y31" i="52"/>
  <c r="Z31" i="52"/>
  <c r="AA31" i="52"/>
  <c r="AB31" i="52"/>
  <c r="AC31" i="52"/>
  <c r="AD31" i="52"/>
  <c r="AE31" i="52"/>
  <c r="AF31" i="52"/>
  <c r="AG31" i="52"/>
  <c r="D32" i="52"/>
  <c r="O32" i="52"/>
  <c r="P32" i="52"/>
  <c r="Q32" i="52"/>
  <c r="U32" i="52"/>
  <c r="V32" i="52"/>
  <c r="W32" i="52"/>
  <c r="X32" i="52"/>
  <c r="Y32" i="52"/>
  <c r="Z32" i="52"/>
  <c r="AA32" i="52"/>
  <c r="AB32" i="52"/>
  <c r="AC32" i="52"/>
  <c r="AD32" i="52"/>
  <c r="AE32" i="52"/>
  <c r="AF32" i="52"/>
  <c r="AG32" i="52"/>
  <c r="D33" i="52"/>
  <c r="O33" i="52"/>
  <c r="P33" i="52"/>
  <c r="Q33" i="52"/>
  <c r="U33" i="52"/>
  <c r="V33" i="52"/>
  <c r="W33" i="52"/>
  <c r="X33" i="52"/>
  <c r="Y33" i="52"/>
  <c r="Z33" i="52"/>
  <c r="AA33" i="52"/>
  <c r="AB33" i="52"/>
  <c r="AC33" i="52"/>
  <c r="AD33" i="52"/>
  <c r="AE33" i="52"/>
  <c r="AF33" i="52"/>
  <c r="AG33" i="52"/>
  <c r="D34" i="52"/>
  <c r="O34" i="52"/>
  <c r="P34" i="52"/>
  <c r="Q34" i="52"/>
  <c r="U34" i="52"/>
  <c r="V34" i="52"/>
  <c r="W34" i="52"/>
  <c r="X34" i="52"/>
  <c r="Y34" i="52"/>
  <c r="Z34" i="52"/>
  <c r="AA34" i="52"/>
  <c r="AB34" i="52"/>
  <c r="AC34" i="52"/>
  <c r="AD34" i="52"/>
  <c r="AE34" i="52"/>
  <c r="AF34" i="52"/>
  <c r="AG34" i="52"/>
  <c r="D35" i="52"/>
  <c r="O35" i="52"/>
  <c r="P35" i="52"/>
  <c r="Q35" i="52"/>
  <c r="U35" i="52"/>
  <c r="V35" i="52"/>
  <c r="W35" i="52"/>
  <c r="X35" i="52"/>
  <c r="Y35" i="52"/>
  <c r="Z35" i="52"/>
  <c r="AA35" i="52"/>
  <c r="AB35" i="52"/>
  <c r="AC35" i="52"/>
  <c r="AD35" i="52"/>
  <c r="AE35" i="52"/>
  <c r="AF35" i="52"/>
  <c r="AG35" i="52"/>
  <c r="D36" i="52"/>
  <c r="O36" i="52"/>
  <c r="P36" i="52"/>
  <c r="Q36" i="52"/>
  <c r="U36" i="52"/>
  <c r="V36" i="52"/>
  <c r="W36" i="52"/>
  <c r="X36" i="52"/>
  <c r="Y36" i="52"/>
  <c r="Z36" i="52"/>
  <c r="AA36" i="52"/>
  <c r="AB36" i="52"/>
  <c r="AC36" i="52"/>
  <c r="AD36" i="52"/>
  <c r="AE36" i="52"/>
  <c r="AF36" i="52"/>
  <c r="AG36" i="52"/>
  <c r="D37" i="52"/>
  <c r="O37" i="52"/>
  <c r="P37" i="52"/>
  <c r="Q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D38" i="52"/>
  <c r="O38" i="52"/>
  <c r="P38" i="52"/>
  <c r="Q38" i="52"/>
  <c r="U38" i="52"/>
  <c r="V38" i="52"/>
  <c r="W38" i="52"/>
  <c r="X38" i="52"/>
  <c r="Y38" i="52"/>
  <c r="Z38" i="52"/>
  <c r="AA38" i="52"/>
  <c r="AB38" i="52"/>
  <c r="AC38" i="52"/>
  <c r="AD38" i="52"/>
  <c r="AE38" i="52"/>
  <c r="AF38" i="52"/>
  <c r="AG38" i="52"/>
  <c r="D39" i="52"/>
  <c r="O39" i="52"/>
  <c r="P39" i="52"/>
  <c r="Q39" i="52"/>
  <c r="U39" i="52"/>
  <c r="V39" i="52"/>
  <c r="W39" i="52"/>
  <c r="X39" i="52"/>
  <c r="Y39" i="52"/>
  <c r="Z39" i="52"/>
  <c r="AA39" i="52"/>
  <c r="AB39" i="52"/>
  <c r="AC39" i="52"/>
  <c r="AD39" i="52"/>
  <c r="AE39" i="52"/>
  <c r="AF39" i="52"/>
  <c r="AG39" i="52"/>
  <c r="D40" i="52"/>
  <c r="O40" i="52"/>
  <c r="P40" i="52"/>
  <c r="Q40" i="52"/>
  <c r="U40" i="52"/>
  <c r="V40" i="52"/>
  <c r="W40" i="52"/>
  <c r="X40" i="52"/>
  <c r="Y40" i="52"/>
  <c r="Z40" i="52"/>
  <c r="AA40" i="52"/>
  <c r="AB40" i="52"/>
  <c r="AC40" i="52"/>
  <c r="AD40" i="52"/>
  <c r="AE40" i="52"/>
  <c r="AF40" i="52"/>
  <c r="AG40" i="52"/>
  <c r="D41" i="52"/>
  <c r="O41" i="52"/>
  <c r="P41" i="52"/>
  <c r="Q41" i="52"/>
  <c r="U41" i="52"/>
  <c r="V41" i="52"/>
  <c r="W41" i="52"/>
  <c r="X41" i="52"/>
  <c r="Y41" i="52"/>
  <c r="Z41" i="52"/>
  <c r="AA41" i="52"/>
  <c r="AB41" i="52"/>
  <c r="AC41" i="52"/>
  <c r="AD41" i="52"/>
  <c r="AE41" i="52"/>
  <c r="AF41" i="52"/>
  <c r="AG41" i="52"/>
  <c r="D42" i="52"/>
  <c r="O42" i="52"/>
  <c r="P42" i="52"/>
  <c r="Q42" i="52"/>
  <c r="U42" i="52"/>
  <c r="V42" i="52"/>
  <c r="W42" i="52"/>
  <c r="X42" i="52"/>
  <c r="Y42" i="52"/>
  <c r="Z42" i="52"/>
  <c r="AA42" i="52"/>
  <c r="AB42" i="52"/>
  <c r="AC42" i="52"/>
  <c r="AD42" i="52"/>
  <c r="AE42" i="52"/>
  <c r="AF42" i="52"/>
  <c r="AG42" i="52"/>
  <c r="D43" i="52"/>
  <c r="O43" i="52"/>
  <c r="P43" i="52"/>
  <c r="Q43" i="52"/>
  <c r="U43" i="52"/>
  <c r="V43" i="52"/>
  <c r="W43" i="52"/>
  <c r="X43" i="52"/>
  <c r="Y43" i="52"/>
  <c r="Z43" i="52"/>
  <c r="AA43" i="52"/>
  <c r="AB43" i="52"/>
  <c r="AC43" i="52"/>
  <c r="AD43" i="52"/>
  <c r="AE43" i="52"/>
  <c r="AF43" i="52"/>
  <c r="AG43" i="52"/>
  <c r="D44" i="52"/>
  <c r="O44" i="52"/>
  <c r="P44" i="52"/>
  <c r="Q44" i="52"/>
  <c r="U44" i="52"/>
  <c r="V44" i="52"/>
  <c r="W44" i="52"/>
  <c r="X44" i="52"/>
  <c r="Y44" i="52"/>
  <c r="Z44" i="52"/>
  <c r="AA44" i="52"/>
  <c r="AB44" i="52"/>
  <c r="AC44" i="52"/>
  <c r="AD44" i="52"/>
  <c r="AE44" i="52"/>
  <c r="AF44" i="52"/>
  <c r="AG44" i="52"/>
  <c r="D45" i="52"/>
  <c r="O45" i="52"/>
  <c r="P45" i="52"/>
  <c r="Q45" i="52"/>
  <c r="U45" i="52"/>
  <c r="V45" i="52"/>
  <c r="W45" i="52"/>
  <c r="X45" i="52"/>
  <c r="Y45" i="52"/>
  <c r="Z45" i="52"/>
  <c r="AA45" i="52"/>
  <c r="AB45" i="52"/>
  <c r="AC45" i="52"/>
  <c r="AD45" i="52"/>
  <c r="AE45" i="52"/>
  <c r="AF45" i="52"/>
  <c r="AG45" i="52"/>
  <c r="D46" i="52"/>
  <c r="O46" i="52"/>
  <c r="P46" i="52"/>
  <c r="Q46" i="52"/>
  <c r="U46" i="52"/>
  <c r="V46" i="52"/>
  <c r="W46" i="52"/>
  <c r="X46" i="52"/>
  <c r="Y46" i="52"/>
  <c r="Z46" i="52"/>
  <c r="AA46" i="52"/>
  <c r="AB46" i="52"/>
  <c r="AC46" i="52"/>
  <c r="AD46" i="52"/>
  <c r="AE46" i="52"/>
  <c r="AF46" i="52"/>
  <c r="AG46" i="52"/>
  <c r="D47" i="52"/>
  <c r="O47" i="52"/>
  <c r="P47" i="52"/>
  <c r="Q47" i="52"/>
  <c r="U47" i="52"/>
  <c r="V47" i="52"/>
  <c r="W47" i="52"/>
  <c r="X47" i="52"/>
  <c r="Y47" i="52"/>
  <c r="Z47" i="52"/>
  <c r="AA47" i="52"/>
  <c r="AB47" i="52"/>
  <c r="AC47" i="52"/>
  <c r="AD47" i="52"/>
  <c r="AE47" i="52"/>
  <c r="AF47" i="52"/>
  <c r="AG47" i="52"/>
  <c r="D48" i="52"/>
  <c r="O48" i="52"/>
  <c r="P48" i="52"/>
  <c r="Q48" i="52"/>
  <c r="U48" i="52"/>
  <c r="V48" i="52"/>
  <c r="W48" i="52"/>
  <c r="X48" i="52"/>
  <c r="Y48" i="52"/>
  <c r="Z48" i="52"/>
  <c r="AA48" i="52"/>
  <c r="AB48" i="52"/>
  <c r="AC48" i="52"/>
  <c r="AD48" i="52"/>
  <c r="AE48" i="52"/>
  <c r="AF48" i="52"/>
  <c r="AG48" i="52"/>
  <c r="D49" i="52"/>
  <c r="O49" i="52"/>
  <c r="P49" i="52"/>
  <c r="Q49" i="52"/>
  <c r="U49" i="52"/>
  <c r="V49" i="52"/>
  <c r="W49" i="52"/>
  <c r="X49" i="52"/>
  <c r="Y49" i="52"/>
  <c r="Z49" i="52"/>
  <c r="AA49" i="52"/>
  <c r="AB49" i="52"/>
  <c r="AC49" i="52"/>
  <c r="AD49" i="52"/>
  <c r="AE49" i="52"/>
  <c r="AF49" i="52"/>
  <c r="AG49" i="52"/>
  <c r="D50" i="52"/>
  <c r="O50" i="52"/>
  <c r="P50" i="52"/>
  <c r="Q50" i="52"/>
  <c r="U50" i="52"/>
  <c r="V50" i="52"/>
  <c r="W50" i="52"/>
  <c r="X50" i="52"/>
  <c r="Y50" i="52"/>
  <c r="Z50" i="52"/>
  <c r="AA50" i="52"/>
  <c r="AB50" i="52"/>
  <c r="AC50" i="52"/>
  <c r="AD50" i="52"/>
  <c r="AE50" i="52"/>
  <c r="AF50" i="52"/>
  <c r="AG50" i="52"/>
  <c r="M27" i="42"/>
  <c r="I27" i="42"/>
  <c r="N27" i="42"/>
  <c r="S27" i="42"/>
  <c r="M26" i="42"/>
  <c r="I26" i="42"/>
  <c r="N26" i="42"/>
  <c r="S26" i="42"/>
  <c r="M25" i="42"/>
  <c r="I25" i="42"/>
  <c r="N25" i="42"/>
  <c r="S25" i="42"/>
  <c r="M24" i="42"/>
  <c r="I24" i="42"/>
  <c r="N24" i="42"/>
  <c r="S24" i="42"/>
  <c r="M23" i="42"/>
  <c r="I23" i="42"/>
  <c r="N23" i="42"/>
  <c r="S23" i="42"/>
  <c r="M22" i="42"/>
  <c r="I22" i="42"/>
  <c r="N22" i="42"/>
  <c r="S22" i="42"/>
  <c r="M21" i="42"/>
  <c r="I21" i="42"/>
  <c r="N21" i="42"/>
  <c r="S21" i="42"/>
  <c r="M20" i="42"/>
  <c r="I20" i="42"/>
  <c r="N20" i="42"/>
  <c r="S20" i="42"/>
  <c r="M19" i="42"/>
  <c r="I19" i="42"/>
  <c r="N19" i="42"/>
  <c r="S19" i="42"/>
  <c r="M18" i="42"/>
  <c r="I18" i="42"/>
  <c r="N18" i="42"/>
  <c r="S18" i="42"/>
  <c r="M17" i="42"/>
  <c r="I17" i="42"/>
  <c r="N17" i="42"/>
  <c r="S17" i="42"/>
  <c r="R27" i="42"/>
  <c r="R26" i="42"/>
  <c r="R25" i="42"/>
  <c r="R24" i="42"/>
  <c r="R23" i="42"/>
  <c r="R22" i="42"/>
  <c r="R21" i="42"/>
  <c r="R20" i="42"/>
  <c r="R19" i="42"/>
  <c r="R18" i="42"/>
  <c r="R17" i="42"/>
  <c r="T27" i="42"/>
  <c r="T26" i="42"/>
  <c r="T25" i="42"/>
  <c r="T24" i="42"/>
  <c r="T23" i="42"/>
  <c r="T22" i="42"/>
  <c r="T21" i="42"/>
  <c r="T20" i="42"/>
  <c r="T19" i="42"/>
  <c r="T18" i="42"/>
  <c r="T17" i="42"/>
  <c r="D17" i="42"/>
  <c r="O17" i="42"/>
  <c r="P17" i="42"/>
  <c r="Q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D18" i="42"/>
  <c r="O18" i="42"/>
  <c r="P18" i="42"/>
  <c r="Q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D19" i="42"/>
  <c r="O19" i="42"/>
  <c r="P19" i="42"/>
  <c r="Q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D20" i="42"/>
  <c r="O20" i="42"/>
  <c r="P20" i="42"/>
  <c r="Q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D21" i="42"/>
  <c r="O21" i="42"/>
  <c r="P21" i="42"/>
  <c r="Q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D22" i="42"/>
  <c r="O22" i="42"/>
  <c r="P22" i="42"/>
  <c r="Q22" i="42"/>
  <c r="U22" i="42"/>
  <c r="V22" i="42"/>
  <c r="W22" i="42"/>
  <c r="X22" i="42"/>
  <c r="Y22" i="42"/>
  <c r="Z22" i="42"/>
  <c r="AA22" i="42"/>
  <c r="AB22" i="42"/>
  <c r="AC22" i="42"/>
  <c r="AD22" i="42"/>
  <c r="AE22" i="42"/>
  <c r="AF22" i="42"/>
  <c r="AG22" i="42"/>
  <c r="D23" i="42"/>
  <c r="O23" i="42"/>
  <c r="P23" i="42"/>
  <c r="Q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D24" i="42"/>
  <c r="O24" i="42"/>
  <c r="P24" i="42"/>
  <c r="Q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D25" i="42"/>
  <c r="O25" i="42"/>
  <c r="P25" i="42"/>
  <c r="Q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D26" i="42"/>
  <c r="O26" i="42"/>
  <c r="P26" i="42"/>
  <c r="Q26" i="42"/>
  <c r="U26" i="42"/>
  <c r="V26" i="42"/>
  <c r="W26" i="42"/>
  <c r="X26" i="42"/>
  <c r="Y26" i="42"/>
  <c r="Z26" i="42"/>
  <c r="AA26" i="42"/>
  <c r="AB26" i="42"/>
  <c r="AC26" i="42"/>
  <c r="AD26" i="42"/>
  <c r="AE26" i="42"/>
  <c r="AF26" i="42"/>
  <c r="AG26" i="42"/>
  <c r="D27" i="42"/>
  <c r="O27" i="42"/>
  <c r="P27" i="42"/>
  <c r="Q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M35" i="53"/>
  <c r="I35" i="53"/>
  <c r="N35" i="53"/>
  <c r="S35" i="53"/>
  <c r="M34" i="53"/>
  <c r="I34" i="53"/>
  <c r="N34" i="53"/>
  <c r="S34" i="53"/>
  <c r="M33" i="53"/>
  <c r="I33" i="53"/>
  <c r="N33" i="53"/>
  <c r="S33" i="53"/>
  <c r="M32" i="53"/>
  <c r="I32" i="53"/>
  <c r="N32" i="53"/>
  <c r="S32" i="53"/>
  <c r="M31" i="53"/>
  <c r="I31" i="53"/>
  <c r="N31" i="53"/>
  <c r="S31" i="53"/>
  <c r="M30" i="53"/>
  <c r="I30" i="53"/>
  <c r="N30" i="53"/>
  <c r="S30" i="53"/>
  <c r="M29" i="53"/>
  <c r="I29" i="53"/>
  <c r="N29" i="53"/>
  <c r="S29" i="53"/>
  <c r="M28" i="53"/>
  <c r="I28" i="53"/>
  <c r="N28" i="53"/>
  <c r="S28" i="53"/>
  <c r="M27" i="53"/>
  <c r="I27" i="53"/>
  <c r="N27" i="53"/>
  <c r="S27" i="53"/>
  <c r="M26" i="53"/>
  <c r="I26" i="53"/>
  <c r="N26" i="53"/>
  <c r="S26" i="53"/>
  <c r="M25" i="53"/>
  <c r="I25" i="53"/>
  <c r="N25" i="53"/>
  <c r="S25" i="53"/>
  <c r="M24" i="53"/>
  <c r="I24" i="53"/>
  <c r="N24" i="53"/>
  <c r="S24" i="53"/>
  <c r="M23" i="53"/>
  <c r="I23" i="53"/>
  <c r="N23" i="53"/>
  <c r="S23" i="53"/>
  <c r="M22" i="53"/>
  <c r="I22" i="53"/>
  <c r="N22" i="53"/>
  <c r="S22" i="53"/>
  <c r="M21" i="53"/>
  <c r="I21" i="53"/>
  <c r="N21" i="53"/>
  <c r="S21" i="53"/>
  <c r="M20" i="53"/>
  <c r="I20" i="53"/>
  <c r="N20" i="53"/>
  <c r="S20" i="53"/>
  <c r="M19" i="53"/>
  <c r="I19" i="53"/>
  <c r="N19" i="53"/>
  <c r="S19" i="53"/>
  <c r="M18" i="53"/>
  <c r="I18" i="53"/>
  <c r="N18" i="53"/>
  <c r="S18" i="53"/>
  <c r="M17" i="53"/>
  <c r="I17" i="53"/>
  <c r="N17" i="53"/>
  <c r="S17" i="53"/>
  <c r="R35" i="53"/>
  <c r="R34" i="53"/>
  <c r="R33" i="53"/>
  <c r="R32" i="53"/>
  <c r="R31" i="53"/>
  <c r="R30" i="53"/>
  <c r="R29" i="53"/>
  <c r="R28" i="53"/>
  <c r="R27" i="53"/>
  <c r="R26" i="53"/>
  <c r="R25" i="53"/>
  <c r="R24" i="53"/>
  <c r="R23" i="53"/>
  <c r="R22" i="53"/>
  <c r="R21" i="53"/>
  <c r="R20" i="53"/>
  <c r="R19" i="53"/>
  <c r="R18" i="53"/>
  <c r="R17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17" i="53"/>
  <c r="D17" i="53"/>
  <c r="O17" i="53"/>
  <c r="P17" i="53"/>
  <c r="Q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D18" i="53"/>
  <c r="O18" i="53"/>
  <c r="P18" i="53"/>
  <c r="Q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D19" i="53"/>
  <c r="O19" i="53"/>
  <c r="P19" i="53"/>
  <c r="Q19" i="53"/>
  <c r="U19" i="53"/>
  <c r="V19" i="53"/>
  <c r="W19" i="53"/>
  <c r="X19" i="53"/>
  <c r="Y19" i="53"/>
  <c r="Z19" i="53"/>
  <c r="AA19" i="53"/>
  <c r="AB19" i="53"/>
  <c r="AC19" i="53"/>
  <c r="AD19" i="53"/>
  <c r="AE19" i="53"/>
  <c r="AF19" i="53"/>
  <c r="AG19" i="53"/>
  <c r="D20" i="53"/>
  <c r="O20" i="53"/>
  <c r="P20" i="53"/>
  <c r="Q20" i="53"/>
  <c r="U20" i="53"/>
  <c r="V20" i="53"/>
  <c r="W20" i="53"/>
  <c r="X20" i="53"/>
  <c r="Y20" i="53"/>
  <c r="Z20" i="53"/>
  <c r="AA20" i="53"/>
  <c r="AB20" i="53"/>
  <c r="AC20" i="53"/>
  <c r="AD20" i="53"/>
  <c r="AE20" i="53"/>
  <c r="AF20" i="53"/>
  <c r="AG20" i="53"/>
  <c r="D21" i="53"/>
  <c r="O21" i="53"/>
  <c r="P21" i="53"/>
  <c r="Q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D22" i="53"/>
  <c r="O22" i="53"/>
  <c r="P22" i="53"/>
  <c r="Q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D23" i="53"/>
  <c r="O23" i="53"/>
  <c r="P23" i="53"/>
  <c r="Q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D24" i="53"/>
  <c r="O24" i="53"/>
  <c r="P24" i="53"/>
  <c r="Q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D25" i="53"/>
  <c r="O25" i="53"/>
  <c r="P25" i="53"/>
  <c r="Q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D26" i="53"/>
  <c r="O26" i="53"/>
  <c r="P26" i="53"/>
  <c r="Q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D27" i="53"/>
  <c r="O27" i="53"/>
  <c r="P27" i="53"/>
  <c r="Q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D28" i="53"/>
  <c r="O28" i="53"/>
  <c r="P28" i="53"/>
  <c r="Q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D29" i="53"/>
  <c r="O29" i="53"/>
  <c r="P29" i="53"/>
  <c r="Q29" i="53"/>
  <c r="U29" i="53"/>
  <c r="V29" i="53"/>
  <c r="W29" i="53"/>
  <c r="X29" i="53"/>
  <c r="Y29" i="53"/>
  <c r="Z29" i="53"/>
  <c r="AA29" i="53"/>
  <c r="AB29" i="53"/>
  <c r="AC29" i="53"/>
  <c r="AD29" i="53"/>
  <c r="AE29" i="53"/>
  <c r="AF29" i="53"/>
  <c r="AG29" i="53"/>
  <c r="D30" i="53"/>
  <c r="O30" i="53"/>
  <c r="P30" i="53"/>
  <c r="Q30" i="53"/>
  <c r="U30" i="53"/>
  <c r="V30" i="53"/>
  <c r="W30" i="53"/>
  <c r="X30" i="53"/>
  <c r="Y30" i="53"/>
  <c r="Z30" i="53"/>
  <c r="AA30" i="53"/>
  <c r="AB30" i="53"/>
  <c r="AC30" i="53"/>
  <c r="AD30" i="53"/>
  <c r="AE30" i="53"/>
  <c r="AF30" i="53"/>
  <c r="AG30" i="53"/>
  <c r="D31" i="53"/>
  <c r="O31" i="53"/>
  <c r="P31" i="53"/>
  <c r="Q31" i="53"/>
  <c r="U31" i="53"/>
  <c r="V31" i="53"/>
  <c r="W31" i="53"/>
  <c r="X31" i="53"/>
  <c r="Y31" i="53"/>
  <c r="Z31" i="53"/>
  <c r="AA31" i="53"/>
  <c r="AB31" i="53"/>
  <c r="AC31" i="53"/>
  <c r="AD31" i="53"/>
  <c r="AE31" i="53"/>
  <c r="AF31" i="53"/>
  <c r="AG31" i="53"/>
  <c r="D32" i="53"/>
  <c r="O32" i="53"/>
  <c r="P32" i="53"/>
  <c r="Q32" i="53"/>
  <c r="U32" i="53"/>
  <c r="V32" i="53"/>
  <c r="W32" i="53"/>
  <c r="X32" i="53"/>
  <c r="Y32" i="53"/>
  <c r="Z32" i="53"/>
  <c r="AA32" i="53"/>
  <c r="AB32" i="53"/>
  <c r="AC32" i="53"/>
  <c r="AD32" i="53"/>
  <c r="AE32" i="53"/>
  <c r="AF32" i="53"/>
  <c r="AG32" i="53"/>
  <c r="D33" i="53"/>
  <c r="O33" i="53"/>
  <c r="P33" i="53"/>
  <c r="Q33" i="53"/>
  <c r="U33" i="53"/>
  <c r="V33" i="53"/>
  <c r="W33" i="53"/>
  <c r="X33" i="53"/>
  <c r="Y33" i="53"/>
  <c r="Z33" i="53"/>
  <c r="AA33" i="53"/>
  <c r="AB33" i="53"/>
  <c r="AC33" i="53"/>
  <c r="AD33" i="53"/>
  <c r="AE33" i="53"/>
  <c r="AF33" i="53"/>
  <c r="AG33" i="53"/>
  <c r="D34" i="53"/>
  <c r="O34" i="53"/>
  <c r="P34" i="53"/>
  <c r="Q34" i="53"/>
  <c r="U34" i="53"/>
  <c r="V34" i="53"/>
  <c r="W34" i="53"/>
  <c r="X34" i="53"/>
  <c r="Y34" i="53"/>
  <c r="Z34" i="53"/>
  <c r="AA34" i="53"/>
  <c r="AB34" i="53"/>
  <c r="AC34" i="53"/>
  <c r="AD34" i="53"/>
  <c r="AE34" i="53"/>
  <c r="AF34" i="53"/>
  <c r="AG34" i="53"/>
  <c r="D35" i="53"/>
  <c r="O35" i="53"/>
  <c r="P35" i="53"/>
  <c r="Q35" i="53"/>
  <c r="U35" i="53"/>
  <c r="V35" i="53"/>
  <c r="W35" i="53"/>
  <c r="X35" i="53"/>
  <c r="Y35" i="53"/>
  <c r="Z35" i="53"/>
  <c r="AA35" i="53"/>
  <c r="AB35" i="53"/>
  <c r="AC35" i="53"/>
  <c r="AD35" i="53"/>
  <c r="AE35" i="53"/>
  <c r="AF35" i="53"/>
  <c r="AG35" i="53"/>
  <c r="M39" i="43"/>
  <c r="I39" i="43"/>
  <c r="N39" i="43"/>
  <c r="S39" i="43"/>
  <c r="M38" i="43"/>
  <c r="I38" i="43"/>
  <c r="N38" i="43"/>
  <c r="S38" i="43"/>
  <c r="M37" i="43"/>
  <c r="I37" i="43"/>
  <c r="N37" i="43"/>
  <c r="S37" i="43"/>
  <c r="M36" i="43"/>
  <c r="I36" i="43"/>
  <c r="N36" i="43"/>
  <c r="S36" i="43"/>
  <c r="M35" i="43"/>
  <c r="I35" i="43"/>
  <c r="N35" i="43"/>
  <c r="S35" i="43"/>
  <c r="M34" i="43"/>
  <c r="I34" i="43"/>
  <c r="N34" i="43"/>
  <c r="S34" i="43"/>
  <c r="M33" i="43"/>
  <c r="I33" i="43"/>
  <c r="N33" i="43"/>
  <c r="S33" i="43"/>
  <c r="M32" i="43"/>
  <c r="I32" i="43"/>
  <c r="N32" i="43"/>
  <c r="S32" i="43"/>
  <c r="M31" i="43"/>
  <c r="I31" i="43"/>
  <c r="N31" i="43"/>
  <c r="S31" i="43"/>
  <c r="M30" i="43"/>
  <c r="I30" i="43"/>
  <c r="N30" i="43"/>
  <c r="S30" i="43"/>
  <c r="M29" i="43"/>
  <c r="I29" i="43"/>
  <c r="N29" i="43"/>
  <c r="S29" i="43"/>
  <c r="M28" i="43"/>
  <c r="I28" i="43"/>
  <c r="N28" i="43"/>
  <c r="S28" i="43"/>
  <c r="M27" i="43"/>
  <c r="I27" i="43"/>
  <c r="N27" i="43"/>
  <c r="S27" i="43"/>
  <c r="M26" i="43"/>
  <c r="I26" i="43"/>
  <c r="N26" i="43"/>
  <c r="S26" i="43"/>
  <c r="M25" i="43"/>
  <c r="I25" i="43"/>
  <c r="N25" i="43"/>
  <c r="S25" i="43"/>
  <c r="M24" i="43"/>
  <c r="I24" i="43"/>
  <c r="N24" i="43"/>
  <c r="S24" i="43"/>
  <c r="M23" i="43"/>
  <c r="I23" i="43"/>
  <c r="N23" i="43"/>
  <c r="S23" i="43"/>
  <c r="M22" i="43"/>
  <c r="I22" i="43"/>
  <c r="N22" i="43"/>
  <c r="S22" i="43"/>
  <c r="M21" i="43"/>
  <c r="I21" i="43"/>
  <c r="N21" i="43"/>
  <c r="S21" i="43"/>
  <c r="M20" i="43"/>
  <c r="I20" i="43"/>
  <c r="N20" i="43"/>
  <c r="S20" i="43"/>
  <c r="M19" i="43"/>
  <c r="I19" i="43"/>
  <c r="N19" i="43"/>
  <c r="S19" i="43"/>
  <c r="M18" i="43"/>
  <c r="I18" i="43"/>
  <c r="N18" i="43"/>
  <c r="S18" i="43"/>
  <c r="M17" i="43"/>
  <c r="I17" i="43"/>
  <c r="N17" i="43"/>
  <c r="S17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R18" i="43"/>
  <c r="R17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17" i="43"/>
  <c r="D17" i="43"/>
  <c r="O17" i="43"/>
  <c r="P17" i="43"/>
  <c r="Q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D18" i="43"/>
  <c r="O18" i="43"/>
  <c r="P18" i="43"/>
  <c r="Q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D19" i="43"/>
  <c r="O19" i="43"/>
  <c r="P19" i="43"/>
  <c r="Q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D20" i="43"/>
  <c r="O20" i="43"/>
  <c r="P20" i="43"/>
  <c r="Q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D21" i="43"/>
  <c r="O21" i="43"/>
  <c r="P21" i="43"/>
  <c r="Q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D22" i="43"/>
  <c r="O22" i="43"/>
  <c r="P22" i="43"/>
  <c r="Q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D23" i="43"/>
  <c r="O23" i="43"/>
  <c r="P23" i="43"/>
  <c r="Q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D24" i="43"/>
  <c r="O24" i="43"/>
  <c r="P24" i="43"/>
  <c r="Q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D25" i="43"/>
  <c r="O25" i="43"/>
  <c r="P25" i="43"/>
  <c r="Q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D26" i="43"/>
  <c r="O26" i="43"/>
  <c r="P26" i="43"/>
  <c r="Q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D27" i="43"/>
  <c r="O27" i="43"/>
  <c r="P27" i="43"/>
  <c r="Q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D28" i="43"/>
  <c r="O28" i="43"/>
  <c r="P28" i="43"/>
  <c r="Q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D29" i="43"/>
  <c r="O29" i="43"/>
  <c r="P29" i="43"/>
  <c r="Q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D30" i="43"/>
  <c r="O30" i="43"/>
  <c r="P30" i="43"/>
  <c r="Q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D31" i="43"/>
  <c r="O31" i="43"/>
  <c r="P31" i="43"/>
  <c r="Q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D32" i="43"/>
  <c r="O32" i="43"/>
  <c r="P32" i="43"/>
  <c r="Q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D33" i="43"/>
  <c r="O33" i="43"/>
  <c r="P33" i="43"/>
  <c r="Q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D34" i="43"/>
  <c r="O34" i="43"/>
  <c r="P34" i="43"/>
  <c r="Q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D35" i="43"/>
  <c r="O35" i="43"/>
  <c r="P35" i="43"/>
  <c r="Q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D36" i="43"/>
  <c r="O36" i="43"/>
  <c r="P36" i="43"/>
  <c r="Q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D37" i="43"/>
  <c r="O37" i="43"/>
  <c r="P37" i="43"/>
  <c r="Q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D38" i="43"/>
  <c r="O38" i="43"/>
  <c r="P38" i="43"/>
  <c r="Q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D39" i="43"/>
  <c r="O39" i="43"/>
  <c r="P39" i="43"/>
  <c r="Q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M31" i="54"/>
  <c r="I31" i="54"/>
  <c r="N31" i="54"/>
  <c r="S31" i="54"/>
  <c r="M30" i="54"/>
  <c r="I30" i="54"/>
  <c r="N30" i="54"/>
  <c r="S30" i="54"/>
  <c r="M29" i="54"/>
  <c r="I29" i="54"/>
  <c r="N29" i="54"/>
  <c r="S29" i="54"/>
  <c r="M28" i="54"/>
  <c r="I28" i="54"/>
  <c r="N28" i="54"/>
  <c r="S28" i="54"/>
  <c r="M27" i="54"/>
  <c r="I27" i="54"/>
  <c r="N27" i="54"/>
  <c r="S27" i="54"/>
  <c r="M26" i="54"/>
  <c r="I26" i="54"/>
  <c r="N26" i="54"/>
  <c r="S26" i="54"/>
  <c r="M25" i="54"/>
  <c r="I25" i="54"/>
  <c r="N25" i="54"/>
  <c r="S25" i="54"/>
  <c r="M24" i="54"/>
  <c r="I24" i="54"/>
  <c r="N24" i="54"/>
  <c r="S24" i="54"/>
  <c r="M23" i="54"/>
  <c r="I23" i="54"/>
  <c r="N23" i="54"/>
  <c r="S23" i="54"/>
  <c r="M22" i="54"/>
  <c r="I22" i="54"/>
  <c r="N22" i="54"/>
  <c r="S22" i="54"/>
  <c r="M21" i="54"/>
  <c r="I21" i="54"/>
  <c r="N21" i="54"/>
  <c r="S21" i="54"/>
  <c r="M20" i="54"/>
  <c r="I20" i="54"/>
  <c r="N20" i="54"/>
  <c r="S20" i="54"/>
  <c r="M19" i="54"/>
  <c r="I19" i="54"/>
  <c r="N19" i="54"/>
  <c r="S19" i="54"/>
  <c r="M18" i="54"/>
  <c r="I18" i="54"/>
  <c r="N18" i="54"/>
  <c r="S18" i="54"/>
  <c r="M17" i="54"/>
  <c r="I17" i="54"/>
  <c r="N17" i="54"/>
  <c r="S17" i="54"/>
  <c r="R31" i="54"/>
  <c r="R30" i="54"/>
  <c r="R29" i="54"/>
  <c r="R28" i="54"/>
  <c r="R27" i="54"/>
  <c r="R26" i="54"/>
  <c r="R25" i="54"/>
  <c r="R24" i="54"/>
  <c r="R23" i="54"/>
  <c r="R22" i="54"/>
  <c r="R21" i="54"/>
  <c r="R20" i="54"/>
  <c r="R19" i="54"/>
  <c r="R18" i="54"/>
  <c r="R17" i="54"/>
  <c r="T31" i="54"/>
  <c r="T30" i="54"/>
  <c r="T29" i="54"/>
  <c r="T28" i="54"/>
  <c r="T27" i="54"/>
  <c r="T26" i="54"/>
  <c r="T25" i="54"/>
  <c r="T24" i="54"/>
  <c r="T23" i="54"/>
  <c r="T22" i="54"/>
  <c r="T21" i="54"/>
  <c r="T20" i="54"/>
  <c r="T19" i="54"/>
  <c r="T18" i="54"/>
  <c r="T17" i="54"/>
  <c r="D17" i="54"/>
  <c r="O17" i="54"/>
  <c r="P17" i="54"/>
  <c r="Q17" i="54"/>
  <c r="U17" i="54"/>
  <c r="V17" i="54"/>
  <c r="W17" i="54"/>
  <c r="X17" i="54"/>
  <c r="Y17" i="54"/>
  <c r="Z17" i="54"/>
  <c r="AA17" i="54"/>
  <c r="AB17" i="54"/>
  <c r="AC17" i="54"/>
  <c r="AD17" i="54"/>
  <c r="AE17" i="54"/>
  <c r="AF17" i="54"/>
  <c r="AG17" i="54"/>
  <c r="D18" i="54"/>
  <c r="O18" i="54"/>
  <c r="P18" i="54"/>
  <c r="Q18" i="54"/>
  <c r="U18" i="54"/>
  <c r="V18" i="54"/>
  <c r="W18" i="54"/>
  <c r="X18" i="54"/>
  <c r="Y18" i="54"/>
  <c r="Z18" i="54"/>
  <c r="AA18" i="54"/>
  <c r="AB18" i="54"/>
  <c r="AC18" i="54"/>
  <c r="AD18" i="54"/>
  <c r="AE18" i="54"/>
  <c r="AF18" i="54"/>
  <c r="AG18" i="54"/>
  <c r="D19" i="54"/>
  <c r="O19" i="54"/>
  <c r="P19" i="54"/>
  <c r="Q19" i="54"/>
  <c r="U19" i="54"/>
  <c r="V19" i="54"/>
  <c r="W19" i="54"/>
  <c r="X19" i="54"/>
  <c r="Y19" i="54"/>
  <c r="Z19" i="54"/>
  <c r="AA19" i="54"/>
  <c r="AB19" i="54"/>
  <c r="AC19" i="54"/>
  <c r="AD19" i="54"/>
  <c r="AE19" i="54"/>
  <c r="AF19" i="54"/>
  <c r="AG19" i="54"/>
  <c r="D20" i="54"/>
  <c r="O20" i="54"/>
  <c r="P20" i="54"/>
  <c r="Q20" i="54"/>
  <c r="U20" i="54"/>
  <c r="V20" i="54"/>
  <c r="W20" i="54"/>
  <c r="X20" i="54"/>
  <c r="Y20" i="54"/>
  <c r="Z20" i="54"/>
  <c r="AA20" i="54"/>
  <c r="AB20" i="54"/>
  <c r="AC20" i="54"/>
  <c r="AD20" i="54"/>
  <c r="AE20" i="54"/>
  <c r="AF20" i="54"/>
  <c r="AG20" i="54"/>
  <c r="D21" i="54"/>
  <c r="O21" i="54"/>
  <c r="P21" i="54"/>
  <c r="Q21" i="54"/>
  <c r="U21" i="54"/>
  <c r="V21" i="54"/>
  <c r="W21" i="54"/>
  <c r="X21" i="54"/>
  <c r="Y21" i="54"/>
  <c r="Z21" i="54"/>
  <c r="AA21" i="54"/>
  <c r="AB21" i="54"/>
  <c r="AC21" i="54"/>
  <c r="AD21" i="54"/>
  <c r="AE21" i="54"/>
  <c r="AF21" i="54"/>
  <c r="AG21" i="54"/>
  <c r="D22" i="54"/>
  <c r="O22" i="54"/>
  <c r="P22" i="54"/>
  <c r="Q22" i="54"/>
  <c r="U22" i="54"/>
  <c r="V22" i="54"/>
  <c r="W22" i="54"/>
  <c r="X22" i="54"/>
  <c r="Y22" i="54"/>
  <c r="Z22" i="54"/>
  <c r="AA22" i="54"/>
  <c r="AB22" i="54"/>
  <c r="AC22" i="54"/>
  <c r="AD22" i="54"/>
  <c r="AE22" i="54"/>
  <c r="AF22" i="54"/>
  <c r="AG22" i="54"/>
  <c r="D23" i="54"/>
  <c r="O23" i="54"/>
  <c r="P23" i="54"/>
  <c r="Q23" i="54"/>
  <c r="U23" i="54"/>
  <c r="V23" i="54"/>
  <c r="W23" i="54"/>
  <c r="X23" i="54"/>
  <c r="Y23" i="54"/>
  <c r="Z23" i="54"/>
  <c r="AA23" i="54"/>
  <c r="AB23" i="54"/>
  <c r="AC23" i="54"/>
  <c r="AD23" i="54"/>
  <c r="AE23" i="54"/>
  <c r="AF23" i="54"/>
  <c r="AG23" i="54"/>
  <c r="D24" i="54"/>
  <c r="O24" i="54"/>
  <c r="P24" i="54"/>
  <c r="Q24" i="54"/>
  <c r="U24" i="54"/>
  <c r="V24" i="54"/>
  <c r="W24" i="54"/>
  <c r="X24" i="54"/>
  <c r="Y24" i="54"/>
  <c r="Z24" i="54"/>
  <c r="AA24" i="54"/>
  <c r="AB24" i="54"/>
  <c r="AC24" i="54"/>
  <c r="AD24" i="54"/>
  <c r="AE24" i="54"/>
  <c r="AF24" i="54"/>
  <c r="AG24" i="54"/>
  <c r="D25" i="54"/>
  <c r="O25" i="54"/>
  <c r="P25" i="54"/>
  <c r="Q25" i="54"/>
  <c r="U25" i="54"/>
  <c r="V25" i="54"/>
  <c r="W25" i="54"/>
  <c r="X25" i="54"/>
  <c r="Y25" i="54"/>
  <c r="Z25" i="54"/>
  <c r="AA25" i="54"/>
  <c r="AB25" i="54"/>
  <c r="AC25" i="54"/>
  <c r="AD25" i="54"/>
  <c r="AE25" i="54"/>
  <c r="AF25" i="54"/>
  <c r="AG25" i="54"/>
  <c r="D26" i="54"/>
  <c r="O26" i="54"/>
  <c r="P26" i="54"/>
  <c r="Q26" i="54"/>
  <c r="U26" i="54"/>
  <c r="V26" i="54"/>
  <c r="W26" i="54"/>
  <c r="X26" i="54"/>
  <c r="Y26" i="54"/>
  <c r="Z26" i="54"/>
  <c r="AA26" i="54"/>
  <c r="AB26" i="54"/>
  <c r="AC26" i="54"/>
  <c r="AD26" i="54"/>
  <c r="AE26" i="54"/>
  <c r="AF26" i="54"/>
  <c r="AG26" i="54"/>
  <c r="D27" i="54"/>
  <c r="O27" i="54"/>
  <c r="P27" i="54"/>
  <c r="Q27" i="54"/>
  <c r="U27" i="54"/>
  <c r="V27" i="54"/>
  <c r="W27" i="54"/>
  <c r="X27" i="54"/>
  <c r="Y27" i="54"/>
  <c r="Z27" i="54"/>
  <c r="AA27" i="54"/>
  <c r="AB27" i="54"/>
  <c r="AC27" i="54"/>
  <c r="AD27" i="54"/>
  <c r="AE27" i="54"/>
  <c r="AF27" i="54"/>
  <c r="AG27" i="54"/>
  <c r="D28" i="54"/>
  <c r="O28" i="54"/>
  <c r="P28" i="54"/>
  <c r="Q28" i="54"/>
  <c r="U28" i="54"/>
  <c r="V28" i="54"/>
  <c r="W28" i="54"/>
  <c r="X28" i="54"/>
  <c r="Y28" i="54"/>
  <c r="Z28" i="54"/>
  <c r="AA28" i="54"/>
  <c r="AB28" i="54"/>
  <c r="AC28" i="54"/>
  <c r="AD28" i="54"/>
  <c r="AE28" i="54"/>
  <c r="AF28" i="54"/>
  <c r="AG28" i="54"/>
  <c r="D29" i="54"/>
  <c r="O29" i="54"/>
  <c r="P29" i="54"/>
  <c r="Q29" i="54"/>
  <c r="U29" i="54"/>
  <c r="V29" i="54"/>
  <c r="W29" i="54"/>
  <c r="X29" i="54"/>
  <c r="Y29" i="54"/>
  <c r="Z29" i="54"/>
  <c r="AA29" i="54"/>
  <c r="AB29" i="54"/>
  <c r="AC29" i="54"/>
  <c r="AD29" i="54"/>
  <c r="AE29" i="54"/>
  <c r="AF29" i="54"/>
  <c r="AG29" i="54"/>
  <c r="D30" i="54"/>
  <c r="O30" i="54"/>
  <c r="P30" i="54"/>
  <c r="Q30" i="54"/>
  <c r="U30" i="54"/>
  <c r="V30" i="54"/>
  <c r="W30" i="54"/>
  <c r="X30" i="54"/>
  <c r="Y30" i="54"/>
  <c r="Z30" i="54"/>
  <c r="AA30" i="54"/>
  <c r="AB30" i="54"/>
  <c r="AC30" i="54"/>
  <c r="AD30" i="54"/>
  <c r="AE30" i="54"/>
  <c r="AF30" i="54"/>
  <c r="AG30" i="54"/>
  <c r="D31" i="54"/>
  <c r="O31" i="54"/>
  <c r="P31" i="54"/>
  <c r="Q31" i="54"/>
  <c r="U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M48" i="44"/>
  <c r="I48" i="44"/>
  <c r="N48" i="44"/>
  <c r="S48" i="44"/>
  <c r="M47" i="44"/>
  <c r="I47" i="44"/>
  <c r="N47" i="44"/>
  <c r="S47" i="44"/>
  <c r="M46" i="44"/>
  <c r="I46" i="44"/>
  <c r="N46" i="44"/>
  <c r="S46" i="44"/>
  <c r="M45" i="44"/>
  <c r="I45" i="44"/>
  <c r="N45" i="44"/>
  <c r="S45" i="44"/>
  <c r="M44" i="44"/>
  <c r="I44" i="44"/>
  <c r="N44" i="44"/>
  <c r="S44" i="44"/>
  <c r="M43" i="44"/>
  <c r="I43" i="44"/>
  <c r="N43" i="44"/>
  <c r="S43" i="44"/>
  <c r="M42" i="44"/>
  <c r="I42" i="44"/>
  <c r="N42" i="44"/>
  <c r="S42" i="44"/>
  <c r="M41" i="44"/>
  <c r="I41" i="44"/>
  <c r="N41" i="44"/>
  <c r="S41" i="44"/>
  <c r="M40" i="44"/>
  <c r="I40" i="44"/>
  <c r="N40" i="44"/>
  <c r="S40" i="44"/>
  <c r="M39" i="44"/>
  <c r="I39" i="44"/>
  <c r="N39" i="44"/>
  <c r="S39" i="44"/>
  <c r="M38" i="44"/>
  <c r="I38" i="44"/>
  <c r="N38" i="44"/>
  <c r="S38" i="44"/>
  <c r="M37" i="44"/>
  <c r="I37" i="44"/>
  <c r="N37" i="44"/>
  <c r="S37" i="44"/>
  <c r="M36" i="44"/>
  <c r="I36" i="44"/>
  <c r="N36" i="44"/>
  <c r="S36" i="44"/>
  <c r="M35" i="44"/>
  <c r="I35" i="44"/>
  <c r="N35" i="44"/>
  <c r="S35" i="44"/>
  <c r="M34" i="44"/>
  <c r="I34" i="44"/>
  <c r="N34" i="44"/>
  <c r="S34" i="44"/>
  <c r="M33" i="44"/>
  <c r="I33" i="44"/>
  <c r="N33" i="44"/>
  <c r="S33" i="44"/>
  <c r="M32" i="44"/>
  <c r="I32" i="44"/>
  <c r="N32" i="44"/>
  <c r="S32" i="44"/>
  <c r="M31" i="44"/>
  <c r="I31" i="44"/>
  <c r="N31" i="44"/>
  <c r="S31" i="44"/>
  <c r="M30" i="44"/>
  <c r="I30" i="44"/>
  <c r="N30" i="44"/>
  <c r="S30" i="44"/>
  <c r="M29" i="44"/>
  <c r="I29" i="44"/>
  <c r="N29" i="44"/>
  <c r="S29" i="44"/>
  <c r="M28" i="44"/>
  <c r="I28" i="44"/>
  <c r="N28" i="44"/>
  <c r="S28" i="44"/>
  <c r="M27" i="44"/>
  <c r="I27" i="44"/>
  <c r="N27" i="44"/>
  <c r="S27" i="44"/>
  <c r="M26" i="44"/>
  <c r="I26" i="44"/>
  <c r="N26" i="44"/>
  <c r="S26" i="44"/>
  <c r="M25" i="44"/>
  <c r="I25" i="44"/>
  <c r="N25" i="44"/>
  <c r="S25" i="44"/>
  <c r="M24" i="44"/>
  <c r="I24" i="44"/>
  <c r="N24" i="44"/>
  <c r="S24" i="44"/>
  <c r="M23" i="44"/>
  <c r="I23" i="44"/>
  <c r="N23" i="44"/>
  <c r="S23" i="44"/>
  <c r="M22" i="44"/>
  <c r="I22" i="44"/>
  <c r="N22" i="44"/>
  <c r="S22" i="44"/>
  <c r="M21" i="44"/>
  <c r="I21" i="44"/>
  <c r="N21" i="44"/>
  <c r="S21" i="44"/>
  <c r="M20" i="44"/>
  <c r="I20" i="44"/>
  <c r="N20" i="44"/>
  <c r="S20" i="44"/>
  <c r="M19" i="44"/>
  <c r="I19" i="44"/>
  <c r="N19" i="44"/>
  <c r="S19" i="44"/>
  <c r="M18" i="44"/>
  <c r="I18" i="44"/>
  <c r="N18" i="44"/>
  <c r="S18" i="44"/>
  <c r="M17" i="44"/>
  <c r="I17" i="44"/>
  <c r="N17" i="44"/>
  <c r="S17" i="44"/>
  <c r="R48" i="44"/>
  <c r="R47" i="44"/>
  <c r="R46" i="44"/>
  <c r="R45" i="44"/>
  <c r="R44" i="44"/>
  <c r="R43" i="44"/>
  <c r="R42" i="44"/>
  <c r="R41" i="44"/>
  <c r="R40" i="44"/>
  <c r="R39" i="44"/>
  <c r="R38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24" i="44"/>
  <c r="R23" i="44"/>
  <c r="R22" i="44"/>
  <c r="R21" i="44"/>
  <c r="R20" i="44"/>
  <c r="R19" i="44"/>
  <c r="R18" i="44"/>
  <c r="R17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D17" i="44"/>
  <c r="O17" i="44"/>
  <c r="P17" i="44"/>
  <c r="Q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D18" i="44"/>
  <c r="O18" i="44"/>
  <c r="P18" i="44"/>
  <c r="Q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D19" i="44"/>
  <c r="O19" i="44"/>
  <c r="P19" i="44"/>
  <c r="Q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D20" i="44"/>
  <c r="O20" i="44"/>
  <c r="P20" i="44"/>
  <c r="Q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D21" i="44"/>
  <c r="O21" i="44"/>
  <c r="P21" i="44"/>
  <c r="Q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D22" i="44"/>
  <c r="O22" i="44"/>
  <c r="P22" i="44"/>
  <c r="Q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D23" i="44"/>
  <c r="O23" i="44"/>
  <c r="P23" i="44"/>
  <c r="Q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D24" i="44"/>
  <c r="O24" i="44"/>
  <c r="P24" i="44"/>
  <c r="Q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D25" i="44"/>
  <c r="O25" i="44"/>
  <c r="P25" i="44"/>
  <c r="Q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D26" i="44"/>
  <c r="O26" i="44"/>
  <c r="P26" i="44"/>
  <c r="Q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D27" i="44"/>
  <c r="O27" i="44"/>
  <c r="P27" i="44"/>
  <c r="Q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D28" i="44"/>
  <c r="O28" i="44"/>
  <c r="P28" i="44"/>
  <c r="Q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D29" i="44"/>
  <c r="O29" i="44"/>
  <c r="P29" i="44"/>
  <c r="Q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D30" i="44"/>
  <c r="O30" i="44"/>
  <c r="P30" i="44"/>
  <c r="Q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D31" i="44"/>
  <c r="O31" i="44"/>
  <c r="P31" i="44"/>
  <c r="Q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D32" i="44"/>
  <c r="O32" i="44"/>
  <c r="P32" i="44"/>
  <c r="Q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D33" i="44"/>
  <c r="O33" i="44"/>
  <c r="P33" i="44"/>
  <c r="Q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D34" i="44"/>
  <c r="O34" i="44"/>
  <c r="P34" i="44"/>
  <c r="Q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D35" i="44"/>
  <c r="O35" i="44"/>
  <c r="P35" i="44"/>
  <c r="Q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D36" i="44"/>
  <c r="O36" i="44"/>
  <c r="P36" i="44"/>
  <c r="Q36" i="44"/>
  <c r="U36" i="44"/>
  <c r="V36" i="44"/>
  <c r="W36" i="44"/>
  <c r="X36" i="44"/>
  <c r="Y36" i="44"/>
  <c r="Z36" i="44"/>
  <c r="AA36" i="44"/>
  <c r="AB36" i="44"/>
  <c r="AC36" i="44"/>
  <c r="AD36" i="44"/>
  <c r="AE36" i="44"/>
  <c r="AF36" i="44"/>
  <c r="AG36" i="44"/>
  <c r="D37" i="44"/>
  <c r="O37" i="44"/>
  <c r="P37" i="44"/>
  <c r="Q37" i="44"/>
  <c r="U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D38" i="44"/>
  <c r="O38" i="44"/>
  <c r="P38" i="44"/>
  <c r="Q38" i="44"/>
  <c r="U38" i="44"/>
  <c r="V38" i="44"/>
  <c r="W38" i="44"/>
  <c r="X38" i="44"/>
  <c r="Y38" i="44"/>
  <c r="Z38" i="44"/>
  <c r="AA38" i="44"/>
  <c r="AB38" i="44"/>
  <c r="AC38" i="44"/>
  <c r="AD38" i="44"/>
  <c r="AE38" i="44"/>
  <c r="AF38" i="44"/>
  <c r="AG38" i="44"/>
  <c r="D39" i="44"/>
  <c r="O39" i="44"/>
  <c r="P39" i="44"/>
  <c r="Q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D40" i="44"/>
  <c r="O40" i="44"/>
  <c r="P40" i="44"/>
  <c r="Q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D41" i="44"/>
  <c r="O41" i="44"/>
  <c r="P41" i="44"/>
  <c r="Q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D42" i="44"/>
  <c r="O42" i="44"/>
  <c r="P42" i="44"/>
  <c r="Q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D43" i="44"/>
  <c r="O43" i="44"/>
  <c r="P43" i="44"/>
  <c r="Q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D44" i="44"/>
  <c r="O44" i="44"/>
  <c r="P44" i="44"/>
  <c r="Q44" i="44"/>
  <c r="U44" i="44"/>
  <c r="V44" i="44"/>
  <c r="W44" i="44"/>
  <c r="X44" i="44"/>
  <c r="Y44" i="44"/>
  <c r="Z44" i="44"/>
  <c r="AA44" i="44"/>
  <c r="AB44" i="44"/>
  <c r="AC44" i="44"/>
  <c r="AD44" i="44"/>
  <c r="AE44" i="44"/>
  <c r="AF44" i="44"/>
  <c r="AG44" i="44"/>
  <c r="D45" i="44"/>
  <c r="O45" i="44"/>
  <c r="P45" i="44"/>
  <c r="Q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D46" i="44"/>
  <c r="O46" i="44"/>
  <c r="P46" i="44"/>
  <c r="Q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D47" i="44"/>
  <c r="O47" i="44"/>
  <c r="P47" i="44"/>
  <c r="Q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D48" i="44"/>
  <c r="O48" i="44"/>
  <c r="P48" i="44"/>
  <c r="Q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M27" i="56"/>
  <c r="I27" i="56"/>
  <c r="N27" i="56"/>
  <c r="S27" i="56"/>
  <c r="M26" i="56"/>
  <c r="I26" i="56"/>
  <c r="N26" i="56"/>
  <c r="S26" i="56"/>
  <c r="M25" i="56"/>
  <c r="I25" i="56"/>
  <c r="N25" i="56"/>
  <c r="S25" i="56"/>
  <c r="M24" i="56"/>
  <c r="I24" i="56"/>
  <c r="N24" i="56"/>
  <c r="S24" i="56"/>
  <c r="M23" i="56"/>
  <c r="I23" i="56"/>
  <c r="N23" i="56"/>
  <c r="S23" i="56"/>
  <c r="M22" i="56"/>
  <c r="I22" i="56"/>
  <c r="N22" i="56"/>
  <c r="S22" i="56"/>
  <c r="M21" i="56"/>
  <c r="I21" i="56"/>
  <c r="N21" i="56"/>
  <c r="S21" i="56"/>
  <c r="M20" i="56"/>
  <c r="I20" i="56"/>
  <c r="N20" i="56"/>
  <c r="S20" i="56"/>
  <c r="M19" i="56"/>
  <c r="I19" i="56"/>
  <c r="N19" i="56"/>
  <c r="S19" i="56"/>
  <c r="M18" i="56"/>
  <c r="I18" i="56"/>
  <c r="N18" i="56"/>
  <c r="S18" i="56"/>
  <c r="M17" i="56"/>
  <c r="I17" i="56"/>
  <c r="N17" i="56"/>
  <c r="S17" i="56"/>
  <c r="R27" i="56"/>
  <c r="R26" i="56"/>
  <c r="R25" i="56"/>
  <c r="R24" i="56"/>
  <c r="R23" i="56"/>
  <c r="R22" i="56"/>
  <c r="R21" i="56"/>
  <c r="R20" i="56"/>
  <c r="R19" i="56"/>
  <c r="R18" i="56"/>
  <c r="R17" i="56"/>
  <c r="T27" i="56"/>
  <c r="T26" i="56"/>
  <c r="T25" i="56"/>
  <c r="T24" i="56"/>
  <c r="T23" i="56"/>
  <c r="T22" i="56"/>
  <c r="T21" i="56"/>
  <c r="T20" i="56"/>
  <c r="T19" i="56"/>
  <c r="T18" i="56"/>
  <c r="T17" i="56"/>
  <c r="D17" i="56"/>
  <c r="O17" i="56"/>
  <c r="P17" i="56"/>
  <c r="Q17" i="56"/>
  <c r="U17" i="56"/>
  <c r="V17" i="56"/>
  <c r="W17" i="56"/>
  <c r="X17" i="56"/>
  <c r="Y17" i="56"/>
  <c r="Z17" i="56"/>
  <c r="AA17" i="56"/>
  <c r="AB17" i="56"/>
  <c r="AC17" i="56"/>
  <c r="AD17" i="56"/>
  <c r="AE17" i="56"/>
  <c r="AF17" i="56"/>
  <c r="AG17" i="56"/>
  <c r="D18" i="56"/>
  <c r="O18" i="56"/>
  <c r="P18" i="56"/>
  <c r="Q18" i="56"/>
  <c r="U18" i="56"/>
  <c r="V18" i="56"/>
  <c r="W18" i="56"/>
  <c r="X18" i="56"/>
  <c r="Y18" i="56"/>
  <c r="Z18" i="56"/>
  <c r="AA18" i="56"/>
  <c r="AB18" i="56"/>
  <c r="AC18" i="56"/>
  <c r="AD18" i="56"/>
  <c r="AE18" i="56"/>
  <c r="AF18" i="56"/>
  <c r="AG18" i="56"/>
  <c r="D19" i="56"/>
  <c r="O19" i="56"/>
  <c r="P19" i="56"/>
  <c r="Q19" i="56"/>
  <c r="U19" i="56"/>
  <c r="V19" i="56"/>
  <c r="W19" i="56"/>
  <c r="X19" i="56"/>
  <c r="Y19" i="56"/>
  <c r="Z19" i="56"/>
  <c r="AA19" i="56"/>
  <c r="AB19" i="56"/>
  <c r="AC19" i="56"/>
  <c r="AD19" i="56"/>
  <c r="AE19" i="56"/>
  <c r="AF19" i="56"/>
  <c r="AG19" i="56"/>
  <c r="D20" i="56"/>
  <c r="O20" i="56"/>
  <c r="P20" i="56"/>
  <c r="Q20" i="56"/>
  <c r="U20" i="56"/>
  <c r="V20" i="56"/>
  <c r="W20" i="56"/>
  <c r="X20" i="56"/>
  <c r="Y20" i="56"/>
  <c r="Z20" i="56"/>
  <c r="AA20" i="56"/>
  <c r="AB20" i="56"/>
  <c r="AC20" i="56"/>
  <c r="AD20" i="56"/>
  <c r="AE20" i="56"/>
  <c r="AF20" i="56"/>
  <c r="AG20" i="56"/>
  <c r="D21" i="56"/>
  <c r="O21" i="56"/>
  <c r="P21" i="56"/>
  <c r="Q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D22" i="56"/>
  <c r="O22" i="56"/>
  <c r="P22" i="56"/>
  <c r="Q22" i="56"/>
  <c r="U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D23" i="56"/>
  <c r="O23" i="56"/>
  <c r="P23" i="56"/>
  <c r="Q23" i="56"/>
  <c r="U23" i="56"/>
  <c r="V23" i="56"/>
  <c r="W23" i="56"/>
  <c r="X23" i="56"/>
  <c r="Y23" i="56"/>
  <c r="Z23" i="56"/>
  <c r="AA23" i="56"/>
  <c r="AB23" i="56"/>
  <c r="AC23" i="56"/>
  <c r="AD23" i="56"/>
  <c r="AE23" i="56"/>
  <c r="AF23" i="56"/>
  <c r="AG23" i="56"/>
  <c r="D24" i="56"/>
  <c r="O24" i="56"/>
  <c r="P24" i="56"/>
  <c r="Q24" i="56"/>
  <c r="U24" i="56"/>
  <c r="V24" i="56"/>
  <c r="W24" i="56"/>
  <c r="X24" i="56"/>
  <c r="Y24" i="56"/>
  <c r="Z24" i="56"/>
  <c r="AA24" i="56"/>
  <c r="AB24" i="56"/>
  <c r="AC24" i="56"/>
  <c r="AD24" i="56"/>
  <c r="AE24" i="56"/>
  <c r="AF24" i="56"/>
  <c r="AG24" i="56"/>
  <c r="D25" i="56"/>
  <c r="O25" i="56"/>
  <c r="P25" i="56"/>
  <c r="Q25" i="56"/>
  <c r="U25" i="56"/>
  <c r="V25" i="56"/>
  <c r="W25" i="56"/>
  <c r="X25" i="56"/>
  <c r="Y25" i="56"/>
  <c r="Z25" i="56"/>
  <c r="AA25" i="56"/>
  <c r="AB25" i="56"/>
  <c r="AC25" i="56"/>
  <c r="AD25" i="56"/>
  <c r="AE25" i="56"/>
  <c r="AF25" i="56"/>
  <c r="AG25" i="56"/>
  <c r="D26" i="56"/>
  <c r="O26" i="56"/>
  <c r="P26" i="56"/>
  <c r="Q26" i="56"/>
  <c r="U26" i="56"/>
  <c r="V26" i="56"/>
  <c r="W26" i="56"/>
  <c r="X26" i="56"/>
  <c r="Y26" i="56"/>
  <c r="Z26" i="56"/>
  <c r="AA26" i="56"/>
  <c r="AB26" i="56"/>
  <c r="AC26" i="56"/>
  <c r="AD26" i="56"/>
  <c r="AE26" i="56"/>
  <c r="AF26" i="56"/>
  <c r="AG26" i="56"/>
  <c r="D27" i="56"/>
  <c r="O27" i="56"/>
  <c r="P27" i="56"/>
  <c r="Q27" i="56"/>
  <c r="U27" i="56"/>
  <c r="V27" i="56"/>
  <c r="W27" i="56"/>
  <c r="X27" i="56"/>
  <c r="Y27" i="56"/>
  <c r="Z27" i="56"/>
  <c r="AA27" i="56"/>
  <c r="AB27" i="56"/>
  <c r="AC27" i="56"/>
  <c r="AD27" i="56"/>
  <c r="AE27" i="56"/>
  <c r="AF27" i="56"/>
  <c r="AG27" i="56"/>
  <c r="M44" i="45"/>
  <c r="I44" i="45"/>
  <c r="N44" i="45"/>
  <c r="S44" i="45"/>
  <c r="M43" i="45"/>
  <c r="I43" i="45"/>
  <c r="N43" i="45"/>
  <c r="S43" i="45"/>
  <c r="M42" i="45"/>
  <c r="I42" i="45"/>
  <c r="N42" i="45"/>
  <c r="S42" i="45"/>
  <c r="M41" i="45"/>
  <c r="I41" i="45"/>
  <c r="N41" i="45"/>
  <c r="S41" i="45"/>
  <c r="M40" i="45"/>
  <c r="I40" i="45"/>
  <c r="N40" i="45"/>
  <c r="S40" i="45"/>
  <c r="M39" i="45"/>
  <c r="I39" i="45"/>
  <c r="N39" i="45"/>
  <c r="S39" i="45"/>
  <c r="M38" i="45"/>
  <c r="I38" i="45"/>
  <c r="N38" i="45"/>
  <c r="S38" i="45"/>
  <c r="M37" i="45"/>
  <c r="I37" i="45"/>
  <c r="N37" i="45"/>
  <c r="S37" i="45"/>
  <c r="M36" i="45"/>
  <c r="I36" i="45"/>
  <c r="N36" i="45"/>
  <c r="S36" i="45"/>
  <c r="M35" i="45"/>
  <c r="I35" i="45"/>
  <c r="N35" i="45"/>
  <c r="S35" i="45"/>
  <c r="M34" i="45"/>
  <c r="I34" i="45"/>
  <c r="N34" i="45"/>
  <c r="S34" i="45"/>
  <c r="M33" i="45"/>
  <c r="I33" i="45"/>
  <c r="N33" i="45"/>
  <c r="S33" i="45"/>
  <c r="M32" i="45"/>
  <c r="I32" i="45"/>
  <c r="N32" i="45"/>
  <c r="S32" i="45"/>
  <c r="M31" i="45"/>
  <c r="I31" i="45"/>
  <c r="N31" i="45"/>
  <c r="S31" i="45"/>
  <c r="M30" i="45"/>
  <c r="I30" i="45"/>
  <c r="N30" i="45"/>
  <c r="S30" i="45"/>
  <c r="M29" i="45"/>
  <c r="I29" i="45"/>
  <c r="N29" i="45"/>
  <c r="S29" i="45"/>
  <c r="M28" i="45"/>
  <c r="I28" i="45"/>
  <c r="N28" i="45"/>
  <c r="S28" i="45"/>
  <c r="M27" i="45"/>
  <c r="I27" i="45"/>
  <c r="N27" i="45"/>
  <c r="S27" i="45"/>
  <c r="M26" i="45"/>
  <c r="I26" i="45"/>
  <c r="N26" i="45"/>
  <c r="S26" i="45"/>
  <c r="M25" i="45"/>
  <c r="I25" i="45"/>
  <c r="N25" i="45"/>
  <c r="S25" i="45"/>
  <c r="M24" i="45"/>
  <c r="I24" i="45"/>
  <c r="N24" i="45"/>
  <c r="S24" i="45"/>
  <c r="M23" i="45"/>
  <c r="I23" i="45"/>
  <c r="N23" i="45"/>
  <c r="S23" i="45"/>
  <c r="M22" i="45"/>
  <c r="I22" i="45"/>
  <c r="N22" i="45"/>
  <c r="S22" i="45"/>
  <c r="M21" i="45"/>
  <c r="I21" i="45"/>
  <c r="N21" i="45"/>
  <c r="S21" i="45"/>
  <c r="M20" i="45"/>
  <c r="I20" i="45"/>
  <c r="N20" i="45"/>
  <c r="S20" i="45"/>
  <c r="M19" i="45"/>
  <c r="I19" i="45"/>
  <c r="N19" i="45"/>
  <c r="S19" i="45"/>
  <c r="M18" i="45"/>
  <c r="I18" i="45"/>
  <c r="N18" i="45"/>
  <c r="S18" i="45"/>
  <c r="M17" i="45"/>
  <c r="I17" i="45"/>
  <c r="N17" i="45"/>
  <c r="S17" i="45"/>
  <c r="R44" i="45"/>
  <c r="R43" i="45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R18" i="45"/>
  <c r="R17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17" i="45"/>
  <c r="D17" i="45"/>
  <c r="O17" i="45"/>
  <c r="P17" i="45"/>
  <c r="Q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D18" i="45"/>
  <c r="O18" i="45"/>
  <c r="P18" i="45"/>
  <c r="Q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D19" i="45"/>
  <c r="O19" i="45"/>
  <c r="P19" i="45"/>
  <c r="Q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D20" i="45"/>
  <c r="O20" i="45"/>
  <c r="P20" i="45"/>
  <c r="Q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D21" i="45"/>
  <c r="O21" i="45"/>
  <c r="P21" i="45"/>
  <c r="Q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D22" i="45"/>
  <c r="O22" i="45"/>
  <c r="P22" i="45"/>
  <c r="Q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D23" i="45"/>
  <c r="O23" i="45"/>
  <c r="P23" i="45"/>
  <c r="Q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D24" i="45"/>
  <c r="O24" i="45"/>
  <c r="P24" i="45"/>
  <c r="Q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D25" i="45"/>
  <c r="O25" i="45"/>
  <c r="P25" i="45"/>
  <c r="Q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D26" i="45"/>
  <c r="O26" i="45"/>
  <c r="P26" i="45"/>
  <c r="Q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D27" i="45"/>
  <c r="O27" i="45"/>
  <c r="P27" i="45"/>
  <c r="Q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D28" i="45"/>
  <c r="O28" i="45"/>
  <c r="P28" i="45"/>
  <c r="Q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D29" i="45"/>
  <c r="O29" i="45"/>
  <c r="P29" i="45"/>
  <c r="Q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D30" i="45"/>
  <c r="O30" i="45"/>
  <c r="P30" i="45"/>
  <c r="Q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D31" i="45"/>
  <c r="O31" i="45"/>
  <c r="P31" i="45"/>
  <c r="Q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D32" i="45"/>
  <c r="O32" i="45"/>
  <c r="P32" i="45"/>
  <c r="Q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D33" i="45"/>
  <c r="O33" i="45"/>
  <c r="P33" i="45"/>
  <c r="Q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D34" i="45"/>
  <c r="O34" i="45"/>
  <c r="P34" i="45"/>
  <c r="Q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D35" i="45"/>
  <c r="O35" i="45"/>
  <c r="P35" i="45"/>
  <c r="Q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D36" i="45"/>
  <c r="O36" i="45"/>
  <c r="P36" i="45"/>
  <c r="Q36" i="45"/>
  <c r="U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D37" i="45"/>
  <c r="O37" i="45"/>
  <c r="P37" i="45"/>
  <c r="Q37" i="45"/>
  <c r="U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D38" i="45"/>
  <c r="O38" i="45"/>
  <c r="P38" i="45"/>
  <c r="Q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D39" i="45"/>
  <c r="O39" i="45"/>
  <c r="P39" i="45"/>
  <c r="Q39" i="45"/>
  <c r="U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D40" i="45"/>
  <c r="O40" i="45"/>
  <c r="P40" i="45"/>
  <c r="Q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D41" i="45"/>
  <c r="O41" i="45"/>
  <c r="P41" i="45"/>
  <c r="Q41" i="45"/>
  <c r="U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D42" i="45"/>
  <c r="O42" i="45"/>
  <c r="P42" i="45"/>
  <c r="Q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D43" i="45"/>
  <c r="O43" i="45"/>
  <c r="P43" i="45"/>
  <c r="Q43" i="45"/>
  <c r="U43" i="45"/>
  <c r="V43" i="45"/>
  <c r="W43" i="45"/>
  <c r="X43" i="45"/>
  <c r="Y43" i="45"/>
  <c r="Z43" i="45"/>
  <c r="AA43" i="45"/>
  <c r="AB43" i="45"/>
  <c r="AC43" i="45"/>
  <c r="AD43" i="45"/>
  <c r="AE43" i="45"/>
  <c r="AF43" i="45"/>
  <c r="AG43" i="45"/>
  <c r="D44" i="45"/>
  <c r="O44" i="45"/>
  <c r="P44" i="45"/>
  <c r="Q44" i="45"/>
  <c r="U44" i="45"/>
  <c r="V44" i="45"/>
  <c r="W44" i="45"/>
  <c r="X44" i="45"/>
  <c r="Y44" i="45"/>
  <c r="Z44" i="45"/>
  <c r="AA44" i="45"/>
  <c r="AB44" i="45"/>
  <c r="AC44" i="45"/>
  <c r="AD44" i="45"/>
  <c r="AE44" i="45"/>
  <c r="AF44" i="45"/>
  <c r="AG44" i="45"/>
  <c r="M42" i="57"/>
  <c r="I42" i="57"/>
  <c r="N42" i="57"/>
  <c r="S42" i="57"/>
  <c r="M41" i="57"/>
  <c r="I41" i="57"/>
  <c r="N41" i="57"/>
  <c r="S41" i="57"/>
  <c r="M40" i="57"/>
  <c r="I40" i="57"/>
  <c r="N40" i="57"/>
  <c r="S40" i="57"/>
  <c r="M39" i="57"/>
  <c r="I39" i="57"/>
  <c r="N39" i="57"/>
  <c r="S39" i="57"/>
  <c r="M38" i="57"/>
  <c r="I38" i="57"/>
  <c r="N38" i="57"/>
  <c r="S38" i="57"/>
  <c r="M37" i="57"/>
  <c r="I37" i="57"/>
  <c r="N37" i="57"/>
  <c r="S37" i="57"/>
  <c r="M36" i="57"/>
  <c r="I36" i="57"/>
  <c r="N36" i="57"/>
  <c r="S36" i="57"/>
  <c r="M35" i="57"/>
  <c r="I35" i="57"/>
  <c r="N35" i="57"/>
  <c r="S35" i="57"/>
  <c r="M34" i="57"/>
  <c r="I34" i="57"/>
  <c r="N34" i="57"/>
  <c r="S34" i="57"/>
  <c r="M33" i="57"/>
  <c r="I33" i="57"/>
  <c r="N33" i="57"/>
  <c r="S33" i="57"/>
  <c r="M32" i="57"/>
  <c r="I32" i="57"/>
  <c r="N32" i="57"/>
  <c r="S32" i="57"/>
  <c r="M31" i="57"/>
  <c r="I31" i="57"/>
  <c r="N31" i="57"/>
  <c r="S31" i="57"/>
  <c r="M30" i="57"/>
  <c r="I30" i="57"/>
  <c r="N30" i="57"/>
  <c r="S30" i="57"/>
  <c r="M29" i="57"/>
  <c r="I29" i="57"/>
  <c r="N29" i="57"/>
  <c r="S29" i="57"/>
  <c r="M28" i="57"/>
  <c r="I28" i="57"/>
  <c r="N28" i="57"/>
  <c r="S28" i="57"/>
  <c r="M27" i="57"/>
  <c r="I27" i="57"/>
  <c r="N27" i="57"/>
  <c r="S27" i="57"/>
  <c r="M26" i="57"/>
  <c r="I26" i="57"/>
  <c r="N26" i="57"/>
  <c r="S26" i="57"/>
  <c r="M25" i="57"/>
  <c r="I25" i="57"/>
  <c r="N25" i="57"/>
  <c r="S25" i="57"/>
  <c r="M24" i="57"/>
  <c r="I24" i="57"/>
  <c r="N24" i="57"/>
  <c r="S24" i="57"/>
  <c r="M23" i="57"/>
  <c r="I23" i="57"/>
  <c r="N23" i="57"/>
  <c r="S23" i="57"/>
  <c r="M22" i="57"/>
  <c r="I22" i="57"/>
  <c r="N22" i="57"/>
  <c r="S22" i="57"/>
  <c r="M21" i="57"/>
  <c r="I21" i="57"/>
  <c r="N21" i="57"/>
  <c r="S21" i="57"/>
  <c r="M20" i="57"/>
  <c r="I20" i="57"/>
  <c r="N20" i="57"/>
  <c r="S20" i="57"/>
  <c r="M19" i="57"/>
  <c r="I19" i="57"/>
  <c r="N19" i="57"/>
  <c r="S19" i="57"/>
  <c r="M18" i="57"/>
  <c r="I18" i="57"/>
  <c r="N18" i="57"/>
  <c r="S18" i="57"/>
  <c r="M17" i="57"/>
  <c r="I17" i="57"/>
  <c r="N17" i="57"/>
  <c r="S17" i="57"/>
  <c r="R42" i="57"/>
  <c r="R41" i="57"/>
  <c r="R40" i="57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T42" i="57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D17" i="57"/>
  <c r="O17" i="57"/>
  <c r="P17" i="57"/>
  <c r="Q17" i="57"/>
  <c r="U17" i="57"/>
  <c r="V17" i="57"/>
  <c r="W17" i="57"/>
  <c r="X17" i="57"/>
  <c r="Y17" i="57"/>
  <c r="Z17" i="57"/>
  <c r="AA17" i="57"/>
  <c r="AB17" i="57"/>
  <c r="AC17" i="57"/>
  <c r="AD17" i="57"/>
  <c r="AE17" i="57"/>
  <c r="AF17" i="57"/>
  <c r="AG17" i="57"/>
  <c r="D18" i="57"/>
  <c r="O18" i="57"/>
  <c r="P18" i="57"/>
  <c r="Q18" i="57"/>
  <c r="U18" i="57"/>
  <c r="V18" i="57"/>
  <c r="W18" i="57"/>
  <c r="X18" i="57"/>
  <c r="Y18" i="57"/>
  <c r="Z18" i="57"/>
  <c r="AA18" i="57"/>
  <c r="AB18" i="57"/>
  <c r="AC18" i="57"/>
  <c r="AD18" i="57"/>
  <c r="AE18" i="57"/>
  <c r="AF18" i="57"/>
  <c r="AG18" i="57"/>
  <c r="D19" i="57"/>
  <c r="O19" i="57"/>
  <c r="P19" i="57"/>
  <c r="Q19" i="57"/>
  <c r="U19" i="57"/>
  <c r="V19" i="57"/>
  <c r="W19" i="57"/>
  <c r="X19" i="57"/>
  <c r="Y19" i="57"/>
  <c r="Z19" i="57"/>
  <c r="AA19" i="57"/>
  <c r="AB19" i="57"/>
  <c r="AC19" i="57"/>
  <c r="AD19" i="57"/>
  <c r="AE19" i="57"/>
  <c r="AF19" i="57"/>
  <c r="AG19" i="57"/>
  <c r="D20" i="57"/>
  <c r="O20" i="57"/>
  <c r="P20" i="57"/>
  <c r="Q20" i="57"/>
  <c r="U20" i="57"/>
  <c r="V20" i="57"/>
  <c r="W20" i="57"/>
  <c r="X20" i="57"/>
  <c r="Y20" i="57"/>
  <c r="Z20" i="57"/>
  <c r="AA20" i="57"/>
  <c r="AB20" i="57"/>
  <c r="AC20" i="57"/>
  <c r="AD20" i="57"/>
  <c r="AE20" i="57"/>
  <c r="AF20" i="57"/>
  <c r="AG20" i="57"/>
  <c r="D21" i="57"/>
  <c r="O21" i="57"/>
  <c r="P21" i="57"/>
  <c r="Q21" i="57"/>
  <c r="U21" i="57"/>
  <c r="V21" i="57"/>
  <c r="W21" i="57"/>
  <c r="X21" i="57"/>
  <c r="Y21" i="57"/>
  <c r="Z21" i="57"/>
  <c r="AA21" i="57"/>
  <c r="AB21" i="57"/>
  <c r="AC21" i="57"/>
  <c r="AD21" i="57"/>
  <c r="AE21" i="57"/>
  <c r="AF21" i="57"/>
  <c r="AG21" i="57"/>
  <c r="D22" i="57"/>
  <c r="O22" i="57"/>
  <c r="P22" i="57"/>
  <c r="Q22" i="57"/>
  <c r="U22" i="57"/>
  <c r="V22" i="57"/>
  <c r="W22" i="57"/>
  <c r="X22" i="57"/>
  <c r="Y22" i="57"/>
  <c r="Z22" i="57"/>
  <c r="AA22" i="57"/>
  <c r="AB22" i="57"/>
  <c r="AC22" i="57"/>
  <c r="AD22" i="57"/>
  <c r="AE22" i="57"/>
  <c r="AF22" i="57"/>
  <c r="AG22" i="57"/>
  <c r="D23" i="57"/>
  <c r="O23" i="57"/>
  <c r="P23" i="57"/>
  <c r="Q23" i="57"/>
  <c r="U23" i="57"/>
  <c r="V23" i="57"/>
  <c r="W23" i="57"/>
  <c r="X23" i="57"/>
  <c r="Y23" i="57"/>
  <c r="Z23" i="57"/>
  <c r="AA23" i="57"/>
  <c r="AB23" i="57"/>
  <c r="AC23" i="57"/>
  <c r="AD23" i="57"/>
  <c r="AE23" i="57"/>
  <c r="AF23" i="57"/>
  <c r="AG23" i="57"/>
  <c r="D24" i="57"/>
  <c r="O24" i="57"/>
  <c r="P24" i="57"/>
  <c r="Q24" i="57"/>
  <c r="U24" i="57"/>
  <c r="V24" i="57"/>
  <c r="W24" i="57"/>
  <c r="X24" i="57"/>
  <c r="Y24" i="57"/>
  <c r="Z24" i="57"/>
  <c r="AA24" i="57"/>
  <c r="AB24" i="57"/>
  <c r="AC24" i="57"/>
  <c r="AD24" i="57"/>
  <c r="AE24" i="57"/>
  <c r="AF24" i="57"/>
  <c r="AG24" i="57"/>
  <c r="D25" i="57"/>
  <c r="O25" i="57"/>
  <c r="P25" i="57"/>
  <c r="Q25" i="57"/>
  <c r="U25" i="57"/>
  <c r="V25" i="57"/>
  <c r="W25" i="57"/>
  <c r="X25" i="57"/>
  <c r="Y25" i="57"/>
  <c r="Z25" i="57"/>
  <c r="AA25" i="57"/>
  <c r="AB25" i="57"/>
  <c r="AC25" i="57"/>
  <c r="AD25" i="57"/>
  <c r="AE25" i="57"/>
  <c r="AF25" i="57"/>
  <c r="AG25" i="57"/>
  <c r="D26" i="57"/>
  <c r="O26" i="57"/>
  <c r="P26" i="57"/>
  <c r="Q26" i="57"/>
  <c r="U26" i="57"/>
  <c r="V26" i="57"/>
  <c r="W26" i="57"/>
  <c r="X26" i="57"/>
  <c r="Y26" i="57"/>
  <c r="Z26" i="57"/>
  <c r="AA26" i="57"/>
  <c r="AB26" i="57"/>
  <c r="AC26" i="57"/>
  <c r="AD26" i="57"/>
  <c r="AE26" i="57"/>
  <c r="AF26" i="57"/>
  <c r="AG26" i="57"/>
  <c r="D27" i="57"/>
  <c r="O27" i="57"/>
  <c r="P27" i="57"/>
  <c r="Q27" i="57"/>
  <c r="U27" i="57"/>
  <c r="V27" i="57"/>
  <c r="W27" i="57"/>
  <c r="X27" i="57"/>
  <c r="Y27" i="57"/>
  <c r="Z27" i="57"/>
  <c r="AA27" i="57"/>
  <c r="AB27" i="57"/>
  <c r="AC27" i="57"/>
  <c r="AD27" i="57"/>
  <c r="AE27" i="57"/>
  <c r="AF27" i="57"/>
  <c r="AG27" i="57"/>
  <c r="D28" i="57"/>
  <c r="O28" i="57"/>
  <c r="P28" i="57"/>
  <c r="Q28" i="57"/>
  <c r="U28" i="57"/>
  <c r="V28" i="57"/>
  <c r="W28" i="57"/>
  <c r="X28" i="57"/>
  <c r="Y28" i="57"/>
  <c r="Z28" i="57"/>
  <c r="AA28" i="57"/>
  <c r="AB28" i="57"/>
  <c r="AC28" i="57"/>
  <c r="AD28" i="57"/>
  <c r="AE28" i="57"/>
  <c r="AF28" i="57"/>
  <c r="AG28" i="57"/>
  <c r="D29" i="57"/>
  <c r="O29" i="57"/>
  <c r="P29" i="57"/>
  <c r="Q29" i="57"/>
  <c r="U29" i="57"/>
  <c r="V29" i="57"/>
  <c r="W29" i="57"/>
  <c r="X29" i="57"/>
  <c r="Y29" i="57"/>
  <c r="Z29" i="57"/>
  <c r="AA29" i="57"/>
  <c r="AB29" i="57"/>
  <c r="AC29" i="57"/>
  <c r="AD29" i="57"/>
  <c r="AE29" i="57"/>
  <c r="AF29" i="57"/>
  <c r="AG29" i="57"/>
  <c r="D30" i="57"/>
  <c r="O30" i="57"/>
  <c r="P30" i="57"/>
  <c r="Q30" i="57"/>
  <c r="U30" i="57"/>
  <c r="V30" i="57"/>
  <c r="W30" i="57"/>
  <c r="X30" i="57"/>
  <c r="Y30" i="57"/>
  <c r="Z30" i="57"/>
  <c r="AA30" i="57"/>
  <c r="AB30" i="57"/>
  <c r="AC30" i="57"/>
  <c r="AD30" i="57"/>
  <c r="AE30" i="57"/>
  <c r="AF30" i="57"/>
  <c r="AG30" i="57"/>
  <c r="D31" i="57"/>
  <c r="O31" i="57"/>
  <c r="P31" i="57"/>
  <c r="Q31" i="57"/>
  <c r="U31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D32" i="57"/>
  <c r="O32" i="57"/>
  <c r="P32" i="57"/>
  <c r="Q32" i="57"/>
  <c r="U32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D33" i="57"/>
  <c r="O33" i="57"/>
  <c r="P33" i="57"/>
  <c r="Q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D34" i="57"/>
  <c r="O34" i="57"/>
  <c r="P34" i="57"/>
  <c r="Q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D35" i="57"/>
  <c r="O35" i="57"/>
  <c r="P35" i="57"/>
  <c r="Q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D36" i="57"/>
  <c r="O36" i="57"/>
  <c r="P36" i="57"/>
  <c r="Q36" i="57"/>
  <c r="U36" i="57"/>
  <c r="V36" i="57"/>
  <c r="W36" i="57"/>
  <c r="X36" i="57"/>
  <c r="Y36" i="57"/>
  <c r="Z36" i="57"/>
  <c r="AA36" i="57"/>
  <c r="AB36" i="57"/>
  <c r="AC36" i="57"/>
  <c r="AD36" i="57"/>
  <c r="AE36" i="57"/>
  <c r="AF36" i="57"/>
  <c r="AG36" i="57"/>
  <c r="D37" i="57"/>
  <c r="O37" i="57"/>
  <c r="P37" i="57"/>
  <c r="Q37" i="57"/>
  <c r="U37" i="57"/>
  <c r="V37" i="57"/>
  <c r="W37" i="57"/>
  <c r="X37" i="57"/>
  <c r="Y37" i="57"/>
  <c r="Z37" i="57"/>
  <c r="AA37" i="57"/>
  <c r="AB37" i="57"/>
  <c r="AC37" i="57"/>
  <c r="AD37" i="57"/>
  <c r="AE37" i="57"/>
  <c r="AF37" i="57"/>
  <c r="AG37" i="57"/>
  <c r="D38" i="57"/>
  <c r="O38" i="57"/>
  <c r="P38" i="57"/>
  <c r="Q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D39" i="57"/>
  <c r="O39" i="57"/>
  <c r="P39" i="57"/>
  <c r="Q39" i="57"/>
  <c r="U39" i="57"/>
  <c r="V39" i="57"/>
  <c r="W39" i="57"/>
  <c r="X39" i="57"/>
  <c r="Y39" i="57"/>
  <c r="Z39" i="57"/>
  <c r="AA39" i="57"/>
  <c r="AB39" i="57"/>
  <c r="AC39" i="57"/>
  <c r="AD39" i="57"/>
  <c r="AE39" i="57"/>
  <c r="AF39" i="57"/>
  <c r="AG39" i="57"/>
  <c r="D40" i="57"/>
  <c r="O40" i="57"/>
  <c r="P40" i="57"/>
  <c r="Q40" i="57"/>
  <c r="U40" i="57"/>
  <c r="V40" i="57"/>
  <c r="W40" i="57"/>
  <c r="X40" i="57"/>
  <c r="Y40" i="57"/>
  <c r="Z40" i="57"/>
  <c r="AA40" i="57"/>
  <c r="AB40" i="57"/>
  <c r="AC40" i="57"/>
  <c r="AD40" i="57"/>
  <c r="AE40" i="57"/>
  <c r="AF40" i="57"/>
  <c r="AG40" i="57"/>
  <c r="D41" i="57"/>
  <c r="O41" i="57"/>
  <c r="P41" i="57"/>
  <c r="Q41" i="57"/>
  <c r="U41" i="57"/>
  <c r="V41" i="57"/>
  <c r="W41" i="57"/>
  <c r="X41" i="57"/>
  <c r="Y41" i="57"/>
  <c r="Z41" i="57"/>
  <c r="AA41" i="57"/>
  <c r="AB41" i="57"/>
  <c r="AC41" i="57"/>
  <c r="AD41" i="57"/>
  <c r="AE41" i="57"/>
  <c r="AF41" i="57"/>
  <c r="AG41" i="57"/>
  <c r="D42" i="57"/>
  <c r="O42" i="57"/>
  <c r="P42" i="57"/>
  <c r="Q42" i="57"/>
  <c r="U42" i="57"/>
  <c r="V42" i="57"/>
  <c r="W42" i="57"/>
  <c r="X42" i="57"/>
  <c r="Y42" i="57"/>
  <c r="Z42" i="57"/>
  <c r="AA42" i="57"/>
  <c r="AB42" i="57"/>
  <c r="AC42" i="57"/>
  <c r="AD42" i="57"/>
  <c r="AE42" i="57"/>
  <c r="AF42" i="57"/>
  <c r="AG42" i="57"/>
  <c r="M41" i="58"/>
  <c r="I41" i="58"/>
  <c r="N41" i="58"/>
  <c r="S41" i="58"/>
  <c r="M40" i="58"/>
  <c r="I40" i="58"/>
  <c r="N40" i="58"/>
  <c r="S40" i="58"/>
  <c r="M39" i="58"/>
  <c r="I39" i="58"/>
  <c r="N39" i="58"/>
  <c r="S39" i="58"/>
  <c r="M38" i="58"/>
  <c r="I38" i="58"/>
  <c r="N38" i="58"/>
  <c r="S38" i="58"/>
  <c r="M37" i="58"/>
  <c r="I37" i="58"/>
  <c r="N37" i="58"/>
  <c r="S37" i="58"/>
  <c r="M36" i="58"/>
  <c r="I36" i="58"/>
  <c r="N36" i="58"/>
  <c r="S36" i="58"/>
  <c r="M35" i="58"/>
  <c r="I35" i="58"/>
  <c r="N35" i="58"/>
  <c r="S35" i="58"/>
  <c r="M34" i="58"/>
  <c r="I34" i="58"/>
  <c r="N34" i="58"/>
  <c r="S34" i="58"/>
  <c r="M33" i="58"/>
  <c r="I33" i="58"/>
  <c r="N33" i="58"/>
  <c r="S33" i="58"/>
  <c r="M32" i="58"/>
  <c r="I32" i="58"/>
  <c r="N32" i="58"/>
  <c r="S32" i="58"/>
  <c r="M31" i="58"/>
  <c r="I31" i="58"/>
  <c r="N31" i="58"/>
  <c r="S31" i="58"/>
  <c r="M30" i="58"/>
  <c r="I30" i="58"/>
  <c r="N30" i="58"/>
  <c r="S30" i="58"/>
  <c r="M29" i="58"/>
  <c r="I29" i="58"/>
  <c r="N29" i="58"/>
  <c r="S29" i="58"/>
  <c r="M28" i="58"/>
  <c r="I28" i="58"/>
  <c r="N28" i="58"/>
  <c r="S28" i="58"/>
  <c r="M27" i="58"/>
  <c r="I27" i="58"/>
  <c r="N27" i="58"/>
  <c r="S27" i="58"/>
  <c r="M26" i="58"/>
  <c r="I26" i="58"/>
  <c r="N26" i="58"/>
  <c r="S26" i="58"/>
  <c r="M25" i="58"/>
  <c r="I25" i="58"/>
  <c r="N25" i="58"/>
  <c r="S25" i="58"/>
  <c r="M24" i="58"/>
  <c r="I24" i="58"/>
  <c r="N24" i="58"/>
  <c r="S24" i="58"/>
  <c r="M23" i="58"/>
  <c r="I23" i="58"/>
  <c r="N23" i="58"/>
  <c r="S23" i="58"/>
  <c r="M22" i="58"/>
  <c r="I22" i="58"/>
  <c r="N22" i="58"/>
  <c r="S22" i="58"/>
  <c r="M21" i="58"/>
  <c r="I21" i="58"/>
  <c r="N21" i="58"/>
  <c r="S21" i="58"/>
  <c r="M20" i="58"/>
  <c r="I20" i="58"/>
  <c r="N20" i="58"/>
  <c r="S20" i="58"/>
  <c r="M19" i="58"/>
  <c r="I19" i="58"/>
  <c r="N19" i="58"/>
  <c r="S19" i="58"/>
  <c r="M18" i="58"/>
  <c r="I18" i="58"/>
  <c r="N18" i="58"/>
  <c r="S18" i="58"/>
  <c r="M17" i="58"/>
  <c r="I17" i="58"/>
  <c r="N17" i="58"/>
  <c r="S17" i="58"/>
  <c r="R41" i="58"/>
  <c r="R40" i="58"/>
  <c r="R39" i="58"/>
  <c r="R38" i="58"/>
  <c r="R37" i="58"/>
  <c r="R36" i="58"/>
  <c r="R35" i="58"/>
  <c r="R34" i="58"/>
  <c r="R33" i="58"/>
  <c r="R32" i="58"/>
  <c r="R31" i="58"/>
  <c r="R30" i="58"/>
  <c r="R29" i="58"/>
  <c r="R28" i="58"/>
  <c r="R27" i="58"/>
  <c r="R26" i="58"/>
  <c r="R25" i="58"/>
  <c r="R24" i="58"/>
  <c r="R23" i="58"/>
  <c r="R22" i="58"/>
  <c r="R21" i="58"/>
  <c r="R20" i="58"/>
  <c r="R19" i="58"/>
  <c r="R18" i="58"/>
  <c r="R17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D17" i="58"/>
  <c r="O17" i="58"/>
  <c r="P17" i="58"/>
  <c r="Q17" i="58"/>
  <c r="U17" i="58"/>
  <c r="V17" i="58"/>
  <c r="W17" i="58"/>
  <c r="X17" i="58"/>
  <c r="Y17" i="58"/>
  <c r="Z17" i="58"/>
  <c r="AA17" i="58"/>
  <c r="AB17" i="58"/>
  <c r="AC17" i="58"/>
  <c r="AD17" i="58"/>
  <c r="AE17" i="58"/>
  <c r="AF17" i="58"/>
  <c r="AG17" i="58"/>
  <c r="D18" i="58"/>
  <c r="O18" i="58"/>
  <c r="P18" i="58"/>
  <c r="Q18" i="58"/>
  <c r="U18" i="58"/>
  <c r="V18" i="58"/>
  <c r="W18" i="58"/>
  <c r="X18" i="58"/>
  <c r="Y18" i="58"/>
  <c r="Z18" i="58"/>
  <c r="AA18" i="58"/>
  <c r="AB18" i="58"/>
  <c r="AC18" i="58"/>
  <c r="AD18" i="58"/>
  <c r="AE18" i="58"/>
  <c r="AF18" i="58"/>
  <c r="AG18" i="58"/>
  <c r="D19" i="58"/>
  <c r="O19" i="58"/>
  <c r="P19" i="58"/>
  <c r="Q19" i="58"/>
  <c r="U19" i="58"/>
  <c r="V19" i="58"/>
  <c r="W19" i="58"/>
  <c r="X19" i="58"/>
  <c r="Y19" i="58"/>
  <c r="Z19" i="58"/>
  <c r="AA19" i="58"/>
  <c r="AB19" i="58"/>
  <c r="AC19" i="58"/>
  <c r="AD19" i="58"/>
  <c r="AE19" i="58"/>
  <c r="AF19" i="58"/>
  <c r="AG19" i="58"/>
  <c r="D20" i="58"/>
  <c r="O20" i="58"/>
  <c r="P20" i="58"/>
  <c r="Q20" i="58"/>
  <c r="U20" i="58"/>
  <c r="V20" i="58"/>
  <c r="W20" i="58"/>
  <c r="X20" i="58"/>
  <c r="Y20" i="58"/>
  <c r="Z20" i="58"/>
  <c r="AA20" i="58"/>
  <c r="AB20" i="58"/>
  <c r="AC20" i="58"/>
  <c r="AD20" i="58"/>
  <c r="AE20" i="58"/>
  <c r="AF20" i="58"/>
  <c r="AG20" i="58"/>
  <c r="D21" i="58"/>
  <c r="O21" i="58"/>
  <c r="P21" i="58"/>
  <c r="Q21" i="58"/>
  <c r="U21" i="58"/>
  <c r="V21" i="58"/>
  <c r="W21" i="58"/>
  <c r="X21" i="58"/>
  <c r="Y21" i="58"/>
  <c r="Z21" i="58"/>
  <c r="AA21" i="58"/>
  <c r="AB21" i="58"/>
  <c r="AC21" i="58"/>
  <c r="AD21" i="58"/>
  <c r="AE21" i="58"/>
  <c r="AF21" i="58"/>
  <c r="AG21" i="58"/>
  <c r="D22" i="58"/>
  <c r="O22" i="58"/>
  <c r="P22" i="58"/>
  <c r="Q22" i="58"/>
  <c r="U22" i="58"/>
  <c r="V22" i="58"/>
  <c r="W22" i="58"/>
  <c r="X22" i="58"/>
  <c r="Y22" i="58"/>
  <c r="Z22" i="58"/>
  <c r="AA22" i="58"/>
  <c r="AB22" i="58"/>
  <c r="AC22" i="58"/>
  <c r="AD22" i="58"/>
  <c r="AE22" i="58"/>
  <c r="AF22" i="58"/>
  <c r="AG22" i="58"/>
  <c r="D23" i="58"/>
  <c r="O23" i="58"/>
  <c r="P23" i="58"/>
  <c r="Q23" i="58"/>
  <c r="U23" i="58"/>
  <c r="V23" i="58"/>
  <c r="W23" i="58"/>
  <c r="X23" i="58"/>
  <c r="Y23" i="58"/>
  <c r="Z23" i="58"/>
  <c r="AA23" i="58"/>
  <c r="AB23" i="58"/>
  <c r="AC23" i="58"/>
  <c r="AD23" i="58"/>
  <c r="AE23" i="58"/>
  <c r="AF23" i="58"/>
  <c r="AG23" i="58"/>
  <c r="D24" i="58"/>
  <c r="O24" i="58"/>
  <c r="P24" i="58"/>
  <c r="Q24" i="58"/>
  <c r="U24" i="58"/>
  <c r="V24" i="58"/>
  <c r="W24" i="58"/>
  <c r="X24" i="58"/>
  <c r="Y24" i="58"/>
  <c r="Z24" i="58"/>
  <c r="AA24" i="58"/>
  <c r="AB24" i="58"/>
  <c r="AC24" i="58"/>
  <c r="AD24" i="58"/>
  <c r="AE24" i="58"/>
  <c r="AF24" i="58"/>
  <c r="AG24" i="58"/>
  <c r="D25" i="58"/>
  <c r="O25" i="58"/>
  <c r="P25" i="58"/>
  <c r="Q25" i="58"/>
  <c r="U25" i="58"/>
  <c r="V25" i="58"/>
  <c r="W25" i="58"/>
  <c r="X25" i="58"/>
  <c r="Y25" i="58"/>
  <c r="Z25" i="58"/>
  <c r="AA25" i="58"/>
  <c r="AB25" i="58"/>
  <c r="AC25" i="58"/>
  <c r="AD25" i="58"/>
  <c r="AE25" i="58"/>
  <c r="AF25" i="58"/>
  <c r="AG25" i="58"/>
  <c r="D26" i="58"/>
  <c r="O26" i="58"/>
  <c r="P26" i="58"/>
  <c r="Q26" i="58"/>
  <c r="U26" i="58"/>
  <c r="V26" i="58"/>
  <c r="W26" i="58"/>
  <c r="X26" i="58"/>
  <c r="Y26" i="58"/>
  <c r="Z26" i="58"/>
  <c r="AA26" i="58"/>
  <c r="AB26" i="58"/>
  <c r="AC26" i="58"/>
  <c r="AD26" i="58"/>
  <c r="AE26" i="58"/>
  <c r="AF26" i="58"/>
  <c r="AG26" i="58"/>
  <c r="D27" i="58"/>
  <c r="O27" i="58"/>
  <c r="P27" i="58"/>
  <c r="Q27" i="58"/>
  <c r="U27" i="58"/>
  <c r="V27" i="58"/>
  <c r="W27" i="58"/>
  <c r="X27" i="58"/>
  <c r="Y27" i="58"/>
  <c r="Z27" i="58"/>
  <c r="AA27" i="58"/>
  <c r="AB27" i="58"/>
  <c r="AC27" i="58"/>
  <c r="AD27" i="58"/>
  <c r="AE27" i="58"/>
  <c r="AF27" i="58"/>
  <c r="AG27" i="58"/>
  <c r="D28" i="58"/>
  <c r="O28" i="58"/>
  <c r="P28" i="58"/>
  <c r="Q28" i="58"/>
  <c r="U28" i="58"/>
  <c r="V28" i="58"/>
  <c r="W28" i="58"/>
  <c r="X28" i="58"/>
  <c r="Y28" i="58"/>
  <c r="Z28" i="58"/>
  <c r="AA28" i="58"/>
  <c r="AB28" i="58"/>
  <c r="AC28" i="58"/>
  <c r="AD28" i="58"/>
  <c r="AE28" i="58"/>
  <c r="AF28" i="58"/>
  <c r="AG28" i="58"/>
  <c r="D29" i="58"/>
  <c r="O29" i="58"/>
  <c r="P29" i="58"/>
  <c r="Q29" i="58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D30" i="58"/>
  <c r="O30" i="58"/>
  <c r="P30" i="58"/>
  <c r="Q30" i="58"/>
  <c r="U30" i="58"/>
  <c r="V30" i="58"/>
  <c r="W30" i="58"/>
  <c r="X30" i="58"/>
  <c r="Y30" i="58"/>
  <c r="Z30" i="58"/>
  <c r="AA30" i="58"/>
  <c r="AB30" i="58"/>
  <c r="AC30" i="58"/>
  <c r="AD30" i="58"/>
  <c r="AE30" i="58"/>
  <c r="AF30" i="58"/>
  <c r="AG30" i="58"/>
  <c r="D31" i="58"/>
  <c r="O31" i="58"/>
  <c r="P31" i="58"/>
  <c r="Q31" i="58"/>
  <c r="U31" i="58"/>
  <c r="V31" i="58"/>
  <c r="W31" i="58"/>
  <c r="X31" i="58"/>
  <c r="Y31" i="58"/>
  <c r="Z31" i="58"/>
  <c r="AA31" i="58"/>
  <c r="AB31" i="58"/>
  <c r="AC31" i="58"/>
  <c r="AD31" i="58"/>
  <c r="AE31" i="58"/>
  <c r="AF31" i="58"/>
  <c r="AG31" i="58"/>
  <c r="D32" i="58"/>
  <c r="O32" i="58"/>
  <c r="P32" i="58"/>
  <c r="Q32" i="58"/>
  <c r="U32" i="58"/>
  <c r="V32" i="58"/>
  <c r="W32" i="58"/>
  <c r="X32" i="58"/>
  <c r="Y32" i="58"/>
  <c r="Z32" i="58"/>
  <c r="AA32" i="58"/>
  <c r="AB32" i="58"/>
  <c r="AC32" i="58"/>
  <c r="AD32" i="58"/>
  <c r="AE32" i="58"/>
  <c r="AF32" i="58"/>
  <c r="AG32" i="58"/>
  <c r="D33" i="58"/>
  <c r="O33" i="58"/>
  <c r="P33" i="58"/>
  <c r="Q33" i="58"/>
  <c r="U33" i="58"/>
  <c r="V33" i="58"/>
  <c r="W33" i="58"/>
  <c r="X33" i="58"/>
  <c r="Y33" i="58"/>
  <c r="Z33" i="58"/>
  <c r="AA33" i="58"/>
  <c r="AB33" i="58"/>
  <c r="AC33" i="58"/>
  <c r="AD33" i="58"/>
  <c r="AE33" i="58"/>
  <c r="AF33" i="58"/>
  <c r="AG33" i="58"/>
  <c r="D34" i="58"/>
  <c r="O34" i="58"/>
  <c r="P34" i="58"/>
  <c r="Q34" i="58"/>
  <c r="U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D35" i="58"/>
  <c r="O35" i="58"/>
  <c r="P35" i="58"/>
  <c r="Q35" i="58"/>
  <c r="U35" i="58"/>
  <c r="V35" i="58"/>
  <c r="W35" i="58"/>
  <c r="X35" i="58"/>
  <c r="Y35" i="58"/>
  <c r="Z35" i="58"/>
  <c r="AA35" i="58"/>
  <c r="AB35" i="58"/>
  <c r="AC35" i="58"/>
  <c r="AD35" i="58"/>
  <c r="AE35" i="58"/>
  <c r="AF35" i="58"/>
  <c r="AG35" i="58"/>
  <c r="D36" i="58"/>
  <c r="O36" i="58"/>
  <c r="P36" i="58"/>
  <c r="Q36" i="58"/>
  <c r="U36" i="58"/>
  <c r="V36" i="58"/>
  <c r="W36" i="58"/>
  <c r="X36" i="58"/>
  <c r="Y36" i="58"/>
  <c r="Z36" i="58"/>
  <c r="AA36" i="58"/>
  <c r="AB36" i="58"/>
  <c r="AC36" i="58"/>
  <c r="AD36" i="58"/>
  <c r="AE36" i="58"/>
  <c r="AF36" i="58"/>
  <c r="AG36" i="58"/>
  <c r="D37" i="58"/>
  <c r="O37" i="58"/>
  <c r="P37" i="58"/>
  <c r="Q37" i="58"/>
  <c r="U37" i="58"/>
  <c r="V37" i="58"/>
  <c r="W37" i="58"/>
  <c r="X37" i="58"/>
  <c r="Y37" i="58"/>
  <c r="Z37" i="58"/>
  <c r="AA37" i="58"/>
  <c r="AB37" i="58"/>
  <c r="AC37" i="58"/>
  <c r="AD37" i="58"/>
  <c r="AE37" i="58"/>
  <c r="AF37" i="58"/>
  <c r="AG37" i="58"/>
  <c r="D38" i="58"/>
  <c r="O38" i="58"/>
  <c r="P38" i="58"/>
  <c r="Q38" i="58"/>
  <c r="U38" i="58"/>
  <c r="V38" i="58"/>
  <c r="W38" i="58"/>
  <c r="X38" i="58"/>
  <c r="Y38" i="58"/>
  <c r="Z38" i="58"/>
  <c r="AA38" i="58"/>
  <c r="AB38" i="58"/>
  <c r="AC38" i="58"/>
  <c r="AD38" i="58"/>
  <c r="AE38" i="58"/>
  <c r="AF38" i="58"/>
  <c r="AG38" i="58"/>
  <c r="D39" i="58"/>
  <c r="O39" i="58"/>
  <c r="P39" i="58"/>
  <c r="Q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D40" i="58"/>
  <c r="O40" i="58"/>
  <c r="P40" i="58"/>
  <c r="Q40" i="58"/>
  <c r="U40" i="58"/>
  <c r="V40" i="58"/>
  <c r="W40" i="58"/>
  <c r="X40" i="58"/>
  <c r="Y40" i="58"/>
  <c r="Z40" i="58"/>
  <c r="AA40" i="58"/>
  <c r="AB40" i="58"/>
  <c r="AC40" i="58"/>
  <c r="AD40" i="58"/>
  <c r="AE40" i="58"/>
  <c r="AF40" i="58"/>
  <c r="AG40" i="58"/>
  <c r="D41" i="58"/>
  <c r="O41" i="58"/>
  <c r="P41" i="58"/>
  <c r="Q41" i="58"/>
  <c r="U41" i="58"/>
  <c r="V41" i="58"/>
  <c r="W41" i="58"/>
  <c r="X41" i="58"/>
  <c r="Y41" i="58"/>
  <c r="Z41" i="58"/>
  <c r="AA41" i="58"/>
  <c r="AB41" i="58"/>
  <c r="AC41" i="58"/>
  <c r="AD41" i="58"/>
  <c r="AE41" i="58"/>
  <c r="AF41" i="58"/>
  <c r="AG41" i="58"/>
  <c r="M26" i="46"/>
  <c r="I26" i="46"/>
  <c r="N26" i="46"/>
  <c r="S26" i="46"/>
  <c r="M25" i="46"/>
  <c r="I25" i="46"/>
  <c r="N25" i="46"/>
  <c r="S25" i="46"/>
  <c r="M24" i="46"/>
  <c r="I24" i="46"/>
  <c r="N24" i="46"/>
  <c r="S24" i="46"/>
  <c r="M23" i="46"/>
  <c r="I23" i="46"/>
  <c r="N23" i="46"/>
  <c r="S23" i="46"/>
  <c r="M22" i="46"/>
  <c r="I22" i="46"/>
  <c r="N22" i="46"/>
  <c r="S22" i="46"/>
  <c r="M21" i="46"/>
  <c r="I21" i="46"/>
  <c r="N21" i="46"/>
  <c r="S21" i="46"/>
  <c r="M20" i="46"/>
  <c r="I20" i="46"/>
  <c r="N20" i="46"/>
  <c r="S20" i="46"/>
  <c r="M19" i="46"/>
  <c r="I19" i="46"/>
  <c r="N19" i="46"/>
  <c r="S19" i="46"/>
  <c r="M18" i="46"/>
  <c r="I18" i="46"/>
  <c r="N18" i="46"/>
  <c r="S18" i="46"/>
  <c r="M17" i="46"/>
  <c r="I17" i="46"/>
  <c r="N17" i="46"/>
  <c r="S17" i="46"/>
  <c r="R26" i="46"/>
  <c r="R25" i="46"/>
  <c r="R24" i="46"/>
  <c r="R23" i="46"/>
  <c r="R22" i="46"/>
  <c r="R21" i="46"/>
  <c r="R20" i="46"/>
  <c r="R19" i="46"/>
  <c r="R18" i="46"/>
  <c r="R17" i="46"/>
  <c r="T26" i="46"/>
  <c r="T25" i="46"/>
  <c r="T24" i="46"/>
  <c r="T23" i="46"/>
  <c r="T22" i="46"/>
  <c r="T21" i="46"/>
  <c r="T20" i="46"/>
  <c r="T19" i="46"/>
  <c r="T18" i="46"/>
  <c r="T17" i="46"/>
  <c r="D17" i="46"/>
  <c r="O17" i="46"/>
  <c r="P17" i="46"/>
  <c r="Q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D18" i="46"/>
  <c r="O18" i="46"/>
  <c r="P18" i="46"/>
  <c r="Q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D19" i="46"/>
  <c r="O19" i="46"/>
  <c r="P19" i="46"/>
  <c r="Q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D20" i="46"/>
  <c r="O20" i="46"/>
  <c r="P20" i="46"/>
  <c r="Q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D21" i="46"/>
  <c r="O21" i="46"/>
  <c r="P21" i="46"/>
  <c r="Q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D22" i="46"/>
  <c r="O22" i="46"/>
  <c r="P22" i="46"/>
  <c r="Q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D23" i="46"/>
  <c r="O23" i="46"/>
  <c r="P23" i="46"/>
  <c r="Q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D24" i="46"/>
  <c r="O24" i="46"/>
  <c r="P24" i="46"/>
  <c r="Q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D25" i="46"/>
  <c r="O25" i="46"/>
  <c r="P25" i="46"/>
  <c r="Q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D26" i="46"/>
  <c r="O26" i="46"/>
  <c r="P26" i="46"/>
  <c r="Q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M31" i="47"/>
  <c r="I31" i="47"/>
  <c r="N31" i="47"/>
  <c r="S31" i="47"/>
  <c r="M30" i="47"/>
  <c r="I30" i="47"/>
  <c r="N30" i="47"/>
  <c r="S30" i="47"/>
  <c r="M29" i="47"/>
  <c r="I29" i="47"/>
  <c r="N29" i="47"/>
  <c r="S29" i="47"/>
  <c r="M28" i="47"/>
  <c r="I28" i="47"/>
  <c r="N28" i="47"/>
  <c r="S28" i="47"/>
  <c r="M27" i="47"/>
  <c r="I27" i="47"/>
  <c r="N27" i="47"/>
  <c r="S27" i="47"/>
  <c r="M26" i="47"/>
  <c r="I26" i="47"/>
  <c r="N26" i="47"/>
  <c r="S26" i="47"/>
  <c r="M25" i="47"/>
  <c r="I25" i="47"/>
  <c r="N25" i="47"/>
  <c r="S25" i="47"/>
  <c r="M24" i="47"/>
  <c r="I24" i="47"/>
  <c r="N24" i="47"/>
  <c r="S24" i="47"/>
  <c r="M23" i="47"/>
  <c r="I23" i="47"/>
  <c r="N23" i="47"/>
  <c r="S23" i="47"/>
  <c r="M22" i="47"/>
  <c r="I22" i="47"/>
  <c r="N22" i="47"/>
  <c r="S22" i="47"/>
  <c r="M21" i="47"/>
  <c r="I21" i="47"/>
  <c r="N21" i="47"/>
  <c r="S21" i="47"/>
  <c r="M20" i="47"/>
  <c r="I20" i="47"/>
  <c r="N20" i="47"/>
  <c r="S20" i="47"/>
  <c r="M19" i="47"/>
  <c r="I19" i="47"/>
  <c r="N19" i="47"/>
  <c r="S19" i="47"/>
  <c r="M18" i="47"/>
  <c r="I18" i="47"/>
  <c r="N18" i="47"/>
  <c r="S18" i="47"/>
  <c r="M17" i="47"/>
  <c r="I17" i="47"/>
  <c r="N17" i="47"/>
  <c r="S17" i="47"/>
  <c r="R31" i="47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T31" i="47"/>
  <c r="T30" i="47"/>
  <c r="T29" i="47"/>
  <c r="T28" i="47"/>
  <c r="T27" i="47"/>
  <c r="T26" i="47"/>
  <c r="T25" i="47"/>
  <c r="T24" i="47"/>
  <c r="T23" i="47"/>
  <c r="T22" i="47"/>
  <c r="T21" i="47"/>
  <c r="T20" i="47"/>
  <c r="T19" i="47"/>
  <c r="T18" i="47"/>
  <c r="T17" i="47"/>
  <c r="D17" i="47"/>
  <c r="O17" i="47"/>
  <c r="P17" i="47"/>
  <c r="Q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D18" i="47"/>
  <c r="O18" i="47"/>
  <c r="P18" i="47"/>
  <c r="Q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D19" i="47"/>
  <c r="O19" i="47"/>
  <c r="P19" i="47"/>
  <c r="Q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D20" i="47"/>
  <c r="O20" i="47"/>
  <c r="P20" i="47"/>
  <c r="Q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D21" i="47"/>
  <c r="O21" i="47"/>
  <c r="P21" i="47"/>
  <c r="Q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D22" i="47"/>
  <c r="O22" i="47"/>
  <c r="P22" i="47"/>
  <c r="Q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D23" i="47"/>
  <c r="O23" i="47"/>
  <c r="P23" i="47"/>
  <c r="Q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D24" i="47"/>
  <c r="O24" i="47"/>
  <c r="P24" i="47"/>
  <c r="Q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D25" i="47"/>
  <c r="O25" i="47"/>
  <c r="P25" i="47"/>
  <c r="Q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D26" i="47"/>
  <c r="O26" i="47"/>
  <c r="P26" i="47"/>
  <c r="Q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D27" i="47"/>
  <c r="O27" i="47"/>
  <c r="P27" i="47"/>
  <c r="Q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D28" i="47"/>
  <c r="O28" i="47"/>
  <c r="P28" i="47"/>
  <c r="Q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D29" i="47"/>
  <c r="O29" i="47"/>
  <c r="P29" i="47"/>
  <c r="Q29" i="47"/>
  <c r="U29" i="47"/>
  <c r="V29" i="47"/>
  <c r="W29" i="47"/>
  <c r="X29" i="47"/>
  <c r="Y29" i="47"/>
  <c r="Z29" i="47"/>
  <c r="AA29" i="47"/>
  <c r="AB29" i="47"/>
  <c r="AC29" i="47"/>
  <c r="AD29" i="47"/>
  <c r="AE29" i="47"/>
  <c r="AF29" i="47"/>
  <c r="AG29" i="47"/>
  <c r="D30" i="47"/>
  <c r="O30" i="47"/>
  <c r="P30" i="47"/>
  <c r="Q30" i="47"/>
  <c r="U30" i="47"/>
  <c r="V30" i="47"/>
  <c r="W30" i="47"/>
  <c r="X30" i="47"/>
  <c r="Y30" i="47"/>
  <c r="Z30" i="47"/>
  <c r="AA30" i="47"/>
  <c r="AB30" i="47"/>
  <c r="AC30" i="47"/>
  <c r="AD30" i="47"/>
  <c r="AE30" i="47"/>
  <c r="AF30" i="47"/>
  <c r="AG30" i="47"/>
  <c r="D31" i="47"/>
  <c r="O31" i="47"/>
  <c r="P31" i="47"/>
  <c r="Q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M38" i="48"/>
  <c r="I38" i="48"/>
  <c r="N38" i="48"/>
  <c r="S38" i="48"/>
  <c r="M37" i="48"/>
  <c r="I37" i="48"/>
  <c r="N37" i="48"/>
  <c r="S37" i="48"/>
  <c r="M36" i="48"/>
  <c r="I36" i="48"/>
  <c r="N36" i="48"/>
  <c r="S36" i="48"/>
  <c r="M35" i="48"/>
  <c r="I35" i="48"/>
  <c r="N35" i="48"/>
  <c r="S35" i="48"/>
  <c r="M34" i="48"/>
  <c r="I34" i="48"/>
  <c r="N34" i="48"/>
  <c r="S34" i="48"/>
  <c r="M33" i="48"/>
  <c r="I33" i="48"/>
  <c r="N33" i="48"/>
  <c r="S33" i="48"/>
  <c r="M32" i="48"/>
  <c r="I32" i="48"/>
  <c r="N32" i="48"/>
  <c r="S32" i="48"/>
  <c r="M31" i="48"/>
  <c r="I31" i="48"/>
  <c r="N31" i="48"/>
  <c r="S31" i="48"/>
  <c r="M30" i="48"/>
  <c r="I30" i="48"/>
  <c r="N30" i="48"/>
  <c r="S30" i="48"/>
  <c r="M29" i="48"/>
  <c r="I29" i="48"/>
  <c r="N29" i="48"/>
  <c r="S29" i="48"/>
  <c r="M28" i="48"/>
  <c r="I28" i="48"/>
  <c r="N28" i="48"/>
  <c r="S28" i="48"/>
  <c r="M27" i="48"/>
  <c r="I27" i="48"/>
  <c r="N27" i="48"/>
  <c r="S27" i="48"/>
  <c r="M26" i="48"/>
  <c r="I26" i="48"/>
  <c r="N26" i="48"/>
  <c r="S26" i="48"/>
  <c r="M25" i="48"/>
  <c r="I25" i="48"/>
  <c r="N25" i="48"/>
  <c r="S25" i="48"/>
  <c r="M24" i="48"/>
  <c r="I24" i="48"/>
  <c r="N24" i="48"/>
  <c r="S24" i="48"/>
  <c r="M23" i="48"/>
  <c r="I23" i="48"/>
  <c r="N23" i="48"/>
  <c r="S23" i="48"/>
  <c r="M22" i="48"/>
  <c r="I22" i="48"/>
  <c r="N22" i="48"/>
  <c r="S22" i="48"/>
  <c r="M21" i="48"/>
  <c r="I21" i="48"/>
  <c r="N21" i="48"/>
  <c r="S21" i="48"/>
  <c r="M20" i="48"/>
  <c r="I20" i="48"/>
  <c r="N20" i="48"/>
  <c r="S20" i="48"/>
  <c r="M19" i="48"/>
  <c r="I19" i="48"/>
  <c r="N19" i="48"/>
  <c r="S19" i="48"/>
  <c r="M18" i="48"/>
  <c r="I18" i="48"/>
  <c r="N18" i="48"/>
  <c r="S18" i="48"/>
  <c r="M17" i="48"/>
  <c r="I17" i="48"/>
  <c r="N17" i="48"/>
  <c r="S17" i="48"/>
  <c r="R38" i="48"/>
  <c r="R37" i="48"/>
  <c r="R36" i="48"/>
  <c r="R35" i="48"/>
  <c r="R34" i="48"/>
  <c r="R33" i="48"/>
  <c r="R32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7" i="48"/>
  <c r="D17" i="48"/>
  <c r="O17" i="48"/>
  <c r="P17" i="48"/>
  <c r="Q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D18" i="48"/>
  <c r="O18" i="48"/>
  <c r="P18" i="48"/>
  <c r="Q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D19" i="48"/>
  <c r="O19" i="48"/>
  <c r="P19" i="48"/>
  <c r="Q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D20" i="48"/>
  <c r="O20" i="48"/>
  <c r="P20" i="48"/>
  <c r="Q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D21" i="48"/>
  <c r="O21" i="48"/>
  <c r="P21" i="48"/>
  <c r="Q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D22" i="48"/>
  <c r="O22" i="48"/>
  <c r="P22" i="48"/>
  <c r="Q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D23" i="48"/>
  <c r="O23" i="48"/>
  <c r="P23" i="48"/>
  <c r="Q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D24" i="48"/>
  <c r="O24" i="48"/>
  <c r="P24" i="48"/>
  <c r="Q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D25" i="48"/>
  <c r="O25" i="48"/>
  <c r="P25" i="48"/>
  <c r="Q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D26" i="48"/>
  <c r="O26" i="48"/>
  <c r="P26" i="48"/>
  <c r="Q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D27" i="48"/>
  <c r="O27" i="48"/>
  <c r="P27" i="48"/>
  <c r="Q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D28" i="48"/>
  <c r="O28" i="48"/>
  <c r="P28" i="48"/>
  <c r="Q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D29" i="48"/>
  <c r="O29" i="48"/>
  <c r="P29" i="48"/>
  <c r="Q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D30" i="48"/>
  <c r="O30" i="48"/>
  <c r="P30" i="48"/>
  <c r="Q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D31" i="48"/>
  <c r="O31" i="48"/>
  <c r="P31" i="48"/>
  <c r="Q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D32" i="48"/>
  <c r="O32" i="48"/>
  <c r="P32" i="48"/>
  <c r="Q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D33" i="48"/>
  <c r="O33" i="48"/>
  <c r="P33" i="48"/>
  <c r="Q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D34" i="48"/>
  <c r="O34" i="48"/>
  <c r="P34" i="48"/>
  <c r="Q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D35" i="48"/>
  <c r="O35" i="48"/>
  <c r="P35" i="48"/>
  <c r="Q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D36" i="48"/>
  <c r="O36" i="48"/>
  <c r="P36" i="48"/>
  <c r="Q36" i="48"/>
  <c r="U36" i="48"/>
  <c r="V36" i="48"/>
  <c r="W36" i="48"/>
  <c r="X36" i="48"/>
  <c r="Y36" i="48"/>
  <c r="Z36" i="48"/>
  <c r="AA36" i="48"/>
  <c r="AB36" i="48"/>
  <c r="AC36" i="48"/>
  <c r="AD36" i="48"/>
  <c r="AE36" i="48"/>
  <c r="AF36" i="48"/>
  <c r="AG36" i="48"/>
  <c r="D37" i="48"/>
  <c r="O37" i="48"/>
  <c r="P37" i="48"/>
  <c r="Q37" i="48"/>
  <c r="U37" i="48"/>
  <c r="V37" i="48"/>
  <c r="W37" i="48"/>
  <c r="X37" i="48"/>
  <c r="Y37" i="48"/>
  <c r="Z37" i="48"/>
  <c r="AA37" i="48"/>
  <c r="AB37" i="48"/>
  <c r="AC37" i="48"/>
  <c r="AD37" i="48"/>
  <c r="AE37" i="48"/>
  <c r="AF37" i="48"/>
  <c r="AG37" i="48"/>
  <c r="D38" i="48"/>
  <c r="O38" i="48"/>
  <c r="P38" i="48"/>
  <c r="Q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M68" i="59"/>
  <c r="I68" i="59"/>
  <c r="N68" i="59"/>
  <c r="S68" i="59"/>
  <c r="M67" i="59"/>
  <c r="I67" i="59"/>
  <c r="N67" i="59"/>
  <c r="S67" i="59"/>
  <c r="M66" i="59"/>
  <c r="I66" i="59"/>
  <c r="N66" i="59"/>
  <c r="S66" i="59"/>
  <c r="M65" i="59"/>
  <c r="I65" i="59"/>
  <c r="N65" i="59"/>
  <c r="S65" i="59"/>
  <c r="M64" i="59"/>
  <c r="I64" i="59"/>
  <c r="N64" i="59"/>
  <c r="S64" i="59"/>
  <c r="M63" i="59"/>
  <c r="I63" i="59"/>
  <c r="N63" i="59"/>
  <c r="S63" i="59"/>
  <c r="M62" i="59"/>
  <c r="I62" i="59"/>
  <c r="N62" i="59"/>
  <c r="S62" i="59"/>
  <c r="M61" i="59"/>
  <c r="I61" i="59"/>
  <c r="N61" i="59"/>
  <c r="S61" i="59"/>
  <c r="M60" i="59"/>
  <c r="I60" i="59"/>
  <c r="N60" i="59"/>
  <c r="S60" i="59"/>
  <c r="M59" i="59"/>
  <c r="I59" i="59"/>
  <c r="N59" i="59"/>
  <c r="S59" i="59"/>
  <c r="M58" i="59"/>
  <c r="I58" i="59"/>
  <c r="N58" i="59"/>
  <c r="S58" i="59"/>
  <c r="M57" i="59"/>
  <c r="I57" i="59"/>
  <c r="N57" i="59"/>
  <c r="S57" i="59"/>
  <c r="M56" i="59"/>
  <c r="I56" i="59"/>
  <c r="N56" i="59"/>
  <c r="S56" i="59"/>
  <c r="M55" i="59"/>
  <c r="I55" i="59"/>
  <c r="N55" i="59"/>
  <c r="S55" i="59"/>
  <c r="M54" i="59"/>
  <c r="I54" i="59"/>
  <c r="N54" i="59"/>
  <c r="S54" i="59"/>
  <c r="M53" i="59"/>
  <c r="I53" i="59"/>
  <c r="N53" i="59"/>
  <c r="S53" i="59"/>
  <c r="M52" i="59"/>
  <c r="I52" i="59"/>
  <c r="N52" i="59"/>
  <c r="S52" i="59"/>
  <c r="M51" i="59"/>
  <c r="I51" i="59"/>
  <c r="N51" i="59"/>
  <c r="S51" i="59"/>
  <c r="M50" i="59"/>
  <c r="I50" i="59"/>
  <c r="N50" i="59"/>
  <c r="S50" i="59"/>
  <c r="M49" i="59"/>
  <c r="I49" i="59"/>
  <c r="N49" i="59"/>
  <c r="S49" i="59"/>
  <c r="M48" i="59"/>
  <c r="I48" i="59"/>
  <c r="N48" i="59"/>
  <c r="S48" i="59"/>
  <c r="M47" i="59"/>
  <c r="I47" i="59"/>
  <c r="N47" i="59"/>
  <c r="S47" i="59"/>
  <c r="M46" i="59"/>
  <c r="I46" i="59"/>
  <c r="N46" i="59"/>
  <c r="S46" i="59"/>
  <c r="M45" i="59"/>
  <c r="I45" i="59"/>
  <c r="N45" i="59"/>
  <c r="S45" i="59"/>
  <c r="M44" i="59"/>
  <c r="I44" i="59"/>
  <c r="N44" i="59"/>
  <c r="S44" i="59"/>
  <c r="M43" i="59"/>
  <c r="I43" i="59"/>
  <c r="N43" i="59"/>
  <c r="S43" i="59"/>
  <c r="M42" i="59"/>
  <c r="I42" i="59"/>
  <c r="N42" i="59"/>
  <c r="S42" i="59"/>
  <c r="M41" i="59"/>
  <c r="I41" i="59"/>
  <c r="N41" i="59"/>
  <c r="S41" i="59"/>
  <c r="M40" i="59"/>
  <c r="I40" i="59"/>
  <c r="N40" i="59"/>
  <c r="S40" i="59"/>
  <c r="M39" i="59"/>
  <c r="I39" i="59"/>
  <c r="N39" i="59"/>
  <c r="S39" i="59"/>
  <c r="M38" i="59"/>
  <c r="I38" i="59"/>
  <c r="N38" i="59"/>
  <c r="S38" i="59"/>
  <c r="M37" i="59"/>
  <c r="I37" i="59"/>
  <c r="N37" i="59"/>
  <c r="S37" i="59"/>
  <c r="M36" i="59"/>
  <c r="I36" i="59"/>
  <c r="N36" i="59"/>
  <c r="S36" i="59"/>
  <c r="M35" i="59"/>
  <c r="I35" i="59"/>
  <c r="N35" i="59"/>
  <c r="S35" i="59"/>
  <c r="M34" i="59"/>
  <c r="I34" i="59"/>
  <c r="N34" i="59"/>
  <c r="S34" i="59"/>
  <c r="M33" i="59"/>
  <c r="I33" i="59"/>
  <c r="N33" i="59"/>
  <c r="S33" i="59"/>
  <c r="M32" i="59"/>
  <c r="I32" i="59"/>
  <c r="N32" i="59"/>
  <c r="S32" i="59"/>
  <c r="M31" i="59"/>
  <c r="I31" i="59"/>
  <c r="N31" i="59"/>
  <c r="S31" i="59"/>
  <c r="M30" i="59"/>
  <c r="I30" i="59"/>
  <c r="N30" i="59"/>
  <c r="S30" i="59"/>
  <c r="M29" i="59"/>
  <c r="I29" i="59"/>
  <c r="N29" i="59"/>
  <c r="S29" i="59"/>
  <c r="M28" i="59"/>
  <c r="I28" i="59"/>
  <c r="N28" i="59"/>
  <c r="S28" i="59"/>
  <c r="M27" i="59"/>
  <c r="I27" i="59"/>
  <c r="N27" i="59"/>
  <c r="S27" i="59"/>
  <c r="M26" i="59"/>
  <c r="I26" i="59"/>
  <c r="N26" i="59"/>
  <c r="S26" i="59"/>
  <c r="M25" i="59"/>
  <c r="I25" i="59"/>
  <c r="N25" i="59"/>
  <c r="S25" i="59"/>
  <c r="M24" i="59"/>
  <c r="I24" i="59"/>
  <c r="N24" i="59"/>
  <c r="S24" i="59"/>
  <c r="M23" i="59"/>
  <c r="I23" i="59"/>
  <c r="N23" i="59"/>
  <c r="S23" i="59"/>
  <c r="M22" i="59"/>
  <c r="I22" i="59"/>
  <c r="N22" i="59"/>
  <c r="S22" i="59"/>
  <c r="M21" i="59"/>
  <c r="I21" i="59"/>
  <c r="N21" i="59"/>
  <c r="S21" i="59"/>
  <c r="M20" i="59"/>
  <c r="I20" i="59"/>
  <c r="N20" i="59"/>
  <c r="S20" i="59"/>
  <c r="M19" i="59"/>
  <c r="I19" i="59"/>
  <c r="N19" i="59"/>
  <c r="S19" i="59"/>
  <c r="M18" i="59"/>
  <c r="I18" i="59"/>
  <c r="N18" i="59"/>
  <c r="S18" i="59"/>
  <c r="M17" i="59"/>
  <c r="I17" i="59"/>
  <c r="N17" i="59"/>
  <c r="S17" i="59"/>
  <c r="R68" i="59"/>
  <c r="R67" i="59"/>
  <c r="R66" i="59"/>
  <c r="R65" i="59"/>
  <c r="R64" i="59"/>
  <c r="R63" i="59"/>
  <c r="R62" i="59"/>
  <c r="R61" i="59"/>
  <c r="R60" i="59"/>
  <c r="R59" i="59"/>
  <c r="R58" i="59"/>
  <c r="R57" i="59"/>
  <c r="R56" i="59"/>
  <c r="R55" i="59"/>
  <c r="R54" i="59"/>
  <c r="R53" i="59"/>
  <c r="R52" i="59"/>
  <c r="R51" i="59"/>
  <c r="R50" i="59"/>
  <c r="R49" i="59"/>
  <c r="R48" i="59"/>
  <c r="R47" i="59"/>
  <c r="R46" i="59"/>
  <c r="R45" i="59"/>
  <c r="R44" i="59"/>
  <c r="R43" i="59"/>
  <c r="R42" i="59"/>
  <c r="R41" i="59"/>
  <c r="R40" i="59"/>
  <c r="R39" i="59"/>
  <c r="R38" i="59"/>
  <c r="R37" i="59"/>
  <c r="R36" i="59"/>
  <c r="R35" i="59"/>
  <c r="R34" i="59"/>
  <c r="R33" i="59"/>
  <c r="R32" i="59"/>
  <c r="R31" i="59"/>
  <c r="R30" i="59"/>
  <c r="R29" i="59"/>
  <c r="R28" i="59"/>
  <c r="R27" i="59"/>
  <c r="R26" i="59"/>
  <c r="R25" i="59"/>
  <c r="R24" i="59"/>
  <c r="R23" i="59"/>
  <c r="R22" i="59"/>
  <c r="R21" i="59"/>
  <c r="R20" i="59"/>
  <c r="R19" i="59"/>
  <c r="R18" i="59"/>
  <c r="R17" i="59"/>
  <c r="T68" i="59"/>
  <c r="T67" i="59"/>
  <c r="T66" i="59"/>
  <c r="T65" i="59"/>
  <c r="T64" i="59"/>
  <c r="T63" i="59"/>
  <c r="T62" i="59"/>
  <c r="T61" i="59"/>
  <c r="T60" i="59"/>
  <c r="T59" i="59"/>
  <c r="T58" i="59"/>
  <c r="T57" i="59"/>
  <c r="T56" i="59"/>
  <c r="T55" i="59"/>
  <c r="T54" i="59"/>
  <c r="T53" i="59"/>
  <c r="T52" i="59"/>
  <c r="T51" i="59"/>
  <c r="T50" i="59"/>
  <c r="T49" i="59"/>
  <c r="T48" i="59"/>
  <c r="T47" i="59"/>
  <c r="T46" i="59"/>
  <c r="T45" i="59"/>
  <c r="T44" i="59"/>
  <c r="T43" i="59"/>
  <c r="T42" i="59"/>
  <c r="T41" i="59"/>
  <c r="T40" i="59"/>
  <c r="T39" i="59"/>
  <c r="T38" i="59"/>
  <c r="T37" i="59"/>
  <c r="T36" i="59"/>
  <c r="T35" i="59"/>
  <c r="T34" i="59"/>
  <c r="T33" i="59"/>
  <c r="T32" i="59"/>
  <c r="T31" i="59"/>
  <c r="T30" i="59"/>
  <c r="T29" i="59"/>
  <c r="T28" i="59"/>
  <c r="T27" i="59"/>
  <c r="T26" i="59"/>
  <c r="T25" i="59"/>
  <c r="T24" i="59"/>
  <c r="T23" i="59"/>
  <c r="T22" i="59"/>
  <c r="T21" i="59"/>
  <c r="T20" i="59"/>
  <c r="T19" i="59"/>
  <c r="T18" i="59"/>
  <c r="T17" i="59"/>
  <c r="D17" i="59"/>
  <c r="O17" i="59"/>
  <c r="P17" i="59"/>
  <c r="Q17" i="59"/>
  <c r="U17" i="59"/>
  <c r="V17" i="59"/>
  <c r="W17" i="59"/>
  <c r="X17" i="59"/>
  <c r="Y17" i="59"/>
  <c r="Z17" i="59"/>
  <c r="AA17" i="59"/>
  <c r="AB17" i="59"/>
  <c r="AC17" i="59"/>
  <c r="AD17" i="59"/>
  <c r="AE17" i="59"/>
  <c r="AF17" i="59"/>
  <c r="AG17" i="59"/>
  <c r="D18" i="59"/>
  <c r="O18" i="59"/>
  <c r="P18" i="59"/>
  <c r="Q18" i="59"/>
  <c r="U18" i="59"/>
  <c r="V18" i="59"/>
  <c r="W18" i="59"/>
  <c r="X18" i="59"/>
  <c r="Y18" i="59"/>
  <c r="Z18" i="59"/>
  <c r="AA18" i="59"/>
  <c r="AB18" i="59"/>
  <c r="AC18" i="59"/>
  <c r="AD18" i="59"/>
  <c r="AE18" i="59"/>
  <c r="AF18" i="59"/>
  <c r="AG18" i="59"/>
  <c r="D19" i="59"/>
  <c r="O19" i="59"/>
  <c r="P19" i="59"/>
  <c r="Q19" i="59"/>
  <c r="U19" i="59"/>
  <c r="V19" i="59"/>
  <c r="W19" i="59"/>
  <c r="X19" i="59"/>
  <c r="Y19" i="59"/>
  <c r="Z19" i="59"/>
  <c r="AA19" i="59"/>
  <c r="AB19" i="59"/>
  <c r="AC19" i="59"/>
  <c r="AD19" i="59"/>
  <c r="AE19" i="59"/>
  <c r="AF19" i="59"/>
  <c r="AG19" i="59"/>
  <c r="D20" i="59"/>
  <c r="O20" i="59"/>
  <c r="P20" i="59"/>
  <c r="Q20" i="59"/>
  <c r="U20" i="59"/>
  <c r="V20" i="59"/>
  <c r="W20" i="59"/>
  <c r="X20" i="59"/>
  <c r="Y20" i="59"/>
  <c r="Z20" i="59"/>
  <c r="AA20" i="59"/>
  <c r="AB20" i="59"/>
  <c r="AC20" i="59"/>
  <c r="AD20" i="59"/>
  <c r="AE20" i="59"/>
  <c r="AF20" i="59"/>
  <c r="AG20" i="59"/>
  <c r="D21" i="59"/>
  <c r="O21" i="59"/>
  <c r="P21" i="59"/>
  <c r="Q21" i="59"/>
  <c r="U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D22" i="59"/>
  <c r="O22" i="59"/>
  <c r="P22" i="59"/>
  <c r="Q22" i="59"/>
  <c r="U22" i="59"/>
  <c r="V22" i="59"/>
  <c r="W22" i="59"/>
  <c r="X22" i="59"/>
  <c r="Y22" i="59"/>
  <c r="Z22" i="59"/>
  <c r="AA22" i="59"/>
  <c r="AB22" i="59"/>
  <c r="AC22" i="59"/>
  <c r="AD22" i="59"/>
  <c r="AE22" i="59"/>
  <c r="AF22" i="59"/>
  <c r="AG22" i="59"/>
  <c r="D23" i="59"/>
  <c r="O23" i="59"/>
  <c r="P23" i="59"/>
  <c r="Q23" i="59"/>
  <c r="U23" i="59"/>
  <c r="V23" i="59"/>
  <c r="W23" i="59"/>
  <c r="X23" i="59"/>
  <c r="Y23" i="59"/>
  <c r="Z23" i="59"/>
  <c r="AA23" i="59"/>
  <c r="AB23" i="59"/>
  <c r="AC23" i="59"/>
  <c r="AD23" i="59"/>
  <c r="AE23" i="59"/>
  <c r="AF23" i="59"/>
  <c r="AG23" i="59"/>
  <c r="D24" i="59"/>
  <c r="O24" i="59"/>
  <c r="P24" i="59"/>
  <c r="Q24" i="59"/>
  <c r="U24" i="59"/>
  <c r="V24" i="59"/>
  <c r="W24" i="59"/>
  <c r="X24" i="59"/>
  <c r="Y24" i="59"/>
  <c r="Z24" i="59"/>
  <c r="AA24" i="59"/>
  <c r="AB24" i="59"/>
  <c r="AC24" i="59"/>
  <c r="AD24" i="59"/>
  <c r="AE24" i="59"/>
  <c r="AF24" i="59"/>
  <c r="AG24" i="59"/>
  <c r="D25" i="59"/>
  <c r="O25" i="59"/>
  <c r="P25" i="59"/>
  <c r="Q25" i="59"/>
  <c r="U25" i="59"/>
  <c r="V25" i="59"/>
  <c r="W25" i="59"/>
  <c r="X25" i="59"/>
  <c r="Y25" i="59"/>
  <c r="Z25" i="59"/>
  <c r="AA25" i="59"/>
  <c r="AB25" i="59"/>
  <c r="AC25" i="59"/>
  <c r="AD25" i="59"/>
  <c r="AE25" i="59"/>
  <c r="AF25" i="59"/>
  <c r="AG25" i="59"/>
  <c r="D26" i="59"/>
  <c r="O26" i="59"/>
  <c r="P26" i="59"/>
  <c r="Q26" i="59"/>
  <c r="U26" i="59"/>
  <c r="V26" i="59"/>
  <c r="W26" i="59"/>
  <c r="X26" i="59"/>
  <c r="Y26" i="59"/>
  <c r="Z26" i="59"/>
  <c r="AA26" i="59"/>
  <c r="AB26" i="59"/>
  <c r="AC26" i="59"/>
  <c r="AD26" i="59"/>
  <c r="AE26" i="59"/>
  <c r="AF26" i="59"/>
  <c r="AG26" i="59"/>
  <c r="D27" i="59"/>
  <c r="O27" i="59"/>
  <c r="P27" i="59"/>
  <c r="Q27" i="59"/>
  <c r="U27" i="59"/>
  <c r="V27" i="59"/>
  <c r="W27" i="59"/>
  <c r="X27" i="59"/>
  <c r="Y27" i="59"/>
  <c r="Z27" i="59"/>
  <c r="AA27" i="59"/>
  <c r="AB27" i="59"/>
  <c r="AC27" i="59"/>
  <c r="AD27" i="59"/>
  <c r="AE27" i="59"/>
  <c r="AF27" i="59"/>
  <c r="AG27" i="59"/>
  <c r="D28" i="59"/>
  <c r="O28" i="59"/>
  <c r="P28" i="59"/>
  <c r="Q28" i="59"/>
  <c r="U28" i="59"/>
  <c r="V28" i="59"/>
  <c r="W28" i="59"/>
  <c r="X28" i="59"/>
  <c r="Y28" i="59"/>
  <c r="Z28" i="59"/>
  <c r="AA28" i="59"/>
  <c r="AB28" i="59"/>
  <c r="AC28" i="59"/>
  <c r="AD28" i="59"/>
  <c r="AE28" i="59"/>
  <c r="AF28" i="59"/>
  <c r="AG28" i="59"/>
  <c r="D29" i="59"/>
  <c r="O29" i="59"/>
  <c r="P29" i="59"/>
  <c r="Q29" i="59"/>
  <c r="U29" i="59"/>
  <c r="V29" i="59"/>
  <c r="W29" i="59"/>
  <c r="X29" i="59"/>
  <c r="Y29" i="59"/>
  <c r="Z29" i="59"/>
  <c r="AA29" i="59"/>
  <c r="AB29" i="59"/>
  <c r="AC29" i="59"/>
  <c r="AD29" i="59"/>
  <c r="AE29" i="59"/>
  <c r="AF29" i="59"/>
  <c r="AG29" i="59"/>
  <c r="D30" i="59"/>
  <c r="O30" i="59"/>
  <c r="P30" i="59"/>
  <c r="Q30" i="59"/>
  <c r="U30" i="59"/>
  <c r="V30" i="59"/>
  <c r="W30" i="59"/>
  <c r="X30" i="59"/>
  <c r="Y30" i="59"/>
  <c r="Z30" i="59"/>
  <c r="AA30" i="59"/>
  <c r="AB30" i="59"/>
  <c r="AC30" i="59"/>
  <c r="AD30" i="59"/>
  <c r="AE30" i="59"/>
  <c r="AF30" i="59"/>
  <c r="AG30" i="59"/>
  <c r="D31" i="59"/>
  <c r="O31" i="59"/>
  <c r="P31" i="59"/>
  <c r="Q31" i="59"/>
  <c r="U31" i="59"/>
  <c r="V31" i="59"/>
  <c r="W31" i="59"/>
  <c r="X31" i="59"/>
  <c r="Y31" i="59"/>
  <c r="Z31" i="59"/>
  <c r="AA31" i="59"/>
  <c r="AB31" i="59"/>
  <c r="AC31" i="59"/>
  <c r="AD31" i="59"/>
  <c r="AE31" i="59"/>
  <c r="AF31" i="59"/>
  <c r="AG31" i="59"/>
  <c r="D32" i="59"/>
  <c r="O32" i="59"/>
  <c r="P32" i="59"/>
  <c r="Q32" i="59"/>
  <c r="U32" i="59"/>
  <c r="V32" i="59"/>
  <c r="W32" i="59"/>
  <c r="X32" i="59"/>
  <c r="Y32" i="59"/>
  <c r="Z32" i="59"/>
  <c r="AA32" i="59"/>
  <c r="AB32" i="59"/>
  <c r="AC32" i="59"/>
  <c r="AD32" i="59"/>
  <c r="AE32" i="59"/>
  <c r="AF32" i="59"/>
  <c r="AG32" i="59"/>
  <c r="D33" i="59"/>
  <c r="O33" i="59"/>
  <c r="P33" i="59"/>
  <c r="Q33" i="59"/>
  <c r="U33" i="59"/>
  <c r="V33" i="59"/>
  <c r="W33" i="59"/>
  <c r="X33" i="59"/>
  <c r="Y33" i="59"/>
  <c r="Z33" i="59"/>
  <c r="AA33" i="59"/>
  <c r="AB33" i="59"/>
  <c r="AC33" i="59"/>
  <c r="AD33" i="59"/>
  <c r="AE33" i="59"/>
  <c r="AF33" i="59"/>
  <c r="AG33" i="59"/>
  <c r="D34" i="59"/>
  <c r="O34" i="59"/>
  <c r="P34" i="59"/>
  <c r="Q34" i="59"/>
  <c r="U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D35" i="59"/>
  <c r="O35" i="59"/>
  <c r="P35" i="59"/>
  <c r="Q35" i="59"/>
  <c r="U35" i="59"/>
  <c r="V35" i="59"/>
  <c r="W35" i="59"/>
  <c r="X35" i="59"/>
  <c r="Y35" i="59"/>
  <c r="Z35" i="59"/>
  <c r="AA35" i="59"/>
  <c r="AB35" i="59"/>
  <c r="AC35" i="59"/>
  <c r="AD35" i="59"/>
  <c r="AE35" i="59"/>
  <c r="AF35" i="59"/>
  <c r="AG35" i="59"/>
  <c r="D36" i="59"/>
  <c r="O36" i="59"/>
  <c r="P36" i="59"/>
  <c r="Q36" i="59"/>
  <c r="U36" i="59"/>
  <c r="V36" i="59"/>
  <c r="W36" i="59"/>
  <c r="X36" i="59"/>
  <c r="Y36" i="59"/>
  <c r="Z36" i="59"/>
  <c r="AA36" i="59"/>
  <c r="AB36" i="59"/>
  <c r="AC36" i="59"/>
  <c r="AD36" i="59"/>
  <c r="AE36" i="59"/>
  <c r="AF36" i="59"/>
  <c r="AG36" i="59"/>
  <c r="D37" i="59"/>
  <c r="O37" i="59"/>
  <c r="P37" i="59"/>
  <c r="Q37" i="59"/>
  <c r="U37" i="59"/>
  <c r="V37" i="59"/>
  <c r="W37" i="59"/>
  <c r="X37" i="59"/>
  <c r="Y37" i="59"/>
  <c r="Z37" i="59"/>
  <c r="AA37" i="59"/>
  <c r="AB37" i="59"/>
  <c r="AC37" i="59"/>
  <c r="AD37" i="59"/>
  <c r="AE37" i="59"/>
  <c r="AF37" i="59"/>
  <c r="AG37" i="59"/>
  <c r="D38" i="59"/>
  <c r="O38" i="59"/>
  <c r="P38" i="59"/>
  <c r="Q38" i="59"/>
  <c r="U38" i="59"/>
  <c r="V38" i="59"/>
  <c r="W38" i="59"/>
  <c r="X38" i="59"/>
  <c r="Y38" i="59"/>
  <c r="Z38" i="59"/>
  <c r="AA38" i="59"/>
  <c r="AB38" i="59"/>
  <c r="AC38" i="59"/>
  <c r="AD38" i="59"/>
  <c r="AE38" i="59"/>
  <c r="AF38" i="59"/>
  <c r="AG38" i="59"/>
  <c r="D39" i="59"/>
  <c r="O39" i="59"/>
  <c r="P39" i="59"/>
  <c r="Q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D40" i="59"/>
  <c r="O40" i="59"/>
  <c r="P40" i="59"/>
  <c r="Q40" i="59"/>
  <c r="U40" i="59"/>
  <c r="V40" i="59"/>
  <c r="W40" i="59"/>
  <c r="X40" i="59"/>
  <c r="Y40" i="59"/>
  <c r="Z40" i="59"/>
  <c r="AA40" i="59"/>
  <c r="AB40" i="59"/>
  <c r="AC40" i="59"/>
  <c r="AD40" i="59"/>
  <c r="AE40" i="59"/>
  <c r="AF40" i="59"/>
  <c r="AG40" i="59"/>
  <c r="D41" i="59"/>
  <c r="O41" i="59"/>
  <c r="P41" i="59"/>
  <c r="Q41" i="59"/>
  <c r="U41" i="59"/>
  <c r="V41" i="59"/>
  <c r="W41" i="59"/>
  <c r="X41" i="59"/>
  <c r="Y41" i="59"/>
  <c r="Z41" i="59"/>
  <c r="AA41" i="59"/>
  <c r="AB41" i="59"/>
  <c r="AC41" i="59"/>
  <c r="AD41" i="59"/>
  <c r="AE41" i="59"/>
  <c r="AF41" i="59"/>
  <c r="AG41" i="59"/>
  <c r="D42" i="59"/>
  <c r="O42" i="59"/>
  <c r="P42" i="59"/>
  <c r="Q42" i="59"/>
  <c r="U42" i="59"/>
  <c r="V42" i="59"/>
  <c r="W42" i="59"/>
  <c r="X42" i="59"/>
  <c r="Y42" i="59"/>
  <c r="Z42" i="59"/>
  <c r="AA42" i="59"/>
  <c r="AB42" i="59"/>
  <c r="AC42" i="59"/>
  <c r="AD42" i="59"/>
  <c r="AE42" i="59"/>
  <c r="AF42" i="59"/>
  <c r="AG42" i="59"/>
  <c r="D43" i="59"/>
  <c r="O43" i="59"/>
  <c r="P43" i="59"/>
  <c r="Q43" i="59"/>
  <c r="U43" i="59"/>
  <c r="V43" i="59"/>
  <c r="W43" i="59"/>
  <c r="X43" i="59"/>
  <c r="Y43" i="59"/>
  <c r="Z43" i="59"/>
  <c r="AA43" i="59"/>
  <c r="AB43" i="59"/>
  <c r="AC43" i="59"/>
  <c r="AD43" i="59"/>
  <c r="AE43" i="59"/>
  <c r="AF43" i="59"/>
  <c r="AG43" i="59"/>
  <c r="D44" i="59"/>
  <c r="O44" i="59"/>
  <c r="P44" i="59"/>
  <c r="Q44" i="59"/>
  <c r="U44" i="59"/>
  <c r="V44" i="59"/>
  <c r="W44" i="59"/>
  <c r="X44" i="59"/>
  <c r="Y44" i="59"/>
  <c r="Z44" i="59"/>
  <c r="AA44" i="59"/>
  <c r="AB44" i="59"/>
  <c r="AC44" i="59"/>
  <c r="AD44" i="59"/>
  <c r="AE44" i="59"/>
  <c r="AF44" i="59"/>
  <c r="AG44" i="59"/>
  <c r="D45" i="59"/>
  <c r="O45" i="59"/>
  <c r="P45" i="59"/>
  <c r="Q45" i="59"/>
  <c r="U45" i="59"/>
  <c r="V45" i="59"/>
  <c r="W45" i="59"/>
  <c r="X45" i="59"/>
  <c r="Y45" i="59"/>
  <c r="Z45" i="59"/>
  <c r="AA45" i="59"/>
  <c r="AB45" i="59"/>
  <c r="AC45" i="59"/>
  <c r="AD45" i="59"/>
  <c r="AE45" i="59"/>
  <c r="AF45" i="59"/>
  <c r="AG45" i="59"/>
  <c r="D46" i="59"/>
  <c r="O46" i="59"/>
  <c r="P46" i="59"/>
  <c r="Q46" i="59"/>
  <c r="U46" i="59"/>
  <c r="V46" i="59"/>
  <c r="W46" i="59"/>
  <c r="X46" i="59"/>
  <c r="Y46" i="59"/>
  <c r="Z46" i="59"/>
  <c r="AA46" i="59"/>
  <c r="AB46" i="59"/>
  <c r="AC46" i="59"/>
  <c r="AD46" i="59"/>
  <c r="AE46" i="59"/>
  <c r="AF46" i="59"/>
  <c r="AG46" i="59"/>
  <c r="D47" i="59"/>
  <c r="O47" i="59"/>
  <c r="P47" i="59"/>
  <c r="Q47" i="59"/>
  <c r="U47" i="59"/>
  <c r="V47" i="59"/>
  <c r="W47" i="59"/>
  <c r="X47" i="59"/>
  <c r="Y47" i="59"/>
  <c r="Z47" i="59"/>
  <c r="AA47" i="59"/>
  <c r="AB47" i="59"/>
  <c r="AC47" i="59"/>
  <c r="AD47" i="59"/>
  <c r="AE47" i="59"/>
  <c r="AF47" i="59"/>
  <c r="AG47" i="59"/>
  <c r="D48" i="59"/>
  <c r="O48" i="59"/>
  <c r="P48" i="59"/>
  <c r="Q48" i="59"/>
  <c r="U48" i="59"/>
  <c r="V48" i="59"/>
  <c r="W48" i="59"/>
  <c r="X48" i="59"/>
  <c r="Y48" i="59"/>
  <c r="Z48" i="59"/>
  <c r="AA48" i="59"/>
  <c r="AB48" i="59"/>
  <c r="AC48" i="59"/>
  <c r="AD48" i="59"/>
  <c r="AE48" i="59"/>
  <c r="AF48" i="59"/>
  <c r="AG48" i="59"/>
  <c r="D49" i="59"/>
  <c r="O49" i="59"/>
  <c r="P49" i="59"/>
  <c r="Q49" i="59"/>
  <c r="U49" i="59"/>
  <c r="V49" i="59"/>
  <c r="W49" i="59"/>
  <c r="X49" i="59"/>
  <c r="Y49" i="59"/>
  <c r="Z49" i="59"/>
  <c r="AA49" i="59"/>
  <c r="AB49" i="59"/>
  <c r="AC49" i="59"/>
  <c r="AD49" i="59"/>
  <c r="AE49" i="59"/>
  <c r="AF49" i="59"/>
  <c r="AG49" i="59"/>
  <c r="D50" i="59"/>
  <c r="O50" i="59"/>
  <c r="P50" i="59"/>
  <c r="Q50" i="59"/>
  <c r="U50" i="59"/>
  <c r="V50" i="59"/>
  <c r="W50" i="59"/>
  <c r="X50" i="59"/>
  <c r="Y50" i="59"/>
  <c r="Z50" i="59"/>
  <c r="AA50" i="59"/>
  <c r="AB50" i="59"/>
  <c r="AC50" i="59"/>
  <c r="AD50" i="59"/>
  <c r="AE50" i="59"/>
  <c r="AF50" i="59"/>
  <c r="AG50" i="59"/>
  <c r="D51" i="59"/>
  <c r="O51" i="59"/>
  <c r="P51" i="59"/>
  <c r="Q51" i="59"/>
  <c r="U51" i="59"/>
  <c r="V51" i="59"/>
  <c r="W51" i="59"/>
  <c r="X51" i="59"/>
  <c r="Y51" i="59"/>
  <c r="Z51" i="59"/>
  <c r="AA51" i="59"/>
  <c r="AB51" i="59"/>
  <c r="AC51" i="59"/>
  <c r="AD51" i="59"/>
  <c r="AE51" i="59"/>
  <c r="AF51" i="59"/>
  <c r="AG51" i="59"/>
  <c r="D52" i="59"/>
  <c r="O52" i="59"/>
  <c r="P52" i="59"/>
  <c r="Q52" i="59"/>
  <c r="U52" i="59"/>
  <c r="V52" i="59"/>
  <c r="W52" i="59"/>
  <c r="X52" i="59"/>
  <c r="Y52" i="59"/>
  <c r="Z52" i="59"/>
  <c r="AA52" i="59"/>
  <c r="AB52" i="59"/>
  <c r="AC52" i="59"/>
  <c r="AD52" i="59"/>
  <c r="AE52" i="59"/>
  <c r="AF52" i="59"/>
  <c r="AG52" i="59"/>
  <c r="D53" i="59"/>
  <c r="O53" i="59"/>
  <c r="P53" i="59"/>
  <c r="Q53" i="59"/>
  <c r="U53" i="59"/>
  <c r="V53" i="59"/>
  <c r="W53" i="59"/>
  <c r="X53" i="59"/>
  <c r="Y53" i="59"/>
  <c r="Z53" i="59"/>
  <c r="AA53" i="59"/>
  <c r="AB53" i="59"/>
  <c r="AC53" i="59"/>
  <c r="AD53" i="59"/>
  <c r="AE53" i="59"/>
  <c r="AF53" i="59"/>
  <c r="AG53" i="59"/>
  <c r="D54" i="59"/>
  <c r="O54" i="59"/>
  <c r="P54" i="59"/>
  <c r="Q54" i="59"/>
  <c r="U54" i="59"/>
  <c r="V54" i="59"/>
  <c r="W54" i="59"/>
  <c r="X54" i="59"/>
  <c r="Y54" i="59"/>
  <c r="Z54" i="59"/>
  <c r="AA54" i="59"/>
  <c r="AB54" i="59"/>
  <c r="AC54" i="59"/>
  <c r="AD54" i="59"/>
  <c r="AE54" i="59"/>
  <c r="AF54" i="59"/>
  <c r="AG54" i="59"/>
  <c r="D55" i="59"/>
  <c r="O55" i="59"/>
  <c r="P55" i="59"/>
  <c r="Q55" i="59"/>
  <c r="U55" i="59"/>
  <c r="V55" i="59"/>
  <c r="W55" i="59"/>
  <c r="X55" i="59"/>
  <c r="Y55" i="59"/>
  <c r="Z55" i="59"/>
  <c r="AA55" i="59"/>
  <c r="AB55" i="59"/>
  <c r="AC55" i="59"/>
  <c r="AD55" i="59"/>
  <c r="AE55" i="59"/>
  <c r="AF55" i="59"/>
  <c r="AG55" i="59"/>
  <c r="D56" i="59"/>
  <c r="O56" i="59"/>
  <c r="P56" i="59"/>
  <c r="Q56" i="59"/>
  <c r="U56" i="59"/>
  <c r="V56" i="59"/>
  <c r="W56" i="59"/>
  <c r="X56" i="59"/>
  <c r="Y56" i="59"/>
  <c r="Z56" i="59"/>
  <c r="AA56" i="59"/>
  <c r="AB56" i="59"/>
  <c r="AC56" i="59"/>
  <c r="AD56" i="59"/>
  <c r="AE56" i="59"/>
  <c r="AF56" i="59"/>
  <c r="AG56" i="59"/>
  <c r="D57" i="59"/>
  <c r="O57" i="59"/>
  <c r="P57" i="59"/>
  <c r="Q57" i="59"/>
  <c r="U57" i="59"/>
  <c r="V57" i="59"/>
  <c r="W57" i="59"/>
  <c r="X57" i="59"/>
  <c r="Y57" i="59"/>
  <c r="Z57" i="59"/>
  <c r="AA57" i="59"/>
  <c r="AB57" i="59"/>
  <c r="AC57" i="59"/>
  <c r="AD57" i="59"/>
  <c r="AE57" i="59"/>
  <c r="AF57" i="59"/>
  <c r="AG57" i="59"/>
  <c r="D58" i="59"/>
  <c r="O58" i="59"/>
  <c r="P58" i="59"/>
  <c r="Q58" i="59"/>
  <c r="U58" i="59"/>
  <c r="V58" i="59"/>
  <c r="W58" i="59"/>
  <c r="X58" i="59"/>
  <c r="Y58" i="59"/>
  <c r="Z58" i="59"/>
  <c r="AA58" i="59"/>
  <c r="AB58" i="59"/>
  <c r="AC58" i="59"/>
  <c r="AD58" i="59"/>
  <c r="AE58" i="59"/>
  <c r="AF58" i="59"/>
  <c r="AG58" i="59"/>
  <c r="D59" i="59"/>
  <c r="O59" i="59"/>
  <c r="P59" i="59"/>
  <c r="Q59" i="59"/>
  <c r="U59" i="59"/>
  <c r="V59" i="59"/>
  <c r="W59" i="59"/>
  <c r="X59" i="59"/>
  <c r="Y59" i="59"/>
  <c r="Z59" i="59"/>
  <c r="AA59" i="59"/>
  <c r="AB59" i="59"/>
  <c r="AC59" i="59"/>
  <c r="AD59" i="59"/>
  <c r="AE59" i="59"/>
  <c r="AF59" i="59"/>
  <c r="AG59" i="59"/>
  <c r="D60" i="59"/>
  <c r="O60" i="59"/>
  <c r="P60" i="59"/>
  <c r="Q60" i="59"/>
  <c r="U60" i="59"/>
  <c r="V60" i="59"/>
  <c r="W60" i="59"/>
  <c r="X60" i="59"/>
  <c r="Y60" i="59"/>
  <c r="Z60" i="59"/>
  <c r="AA60" i="59"/>
  <c r="AB60" i="59"/>
  <c r="AC60" i="59"/>
  <c r="AD60" i="59"/>
  <c r="AE60" i="59"/>
  <c r="AF60" i="59"/>
  <c r="AG60" i="59"/>
  <c r="D61" i="59"/>
  <c r="O61" i="59"/>
  <c r="P61" i="59"/>
  <c r="Q61" i="59"/>
  <c r="U61" i="59"/>
  <c r="V61" i="59"/>
  <c r="W61" i="59"/>
  <c r="X61" i="59"/>
  <c r="Y61" i="59"/>
  <c r="Z61" i="59"/>
  <c r="AA61" i="59"/>
  <c r="AB61" i="59"/>
  <c r="AC61" i="59"/>
  <c r="AD61" i="59"/>
  <c r="AE61" i="59"/>
  <c r="AF61" i="59"/>
  <c r="AG61" i="59"/>
  <c r="D62" i="59"/>
  <c r="O62" i="59"/>
  <c r="P62" i="59"/>
  <c r="Q62" i="59"/>
  <c r="U62" i="59"/>
  <c r="V62" i="59"/>
  <c r="W62" i="59"/>
  <c r="X62" i="59"/>
  <c r="Y62" i="59"/>
  <c r="Z62" i="59"/>
  <c r="AA62" i="59"/>
  <c r="AB62" i="59"/>
  <c r="AC62" i="59"/>
  <c r="AD62" i="59"/>
  <c r="AE62" i="59"/>
  <c r="AF62" i="59"/>
  <c r="AG62" i="59"/>
  <c r="D63" i="59"/>
  <c r="O63" i="59"/>
  <c r="P63" i="59"/>
  <c r="Q63" i="59"/>
  <c r="U63" i="59"/>
  <c r="V63" i="59"/>
  <c r="W63" i="59"/>
  <c r="X63" i="59"/>
  <c r="Y63" i="59"/>
  <c r="Z63" i="59"/>
  <c r="AA63" i="59"/>
  <c r="AB63" i="59"/>
  <c r="AC63" i="59"/>
  <c r="AD63" i="59"/>
  <c r="AE63" i="59"/>
  <c r="AF63" i="59"/>
  <c r="AG63" i="59"/>
  <c r="D64" i="59"/>
  <c r="O64" i="59"/>
  <c r="P64" i="59"/>
  <c r="Q64" i="59"/>
  <c r="U64" i="59"/>
  <c r="V64" i="59"/>
  <c r="W64" i="59"/>
  <c r="X64" i="59"/>
  <c r="Y64" i="59"/>
  <c r="Z64" i="59"/>
  <c r="AA64" i="59"/>
  <c r="AB64" i="59"/>
  <c r="AC64" i="59"/>
  <c r="AD64" i="59"/>
  <c r="AE64" i="59"/>
  <c r="AF64" i="59"/>
  <c r="AG64" i="59"/>
  <c r="D65" i="59"/>
  <c r="O65" i="59"/>
  <c r="P65" i="59"/>
  <c r="Q65" i="59"/>
  <c r="U65" i="59"/>
  <c r="V65" i="59"/>
  <c r="W65" i="59"/>
  <c r="X65" i="59"/>
  <c r="Y65" i="59"/>
  <c r="Z65" i="59"/>
  <c r="AA65" i="59"/>
  <c r="AB65" i="59"/>
  <c r="AC65" i="59"/>
  <c r="AD65" i="59"/>
  <c r="AE65" i="59"/>
  <c r="AF65" i="59"/>
  <c r="AG65" i="59"/>
  <c r="D66" i="59"/>
  <c r="O66" i="59"/>
  <c r="P66" i="59"/>
  <c r="Q66" i="59"/>
  <c r="U66" i="59"/>
  <c r="V66" i="59"/>
  <c r="W66" i="59"/>
  <c r="X66" i="59"/>
  <c r="Y66" i="59"/>
  <c r="Z66" i="59"/>
  <c r="AA66" i="59"/>
  <c r="AB66" i="59"/>
  <c r="AC66" i="59"/>
  <c r="AD66" i="59"/>
  <c r="AE66" i="59"/>
  <c r="AF66" i="59"/>
  <c r="AG66" i="59"/>
  <c r="D67" i="59"/>
  <c r="O67" i="59"/>
  <c r="P67" i="59"/>
  <c r="Q67" i="59"/>
  <c r="U67" i="59"/>
  <c r="V67" i="59"/>
  <c r="W67" i="59"/>
  <c r="X67" i="59"/>
  <c r="Y67" i="59"/>
  <c r="Z67" i="59"/>
  <c r="AA67" i="59"/>
  <c r="AB67" i="59"/>
  <c r="AC67" i="59"/>
  <c r="AD67" i="59"/>
  <c r="AE67" i="59"/>
  <c r="AF67" i="59"/>
  <c r="AG67" i="59"/>
  <c r="D68" i="59"/>
  <c r="O68" i="59"/>
  <c r="P68" i="59"/>
  <c r="Q68" i="59"/>
  <c r="U68" i="59"/>
  <c r="V68" i="59"/>
  <c r="W68" i="59"/>
  <c r="X68" i="59"/>
  <c r="Y68" i="59"/>
  <c r="Z68" i="59"/>
  <c r="AA68" i="59"/>
  <c r="AB68" i="59"/>
  <c r="AC68" i="59"/>
  <c r="AD68" i="59"/>
  <c r="AE68" i="59"/>
  <c r="AF68" i="59"/>
  <c r="AG68" i="59"/>
  <c r="M42" i="60"/>
  <c r="I42" i="60"/>
  <c r="N42" i="60"/>
  <c r="S42" i="60"/>
  <c r="M41" i="60"/>
  <c r="I41" i="60"/>
  <c r="N41" i="60"/>
  <c r="S41" i="60"/>
  <c r="M40" i="60"/>
  <c r="I40" i="60"/>
  <c r="N40" i="60"/>
  <c r="S40" i="60"/>
  <c r="M39" i="60"/>
  <c r="I39" i="60"/>
  <c r="N39" i="60"/>
  <c r="S39" i="60"/>
  <c r="M38" i="60"/>
  <c r="I38" i="60"/>
  <c r="N38" i="60"/>
  <c r="S38" i="60"/>
  <c r="M37" i="60"/>
  <c r="I37" i="60"/>
  <c r="N37" i="60"/>
  <c r="S37" i="60"/>
  <c r="M36" i="60"/>
  <c r="I36" i="60"/>
  <c r="N36" i="60"/>
  <c r="S36" i="60"/>
  <c r="M35" i="60"/>
  <c r="I35" i="60"/>
  <c r="N35" i="60"/>
  <c r="S35" i="60"/>
  <c r="M34" i="60"/>
  <c r="I34" i="60"/>
  <c r="N34" i="60"/>
  <c r="S34" i="60"/>
  <c r="M33" i="60"/>
  <c r="I33" i="60"/>
  <c r="N33" i="60"/>
  <c r="S33" i="60"/>
  <c r="M32" i="60"/>
  <c r="I32" i="60"/>
  <c r="N32" i="60"/>
  <c r="S32" i="60"/>
  <c r="M31" i="60"/>
  <c r="I31" i="60"/>
  <c r="N31" i="60"/>
  <c r="S31" i="60"/>
  <c r="M30" i="60"/>
  <c r="I30" i="60"/>
  <c r="N30" i="60"/>
  <c r="S30" i="60"/>
  <c r="M29" i="60"/>
  <c r="I29" i="60"/>
  <c r="N29" i="60"/>
  <c r="S29" i="60"/>
  <c r="M28" i="60"/>
  <c r="I28" i="60"/>
  <c r="N28" i="60"/>
  <c r="S28" i="60"/>
  <c r="M27" i="60"/>
  <c r="I27" i="60"/>
  <c r="N27" i="60"/>
  <c r="S27" i="60"/>
  <c r="M26" i="60"/>
  <c r="I26" i="60"/>
  <c r="N26" i="60"/>
  <c r="S26" i="60"/>
  <c r="M25" i="60"/>
  <c r="I25" i="60"/>
  <c r="N25" i="60"/>
  <c r="S25" i="60"/>
  <c r="M24" i="60"/>
  <c r="I24" i="60"/>
  <c r="N24" i="60"/>
  <c r="S24" i="60"/>
  <c r="M23" i="60"/>
  <c r="I23" i="60"/>
  <c r="N23" i="60"/>
  <c r="S23" i="60"/>
  <c r="M22" i="60"/>
  <c r="I22" i="60"/>
  <c r="N22" i="60"/>
  <c r="S22" i="60"/>
  <c r="M21" i="60"/>
  <c r="I21" i="60"/>
  <c r="N21" i="60"/>
  <c r="S21" i="60"/>
  <c r="M20" i="60"/>
  <c r="I20" i="60"/>
  <c r="N20" i="60"/>
  <c r="S20" i="60"/>
  <c r="M19" i="60"/>
  <c r="I19" i="60"/>
  <c r="N19" i="60"/>
  <c r="S19" i="60"/>
  <c r="M18" i="60"/>
  <c r="I18" i="60"/>
  <c r="N18" i="60"/>
  <c r="S18" i="60"/>
  <c r="M17" i="60"/>
  <c r="I17" i="60"/>
  <c r="N17" i="60"/>
  <c r="S17" i="60"/>
  <c r="R42" i="60"/>
  <c r="R41" i="60"/>
  <c r="R40" i="60"/>
  <c r="R39" i="60"/>
  <c r="R38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R24" i="60"/>
  <c r="R23" i="60"/>
  <c r="R22" i="60"/>
  <c r="R21" i="60"/>
  <c r="R20" i="60"/>
  <c r="R19" i="60"/>
  <c r="R18" i="60"/>
  <c r="R17" i="60"/>
  <c r="T42" i="60"/>
  <c r="T41" i="60"/>
  <c r="T40" i="60"/>
  <c r="T39" i="60"/>
  <c r="T38" i="60"/>
  <c r="T37" i="60"/>
  <c r="T36" i="60"/>
  <c r="T35" i="60"/>
  <c r="T34" i="60"/>
  <c r="T33" i="60"/>
  <c r="T32" i="60"/>
  <c r="T31" i="60"/>
  <c r="T30" i="60"/>
  <c r="T29" i="60"/>
  <c r="T28" i="60"/>
  <c r="T27" i="60"/>
  <c r="T26" i="60"/>
  <c r="T25" i="60"/>
  <c r="T24" i="60"/>
  <c r="T23" i="60"/>
  <c r="T22" i="60"/>
  <c r="T21" i="60"/>
  <c r="T20" i="60"/>
  <c r="T19" i="60"/>
  <c r="T18" i="60"/>
  <c r="T17" i="60"/>
  <c r="D17" i="60"/>
  <c r="O17" i="60"/>
  <c r="P17" i="60"/>
  <c r="Q17" i="60"/>
  <c r="U17" i="60"/>
  <c r="V17" i="60"/>
  <c r="W17" i="60"/>
  <c r="X17" i="60"/>
  <c r="Y17" i="60"/>
  <c r="Z17" i="60"/>
  <c r="AA17" i="60"/>
  <c r="AB17" i="60"/>
  <c r="AC17" i="60"/>
  <c r="AD17" i="60"/>
  <c r="AE17" i="60"/>
  <c r="AF17" i="60"/>
  <c r="AG17" i="60"/>
  <c r="D18" i="60"/>
  <c r="O18" i="60"/>
  <c r="P18" i="60"/>
  <c r="Q18" i="60"/>
  <c r="U18" i="60"/>
  <c r="V18" i="60"/>
  <c r="W18" i="60"/>
  <c r="X18" i="60"/>
  <c r="Y18" i="60"/>
  <c r="Z18" i="60"/>
  <c r="AA18" i="60"/>
  <c r="AB18" i="60"/>
  <c r="AC18" i="60"/>
  <c r="AD18" i="60"/>
  <c r="AE18" i="60"/>
  <c r="AF18" i="60"/>
  <c r="AG18" i="60"/>
  <c r="D19" i="60"/>
  <c r="O19" i="60"/>
  <c r="P19" i="60"/>
  <c r="Q19" i="60"/>
  <c r="U19" i="60"/>
  <c r="V19" i="60"/>
  <c r="W19" i="60"/>
  <c r="X19" i="60"/>
  <c r="Y19" i="60"/>
  <c r="Z19" i="60"/>
  <c r="AA19" i="60"/>
  <c r="AB19" i="60"/>
  <c r="AC19" i="60"/>
  <c r="AD19" i="60"/>
  <c r="AE19" i="60"/>
  <c r="AF19" i="60"/>
  <c r="AG19" i="60"/>
  <c r="D20" i="60"/>
  <c r="O20" i="60"/>
  <c r="P20" i="60"/>
  <c r="Q20" i="60"/>
  <c r="U20" i="60"/>
  <c r="V20" i="60"/>
  <c r="W20" i="60"/>
  <c r="X20" i="60"/>
  <c r="Y20" i="60"/>
  <c r="Z20" i="60"/>
  <c r="AA20" i="60"/>
  <c r="AB20" i="60"/>
  <c r="AC20" i="60"/>
  <c r="AD20" i="60"/>
  <c r="AE20" i="60"/>
  <c r="AF20" i="60"/>
  <c r="AG20" i="60"/>
  <c r="D21" i="60"/>
  <c r="O21" i="60"/>
  <c r="P21" i="60"/>
  <c r="Q21" i="60"/>
  <c r="U21" i="60"/>
  <c r="V21" i="60"/>
  <c r="W21" i="60"/>
  <c r="X21" i="60"/>
  <c r="Y21" i="60"/>
  <c r="Z21" i="60"/>
  <c r="AA21" i="60"/>
  <c r="AB21" i="60"/>
  <c r="AC21" i="60"/>
  <c r="AD21" i="60"/>
  <c r="AE21" i="60"/>
  <c r="AF21" i="60"/>
  <c r="AG21" i="60"/>
  <c r="D22" i="60"/>
  <c r="O22" i="60"/>
  <c r="P22" i="60"/>
  <c r="Q22" i="60"/>
  <c r="U22" i="60"/>
  <c r="V22" i="60"/>
  <c r="W22" i="60"/>
  <c r="X22" i="60"/>
  <c r="Y22" i="60"/>
  <c r="Z22" i="60"/>
  <c r="AA22" i="60"/>
  <c r="AB22" i="60"/>
  <c r="AC22" i="60"/>
  <c r="AD22" i="60"/>
  <c r="AE22" i="60"/>
  <c r="AF22" i="60"/>
  <c r="AG22" i="60"/>
  <c r="D23" i="60"/>
  <c r="O23" i="60"/>
  <c r="P23" i="60"/>
  <c r="Q23" i="60"/>
  <c r="U23" i="60"/>
  <c r="V23" i="60"/>
  <c r="W23" i="60"/>
  <c r="X23" i="60"/>
  <c r="Y23" i="60"/>
  <c r="Z23" i="60"/>
  <c r="AA23" i="60"/>
  <c r="AB23" i="60"/>
  <c r="AC23" i="60"/>
  <c r="AD23" i="60"/>
  <c r="AE23" i="60"/>
  <c r="AF23" i="60"/>
  <c r="AG23" i="60"/>
  <c r="D24" i="60"/>
  <c r="O24" i="60"/>
  <c r="P24" i="60"/>
  <c r="Q24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D25" i="60"/>
  <c r="O25" i="60"/>
  <c r="P25" i="60"/>
  <c r="Q25" i="60"/>
  <c r="U25" i="60"/>
  <c r="V25" i="60"/>
  <c r="W25" i="60"/>
  <c r="X25" i="60"/>
  <c r="Y25" i="60"/>
  <c r="Z25" i="60"/>
  <c r="AA25" i="60"/>
  <c r="AB25" i="60"/>
  <c r="AC25" i="60"/>
  <c r="AD25" i="60"/>
  <c r="AE25" i="60"/>
  <c r="AF25" i="60"/>
  <c r="AG25" i="60"/>
  <c r="D26" i="60"/>
  <c r="O26" i="60"/>
  <c r="P26" i="60"/>
  <c r="Q26" i="60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D27" i="60"/>
  <c r="O27" i="60"/>
  <c r="P27" i="60"/>
  <c r="Q27" i="60"/>
  <c r="U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D28" i="60"/>
  <c r="O28" i="60"/>
  <c r="P28" i="60"/>
  <c r="Q28" i="60"/>
  <c r="U28" i="60"/>
  <c r="V28" i="60"/>
  <c r="W28" i="60"/>
  <c r="X28" i="60"/>
  <c r="Y28" i="60"/>
  <c r="Z28" i="60"/>
  <c r="AA28" i="60"/>
  <c r="AB28" i="60"/>
  <c r="AC28" i="60"/>
  <c r="AD28" i="60"/>
  <c r="AE28" i="60"/>
  <c r="AF28" i="60"/>
  <c r="AG28" i="60"/>
  <c r="D29" i="60"/>
  <c r="O29" i="60"/>
  <c r="P29" i="60"/>
  <c r="Q29" i="60"/>
  <c r="U29" i="60"/>
  <c r="V29" i="60"/>
  <c r="W29" i="60"/>
  <c r="X29" i="60"/>
  <c r="Y29" i="60"/>
  <c r="Z29" i="60"/>
  <c r="AA29" i="60"/>
  <c r="AB29" i="60"/>
  <c r="AC29" i="60"/>
  <c r="AD29" i="60"/>
  <c r="AE29" i="60"/>
  <c r="AF29" i="60"/>
  <c r="AG29" i="60"/>
  <c r="D30" i="60"/>
  <c r="O30" i="60"/>
  <c r="P30" i="60"/>
  <c r="Q30" i="60"/>
  <c r="U30" i="60"/>
  <c r="V30" i="60"/>
  <c r="W30" i="60"/>
  <c r="X30" i="60"/>
  <c r="Y30" i="60"/>
  <c r="Z30" i="60"/>
  <c r="AA30" i="60"/>
  <c r="AB30" i="60"/>
  <c r="AC30" i="60"/>
  <c r="AD30" i="60"/>
  <c r="AE30" i="60"/>
  <c r="AF30" i="60"/>
  <c r="AG30" i="60"/>
  <c r="D31" i="60"/>
  <c r="O31" i="60"/>
  <c r="P31" i="60"/>
  <c r="Q31" i="60"/>
  <c r="U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D32" i="60"/>
  <c r="O32" i="60"/>
  <c r="P32" i="60"/>
  <c r="Q32" i="60"/>
  <c r="U32" i="60"/>
  <c r="V32" i="60"/>
  <c r="W32" i="60"/>
  <c r="X32" i="60"/>
  <c r="Y32" i="60"/>
  <c r="Z32" i="60"/>
  <c r="AA32" i="60"/>
  <c r="AB32" i="60"/>
  <c r="AC32" i="60"/>
  <c r="AD32" i="60"/>
  <c r="AE32" i="60"/>
  <c r="AF32" i="60"/>
  <c r="AG32" i="60"/>
  <c r="D33" i="60"/>
  <c r="O33" i="60"/>
  <c r="P33" i="60"/>
  <c r="Q33" i="60"/>
  <c r="U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D34" i="60"/>
  <c r="O34" i="60"/>
  <c r="P34" i="60"/>
  <c r="Q34" i="60"/>
  <c r="U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D35" i="60"/>
  <c r="O35" i="60"/>
  <c r="P35" i="60"/>
  <c r="Q35" i="60"/>
  <c r="U35" i="60"/>
  <c r="V35" i="60"/>
  <c r="W35" i="60"/>
  <c r="X35" i="60"/>
  <c r="Y35" i="60"/>
  <c r="Z35" i="60"/>
  <c r="AA35" i="60"/>
  <c r="AB35" i="60"/>
  <c r="AC35" i="60"/>
  <c r="AD35" i="60"/>
  <c r="AE35" i="60"/>
  <c r="AF35" i="60"/>
  <c r="AG35" i="60"/>
  <c r="D36" i="60"/>
  <c r="O36" i="60"/>
  <c r="P36" i="60"/>
  <c r="Q36" i="60"/>
  <c r="U36" i="60"/>
  <c r="V36" i="60"/>
  <c r="W36" i="60"/>
  <c r="X36" i="60"/>
  <c r="Y36" i="60"/>
  <c r="Z36" i="60"/>
  <c r="AA36" i="60"/>
  <c r="AB36" i="60"/>
  <c r="AC36" i="60"/>
  <c r="AD36" i="60"/>
  <c r="AE36" i="60"/>
  <c r="AF36" i="60"/>
  <c r="AG36" i="60"/>
  <c r="D37" i="60"/>
  <c r="O37" i="60"/>
  <c r="P37" i="60"/>
  <c r="Q37" i="60"/>
  <c r="U37" i="60"/>
  <c r="V37" i="60"/>
  <c r="W37" i="60"/>
  <c r="X37" i="60"/>
  <c r="Y37" i="60"/>
  <c r="Z37" i="60"/>
  <c r="AA37" i="60"/>
  <c r="AB37" i="60"/>
  <c r="AC37" i="60"/>
  <c r="AD37" i="60"/>
  <c r="AE37" i="60"/>
  <c r="AF37" i="60"/>
  <c r="AG37" i="60"/>
  <c r="D38" i="60"/>
  <c r="O38" i="60"/>
  <c r="P38" i="60"/>
  <c r="Q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D39" i="60"/>
  <c r="O39" i="60"/>
  <c r="P39" i="60"/>
  <c r="Q39" i="60"/>
  <c r="U39" i="60"/>
  <c r="V39" i="60"/>
  <c r="W39" i="60"/>
  <c r="X39" i="60"/>
  <c r="Y39" i="60"/>
  <c r="Z39" i="60"/>
  <c r="AA39" i="60"/>
  <c r="AB39" i="60"/>
  <c r="AC39" i="60"/>
  <c r="AD39" i="60"/>
  <c r="AE39" i="60"/>
  <c r="AF39" i="60"/>
  <c r="AG39" i="60"/>
  <c r="D40" i="60"/>
  <c r="O40" i="60"/>
  <c r="P40" i="60"/>
  <c r="Q40" i="60"/>
  <c r="U40" i="60"/>
  <c r="V40" i="60"/>
  <c r="W40" i="60"/>
  <c r="X40" i="60"/>
  <c r="Y40" i="60"/>
  <c r="Z40" i="60"/>
  <c r="AA40" i="60"/>
  <c r="AB40" i="60"/>
  <c r="AC40" i="60"/>
  <c r="AD40" i="60"/>
  <c r="AE40" i="60"/>
  <c r="AF40" i="60"/>
  <c r="AG40" i="60"/>
  <c r="D41" i="60"/>
  <c r="O41" i="60"/>
  <c r="P41" i="60"/>
  <c r="Q41" i="60"/>
  <c r="U41" i="60"/>
  <c r="V41" i="60"/>
  <c r="W41" i="60"/>
  <c r="X41" i="60"/>
  <c r="Y41" i="60"/>
  <c r="Z41" i="60"/>
  <c r="AA41" i="60"/>
  <c r="AB41" i="60"/>
  <c r="AC41" i="60"/>
  <c r="AD41" i="60"/>
  <c r="AE41" i="60"/>
  <c r="AF41" i="60"/>
  <c r="AG41" i="60"/>
  <c r="D42" i="60"/>
  <c r="O42" i="60"/>
  <c r="P42" i="60"/>
  <c r="Q42" i="60"/>
  <c r="U42" i="60"/>
  <c r="V42" i="60"/>
  <c r="W42" i="60"/>
  <c r="X42" i="60"/>
  <c r="Y42" i="60"/>
  <c r="Z42" i="60"/>
  <c r="AA42" i="60"/>
  <c r="AB42" i="60"/>
  <c r="AC42" i="60"/>
  <c r="AD42" i="60"/>
  <c r="AE42" i="60"/>
  <c r="AF42" i="60"/>
  <c r="AG42" i="60"/>
  <c r="M70" i="61"/>
  <c r="I70" i="61"/>
  <c r="N70" i="61"/>
  <c r="S70" i="61"/>
  <c r="M69" i="61"/>
  <c r="I69" i="61"/>
  <c r="N69" i="61"/>
  <c r="S69" i="61"/>
  <c r="M68" i="61"/>
  <c r="I68" i="61"/>
  <c r="N68" i="61"/>
  <c r="S68" i="61"/>
  <c r="M67" i="61"/>
  <c r="I67" i="61"/>
  <c r="N67" i="61"/>
  <c r="S67" i="61"/>
  <c r="M66" i="61"/>
  <c r="I66" i="61"/>
  <c r="N66" i="61"/>
  <c r="S66" i="61"/>
  <c r="M65" i="61"/>
  <c r="I65" i="61"/>
  <c r="N65" i="61"/>
  <c r="S65" i="61"/>
  <c r="M64" i="61"/>
  <c r="I64" i="61"/>
  <c r="N64" i="61"/>
  <c r="S64" i="61"/>
  <c r="M63" i="61"/>
  <c r="I63" i="61"/>
  <c r="N63" i="61"/>
  <c r="S63" i="61"/>
  <c r="M62" i="61"/>
  <c r="I62" i="61"/>
  <c r="N62" i="61"/>
  <c r="S62" i="61"/>
  <c r="M61" i="61"/>
  <c r="I61" i="61"/>
  <c r="N61" i="61"/>
  <c r="S61" i="61"/>
  <c r="M60" i="61"/>
  <c r="I60" i="61"/>
  <c r="N60" i="61"/>
  <c r="S60" i="61"/>
  <c r="M59" i="61"/>
  <c r="I59" i="61"/>
  <c r="N59" i="61"/>
  <c r="S59" i="61"/>
  <c r="M58" i="61"/>
  <c r="I58" i="61"/>
  <c r="N58" i="61"/>
  <c r="S58" i="61"/>
  <c r="M57" i="61"/>
  <c r="I57" i="61"/>
  <c r="N57" i="61"/>
  <c r="S57" i="61"/>
  <c r="M56" i="61"/>
  <c r="I56" i="61"/>
  <c r="N56" i="61"/>
  <c r="S56" i="61"/>
  <c r="M55" i="61"/>
  <c r="I55" i="61"/>
  <c r="N55" i="61"/>
  <c r="S55" i="61"/>
  <c r="M54" i="61"/>
  <c r="I54" i="61"/>
  <c r="N54" i="61"/>
  <c r="S54" i="61"/>
  <c r="M53" i="61"/>
  <c r="I53" i="61"/>
  <c r="N53" i="61"/>
  <c r="S53" i="61"/>
  <c r="M52" i="61"/>
  <c r="I52" i="61"/>
  <c r="N52" i="61"/>
  <c r="S52" i="61"/>
  <c r="M51" i="61"/>
  <c r="I51" i="61"/>
  <c r="N51" i="61"/>
  <c r="S51" i="61"/>
  <c r="M50" i="61"/>
  <c r="I50" i="61"/>
  <c r="N50" i="61"/>
  <c r="S50" i="61"/>
  <c r="M49" i="61"/>
  <c r="I49" i="61"/>
  <c r="N49" i="61"/>
  <c r="S49" i="61"/>
  <c r="M48" i="61"/>
  <c r="I48" i="61"/>
  <c r="N48" i="61"/>
  <c r="S48" i="61"/>
  <c r="M47" i="61"/>
  <c r="I47" i="61"/>
  <c r="N47" i="61"/>
  <c r="S47" i="61"/>
  <c r="M46" i="61"/>
  <c r="I46" i="61"/>
  <c r="N46" i="61"/>
  <c r="S46" i="61"/>
  <c r="M45" i="61"/>
  <c r="I45" i="61"/>
  <c r="N45" i="61"/>
  <c r="S45" i="61"/>
  <c r="M44" i="61"/>
  <c r="I44" i="61"/>
  <c r="N44" i="61"/>
  <c r="S44" i="61"/>
  <c r="M43" i="61"/>
  <c r="I43" i="61"/>
  <c r="N43" i="61"/>
  <c r="S43" i="61"/>
  <c r="M42" i="61"/>
  <c r="I42" i="61"/>
  <c r="N42" i="61"/>
  <c r="S42" i="61"/>
  <c r="M41" i="61"/>
  <c r="I41" i="61"/>
  <c r="N41" i="61"/>
  <c r="S41" i="61"/>
  <c r="M40" i="61"/>
  <c r="I40" i="61"/>
  <c r="N40" i="61"/>
  <c r="S40" i="61"/>
  <c r="M39" i="61"/>
  <c r="I39" i="61"/>
  <c r="N39" i="61"/>
  <c r="S39" i="61"/>
  <c r="M38" i="61"/>
  <c r="I38" i="61"/>
  <c r="N38" i="61"/>
  <c r="S38" i="61"/>
  <c r="M37" i="61"/>
  <c r="I37" i="61"/>
  <c r="N37" i="61"/>
  <c r="S37" i="61"/>
  <c r="M36" i="61"/>
  <c r="I36" i="61"/>
  <c r="N36" i="61"/>
  <c r="S36" i="61"/>
  <c r="M35" i="61"/>
  <c r="I35" i="61"/>
  <c r="N35" i="61"/>
  <c r="S35" i="61"/>
  <c r="M34" i="61"/>
  <c r="I34" i="61"/>
  <c r="N34" i="61"/>
  <c r="S34" i="61"/>
  <c r="M33" i="61"/>
  <c r="I33" i="61"/>
  <c r="N33" i="61"/>
  <c r="S33" i="61"/>
  <c r="M32" i="61"/>
  <c r="I32" i="61"/>
  <c r="N32" i="61"/>
  <c r="S32" i="61"/>
  <c r="M31" i="61"/>
  <c r="I31" i="61"/>
  <c r="N31" i="61"/>
  <c r="S31" i="61"/>
  <c r="M30" i="61"/>
  <c r="I30" i="61"/>
  <c r="N30" i="61"/>
  <c r="S30" i="61"/>
  <c r="M29" i="61"/>
  <c r="I29" i="61"/>
  <c r="N29" i="61"/>
  <c r="S29" i="61"/>
  <c r="M28" i="61"/>
  <c r="I28" i="61"/>
  <c r="N28" i="61"/>
  <c r="S28" i="61"/>
  <c r="M27" i="61"/>
  <c r="I27" i="61"/>
  <c r="N27" i="61"/>
  <c r="S27" i="61"/>
  <c r="M26" i="61"/>
  <c r="I26" i="61"/>
  <c r="N26" i="61"/>
  <c r="S26" i="61"/>
  <c r="M25" i="61"/>
  <c r="I25" i="61"/>
  <c r="N25" i="61"/>
  <c r="S25" i="61"/>
  <c r="M24" i="61"/>
  <c r="I24" i="61"/>
  <c r="N24" i="61"/>
  <c r="S24" i="61"/>
  <c r="M23" i="61"/>
  <c r="I23" i="61"/>
  <c r="N23" i="61"/>
  <c r="S23" i="61"/>
  <c r="M22" i="61"/>
  <c r="I22" i="61"/>
  <c r="N22" i="61"/>
  <c r="S22" i="61"/>
  <c r="M21" i="61"/>
  <c r="I21" i="61"/>
  <c r="N21" i="61"/>
  <c r="S21" i="61"/>
  <c r="M20" i="61"/>
  <c r="I20" i="61"/>
  <c r="N20" i="61"/>
  <c r="S20" i="61"/>
  <c r="M19" i="61"/>
  <c r="I19" i="61"/>
  <c r="N19" i="61"/>
  <c r="S19" i="61"/>
  <c r="M18" i="61"/>
  <c r="I18" i="61"/>
  <c r="N18" i="61"/>
  <c r="S18" i="61"/>
  <c r="M17" i="61"/>
  <c r="I17" i="61"/>
  <c r="N17" i="61"/>
  <c r="S17" i="61"/>
  <c r="R70" i="61"/>
  <c r="R69" i="61"/>
  <c r="R68" i="61"/>
  <c r="R67" i="61"/>
  <c r="R66" i="61"/>
  <c r="R65" i="61"/>
  <c r="R64" i="61"/>
  <c r="R63" i="61"/>
  <c r="R62" i="61"/>
  <c r="R61" i="61"/>
  <c r="R60" i="61"/>
  <c r="R59" i="61"/>
  <c r="R58" i="61"/>
  <c r="R57" i="61"/>
  <c r="R56" i="61"/>
  <c r="R55" i="61"/>
  <c r="R54" i="61"/>
  <c r="R53" i="61"/>
  <c r="R52" i="61"/>
  <c r="R51" i="61"/>
  <c r="R50" i="61"/>
  <c r="R49" i="61"/>
  <c r="R48" i="61"/>
  <c r="R47" i="61"/>
  <c r="R46" i="61"/>
  <c r="R45" i="61"/>
  <c r="R44" i="61"/>
  <c r="R43" i="61"/>
  <c r="R42" i="61"/>
  <c r="R41" i="61"/>
  <c r="R40" i="61"/>
  <c r="R39" i="61"/>
  <c r="R38" i="61"/>
  <c r="R37" i="61"/>
  <c r="R36" i="61"/>
  <c r="R35" i="61"/>
  <c r="R34" i="61"/>
  <c r="R33" i="61"/>
  <c r="R32" i="61"/>
  <c r="R31" i="61"/>
  <c r="R30" i="61"/>
  <c r="R29" i="61"/>
  <c r="R28" i="61"/>
  <c r="R27" i="61"/>
  <c r="R26" i="61"/>
  <c r="R25" i="61"/>
  <c r="R24" i="61"/>
  <c r="R23" i="61"/>
  <c r="R22" i="61"/>
  <c r="R21" i="61"/>
  <c r="R20" i="61"/>
  <c r="R19" i="61"/>
  <c r="R18" i="61"/>
  <c r="R17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D17" i="61"/>
  <c r="O17" i="61"/>
  <c r="P17" i="61"/>
  <c r="Q17" i="61"/>
  <c r="U17" i="61"/>
  <c r="V17" i="61"/>
  <c r="W17" i="61"/>
  <c r="X17" i="61"/>
  <c r="Y17" i="61"/>
  <c r="Z17" i="61"/>
  <c r="AA17" i="61"/>
  <c r="AB17" i="61"/>
  <c r="AC17" i="61"/>
  <c r="AD17" i="61"/>
  <c r="AE17" i="61"/>
  <c r="AF17" i="61"/>
  <c r="AG17" i="61"/>
  <c r="D18" i="61"/>
  <c r="O18" i="61"/>
  <c r="P18" i="61"/>
  <c r="Q18" i="61"/>
  <c r="U18" i="61"/>
  <c r="V18" i="61"/>
  <c r="W18" i="61"/>
  <c r="X18" i="61"/>
  <c r="Y18" i="61"/>
  <c r="Z18" i="61"/>
  <c r="AA18" i="61"/>
  <c r="AB18" i="61"/>
  <c r="AC18" i="61"/>
  <c r="AD18" i="61"/>
  <c r="AE18" i="61"/>
  <c r="AF18" i="61"/>
  <c r="AG18" i="61"/>
  <c r="D19" i="61"/>
  <c r="O19" i="61"/>
  <c r="P19" i="61"/>
  <c r="Q19" i="61"/>
  <c r="U19" i="61"/>
  <c r="V19" i="61"/>
  <c r="W19" i="61"/>
  <c r="X19" i="61"/>
  <c r="Y19" i="61"/>
  <c r="Z19" i="61"/>
  <c r="AA19" i="61"/>
  <c r="AB19" i="61"/>
  <c r="AC19" i="61"/>
  <c r="AD19" i="61"/>
  <c r="AE19" i="61"/>
  <c r="AF19" i="61"/>
  <c r="AG19" i="61"/>
  <c r="D20" i="61"/>
  <c r="O20" i="61"/>
  <c r="P20" i="61"/>
  <c r="Q20" i="61"/>
  <c r="U20" i="61"/>
  <c r="V20" i="61"/>
  <c r="W20" i="61"/>
  <c r="X20" i="61"/>
  <c r="Y20" i="61"/>
  <c r="Z20" i="61"/>
  <c r="AA20" i="61"/>
  <c r="AB20" i="61"/>
  <c r="AC20" i="61"/>
  <c r="AD20" i="61"/>
  <c r="AE20" i="61"/>
  <c r="AF20" i="61"/>
  <c r="AG20" i="61"/>
  <c r="D21" i="61"/>
  <c r="O21" i="61"/>
  <c r="P21" i="61"/>
  <c r="Q21" i="61"/>
  <c r="U21" i="61"/>
  <c r="V21" i="61"/>
  <c r="W21" i="61"/>
  <c r="X21" i="61"/>
  <c r="Y21" i="61"/>
  <c r="Z21" i="61"/>
  <c r="AA21" i="61"/>
  <c r="AB21" i="61"/>
  <c r="AC21" i="61"/>
  <c r="AD21" i="61"/>
  <c r="AE21" i="61"/>
  <c r="AF21" i="61"/>
  <c r="AG21" i="61"/>
  <c r="D22" i="61"/>
  <c r="O22" i="61"/>
  <c r="P22" i="61"/>
  <c r="Q22" i="61"/>
  <c r="U22" i="61"/>
  <c r="V22" i="61"/>
  <c r="W22" i="61"/>
  <c r="X22" i="61"/>
  <c r="Y22" i="61"/>
  <c r="Z22" i="61"/>
  <c r="AA22" i="61"/>
  <c r="AB22" i="61"/>
  <c r="AC22" i="61"/>
  <c r="AD22" i="61"/>
  <c r="AE22" i="61"/>
  <c r="AF22" i="61"/>
  <c r="AG22" i="61"/>
  <c r="D23" i="61"/>
  <c r="O23" i="61"/>
  <c r="P23" i="61"/>
  <c r="Q23" i="61"/>
  <c r="U23" i="61"/>
  <c r="V23" i="61"/>
  <c r="W23" i="61"/>
  <c r="X23" i="61"/>
  <c r="Y23" i="61"/>
  <c r="Z23" i="61"/>
  <c r="AA23" i="61"/>
  <c r="AB23" i="61"/>
  <c r="AC23" i="61"/>
  <c r="AD23" i="61"/>
  <c r="AE23" i="61"/>
  <c r="AF23" i="61"/>
  <c r="AG23" i="61"/>
  <c r="D24" i="61"/>
  <c r="O24" i="61"/>
  <c r="P24" i="61"/>
  <c r="Q24" i="61"/>
  <c r="U24" i="61"/>
  <c r="V24" i="61"/>
  <c r="W24" i="61"/>
  <c r="X24" i="61"/>
  <c r="Y24" i="61"/>
  <c r="Z24" i="61"/>
  <c r="AA24" i="61"/>
  <c r="AB24" i="61"/>
  <c r="AC24" i="61"/>
  <c r="AD24" i="61"/>
  <c r="AE24" i="61"/>
  <c r="AF24" i="61"/>
  <c r="AG24" i="61"/>
  <c r="D25" i="61"/>
  <c r="O25" i="61"/>
  <c r="P25" i="61"/>
  <c r="Q25" i="61"/>
  <c r="U25" i="61"/>
  <c r="V25" i="61"/>
  <c r="W25" i="61"/>
  <c r="X25" i="61"/>
  <c r="Y25" i="61"/>
  <c r="Z25" i="61"/>
  <c r="AA25" i="61"/>
  <c r="AB25" i="61"/>
  <c r="AC25" i="61"/>
  <c r="AD25" i="61"/>
  <c r="AE25" i="61"/>
  <c r="AF25" i="61"/>
  <c r="AG25" i="61"/>
  <c r="D26" i="61"/>
  <c r="O26" i="61"/>
  <c r="P26" i="61"/>
  <c r="Q26" i="61"/>
  <c r="U26" i="61"/>
  <c r="V26" i="61"/>
  <c r="W26" i="61"/>
  <c r="X26" i="61"/>
  <c r="Y26" i="61"/>
  <c r="Z26" i="61"/>
  <c r="AA26" i="61"/>
  <c r="AB26" i="61"/>
  <c r="AC26" i="61"/>
  <c r="AD26" i="61"/>
  <c r="AE26" i="61"/>
  <c r="AF26" i="61"/>
  <c r="AG26" i="61"/>
  <c r="D27" i="61"/>
  <c r="O27" i="61"/>
  <c r="P27" i="61"/>
  <c r="Q27" i="61"/>
  <c r="U27" i="61"/>
  <c r="V27" i="61"/>
  <c r="W27" i="61"/>
  <c r="X27" i="61"/>
  <c r="Y27" i="61"/>
  <c r="Z27" i="61"/>
  <c r="AA27" i="61"/>
  <c r="AB27" i="61"/>
  <c r="AC27" i="61"/>
  <c r="AD27" i="61"/>
  <c r="AE27" i="61"/>
  <c r="AF27" i="61"/>
  <c r="AG27" i="61"/>
  <c r="D28" i="61"/>
  <c r="O28" i="61"/>
  <c r="P28" i="61"/>
  <c r="Q28" i="61"/>
  <c r="U28" i="61"/>
  <c r="V28" i="61"/>
  <c r="W28" i="61"/>
  <c r="X28" i="61"/>
  <c r="Y28" i="61"/>
  <c r="Z28" i="61"/>
  <c r="AA28" i="61"/>
  <c r="AB28" i="61"/>
  <c r="AC28" i="61"/>
  <c r="AD28" i="61"/>
  <c r="AE28" i="61"/>
  <c r="AF28" i="61"/>
  <c r="AG28" i="61"/>
  <c r="D29" i="61"/>
  <c r="O29" i="61"/>
  <c r="P29" i="61"/>
  <c r="Q29" i="61"/>
  <c r="U29" i="61"/>
  <c r="V29" i="61"/>
  <c r="W29" i="61"/>
  <c r="X29" i="61"/>
  <c r="Y29" i="61"/>
  <c r="Z29" i="61"/>
  <c r="AA29" i="61"/>
  <c r="AB29" i="61"/>
  <c r="AC29" i="61"/>
  <c r="AD29" i="61"/>
  <c r="AE29" i="61"/>
  <c r="AF29" i="61"/>
  <c r="AG29" i="61"/>
  <c r="D30" i="61"/>
  <c r="O30" i="61"/>
  <c r="P30" i="61"/>
  <c r="Q30" i="61"/>
  <c r="U30" i="61"/>
  <c r="V30" i="61"/>
  <c r="W30" i="61"/>
  <c r="X30" i="61"/>
  <c r="Y30" i="61"/>
  <c r="Z30" i="61"/>
  <c r="AA30" i="61"/>
  <c r="AB30" i="61"/>
  <c r="AC30" i="61"/>
  <c r="AD30" i="61"/>
  <c r="AE30" i="61"/>
  <c r="AF30" i="61"/>
  <c r="AG30" i="61"/>
  <c r="D31" i="61"/>
  <c r="O31" i="61"/>
  <c r="P31" i="61"/>
  <c r="Q31" i="61"/>
  <c r="U31" i="61"/>
  <c r="V31" i="61"/>
  <c r="W31" i="61"/>
  <c r="X31" i="61"/>
  <c r="Y31" i="61"/>
  <c r="Z31" i="61"/>
  <c r="AA31" i="61"/>
  <c r="AB31" i="61"/>
  <c r="AC31" i="61"/>
  <c r="AD31" i="61"/>
  <c r="AE31" i="61"/>
  <c r="AF31" i="61"/>
  <c r="AG31" i="61"/>
  <c r="D32" i="61"/>
  <c r="O32" i="61"/>
  <c r="P32" i="61"/>
  <c r="Q32" i="61"/>
  <c r="U32" i="61"/>
  <c r="V32" i="61"/>
  <c r="W32" i="61"/>
  <c r="X32" i="61"/>
  <c r="Y32" i="61"/>
  <c r="Z32" i="61"/>
  <c r="AA32" i="61"/>
  <c r="AB32" i="61"/>
  <c r="AC32" i="61"/>
  <c r="AD32" i="61"/>
  <c r="AE32" i="61"/>
  <c r="AF32" i="61"/>
  <c r="AG32" i="61"/>
  <c r="D33" i="61"/>
  <c r="O33" i="61"/>
  <c r="P33" i="61"/>
  <c r="Q33" i="61"/>
  <c r="U33" i="61"/>
  <c r="V33" i="61"/>
  <c r="W33" i="61"/>
  <c r="X33" i="61"/>
  <c r="Y33" i="61"/>
  <c r="Z33" i="61"/>
  <c r="AA33" i="61"/>
  <c r="AB33" i="61"/>
  <c r="AC33" i="61"/>
  <c r="AD33" i="61"/>
  <c r="AE33" i="61"/>
  <c r="AF33" i="61"/>
  <c r="AG33" i="61"/>
  <c r="D34" i="61"/>
  <c r="O34" i="61"/>
  <c r="P34" i="61"/>
  <c r="Q34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AG34" i="61"/>
  <c r="D35" i="61"/>
  <c r="O35" i="61"/>
  <c r="P35" i="61"/>
  <c r="Q35" i="61"/>
  <c r="U35" i="61"/>
  <c r="V35" i="61"/>
  <c r="W35" i="61"/>
  <c r="X35" i="61"/>
  <c r="Y35" i="61"/>
  <c r="Z35" i="61"/>
  <c r="AA35" i="61"/>
  <c r="AB35" i="61"/>
  <c r="AC35" i="61"/>
  <c r="AD35" i="61"/>
  <c r="AE35" i="61"/>
  <c r="AF35" i="61"/>
  <c r="AG35" i="61"/>
  <c r="D36" i="61"/>
  <c r="O36" i="61"/>
  <c r="P36" i="61"/>
  <c r="Q36" i="61"/>
  <c r="U36" i="61"/>
  <c r="V36" i="61"/>
  <c r="W36" i="61"/>
  <c r="X36" i="61"/>
  <c r="Y36" i="61"/>
  <c r="Z36" i="61"/>
  <c r="AA36" i="61"/>
  <c r="AB36" i="61"/>
  <c r="AC36" i="61"/>
  <c r="AD36" i="61"/>
  <c r="AE36" i="61"/>
  <c r="AF36" i="61"/>
  <c r="AG36" i="61"/>
  <c r="D37" i="61"/>
  <c r="O37" i="61"/>
  <c r="P37" i="61"/>
  <c r="Q37" i="61"/>
  <c r="U37" i="61"/>
  <c r="V37" i="61"/>
  <c r="W37" i="61"/>
  <c r="X37" i="61"/>
  <c r="Y37" i="61"/>
  <c r="Z37" i="61"/>
  <c r="AA37" i="61"/>
  <c r="AB37" i="61"/>
  <c r="AC37" i="61"/>
  <c r="AD37" i="61"/>
  <c r="AE37" i="61"/>
  <c r="AF37" i="61"/>
  <c r="AG37" i="61"/>
  <c r="D38" i="61"/>
  <c r="O38" i="61"/>
  <c r="P38" i="61"/>
  <c r="Q38" i="61"/>
  <c r="U38" i="61"/>
  <c r="V38" i="61"/>
  <c r="W38" i="61"/>
  <c r="X38" i="61"/>
  <c r="Y38" i="61"/>
  <c r="Z38" i="61"/>
  <c r="AA38" i="61"/>
  <c r="AB38" i="61"/>
  <c r="AC38" i="61"/>
  <c r="AD38" i="61"/>
  <c r="AE38" i="61"/>
  <c r="AF38" i="61"/>
  <c r="AG38" i="61"/>
  <c r="D39" i="61"/>
  <c r="O39" i="61"/>
  <c r="P39" i="61"/>
  <c r="Q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D40" i="61"/>
  <c r="O40" i="61"/>
  <c r="P40" i="61"/>
  <c r="Q40" i="61"/>
  <c r="U40" i="61"/>
  <c r="V40" i="61"/>
  <c r="W40" i="61"/>
  <c r="X40" i="61"/>
  <c r="Y40" i="61"/>
  <c r="Z40" i="61"/>
  <c r="AA40" i="61"/>
  <c r="AB40" i="61"/>
  <c r="AC40" i="61"/>
  <c r="AD40" i="61"/>
  <c r="AE40" i="61"/>
  <c r="AF40" i="61"/>
  <c r="AG40" i="61"/>
  <c r="D41" i="61"/>
  <c r="O41" i="61"/>
  <c r="P41" i="61"/>
  <c r="Q41" i="61"/>
  <c r="U41" i="61"/>
  <c r="V41" i="61"/>
  <c r="W41" i="61"/>
  <c r="X41" i="61"/>
  <c r="Y41" i="61"/>
  <c r="Z41" i="61"/>
  <c r="AA41" i="61"/>
  <c r="AB41" i="61"/>
  <c r="AC41" i="61"/>
  <c r="AD41" i="61"/>
  <c r="AE41" i="61"/>
  <c r="AF41" i="61"/>
  <c r="AG41" i="61"/>
  <c r="D42" i="61"/>
  <c r="O42" i="61"/>
  <c r="P42" i="61"/>
  <c r="Q42" i="61"/>
  <c r="U42" i="61"/>
  <c r="V42" i="61"/>
  <c r="W42" i="61"/>
  <c r="X42" i="61"/>
  <c r="Y42" i="61"/>
  <c r="Z42" i="61"/>
  <c r="AA42" i="61"/>
  <c r="AB42" i="61"/>
  <c r="AC42" i="61"/>
  <c r="AD42" i="61"/>
  <c r="AE42" i="61"/>
  <c r="AF42" i="61"/>
  <c r="AG42" i="61"/>
  <c r="D43" i="61"/>
  <c r="O43" i="61"/>
  <c r="P43" i="61"/>
  <c r="Q43" i="61"/>
  <c r="U43" i="61"/>
  <c r="V43" i="61"/>
  <c r="W43" i="61"/>
  <c r="X43" i="61"/>
  <c r="Y43" i="61"/>
  <c r="Z43" i="61"/>
  <c r="AA43" i="61"/>
  <c r="AB43" i="61"/>
  <c r="AC43" i="61"/>
  <c r="AD43" i="61"/>
  <c r="AE43" i="61"/>
  <c r="AF43" i="61"/>
  <c r="AG43" i="61"/>
  <c r="D44" i="61"/>
  <c r="O44" i="61"/>
  <c r="P44" i="61"/>
  <c r="Q44" i="61"/>
  <c r="U44" i="61"/>
  <c r="V44" i="61"/>
  <c r="W44" i="61"/>
  <c r="X44" i="61"/>
  <c r="Y44" i="61"/>
  <c r="Z44" i="61"/>
  <c r="AA44" i="61"/>
  <c r="AB44" i="61"/>
  <c r="AC44" i="61"/>
  <c r="AD44" i="61"/>
  <c r="AE44" i="61"/>
  <c r="AF44" i="61"/>
  <c r="AG44" i="61"/>
  <c r="D45" i="61"/>
  <c r="O45" i="61"/>
  <c r="P45" i="61"/>
  <c r="Q45" i="61"/>
  <c r="U45" i="61"/>
  <c r="V45" i="61"/>
  <c r="W45" i="61"/>
  <c r="X45" i="61"/>
  <c r="Y45" i="61"/>
  <c r="Z45" i="61"/>
  <c r="AA45" i="61"/>
  <c r="AB45" i="61"/>
  <c r="AC45" i="61"/>
  <c r="AD45" i="61"/>
  <c r="AE45" i="61"/>
  <c r="AF45" i="61"/>
  <c r="AG45" i="61"/>
  <c r="D46" i="61"/>
  <c r="O46" i="61"/>
  <c r="P46" i="61"/>
  <c r="Q46" i="61"/>
  <c r="U46" i="61"/>
  <c r="V46" i="61"/>
  <c r="W46" i="61"/>
  <c r="X46" i="61"/>
  <c r="Y46" i="61"/>
  <c r="Z46" i="61"/>
  <c r="AA46" i="61"/>
  <c r="AB46" i="61"/>
  <c r="AC46" i="61"/>
  <c r="AD46" i="61"/>
  <c r="AE46" i="61"/>
  <c r="AF46" i="61"/>
  <c r="AG46" i="61"/>
  <c r="D47" i="61"/>
  <c r="O47" i="61"/>
  <c r="P47" i="61"/>
  <c r="Q47" i="61"/>
  <c r="U47" i="61"/>
  <c r="V47" i="61"/>
  <c r="W47" i="61"/>
  <c r="X47" i="61"/>
  <c r="Y47" i="61"/>
  <c r="Z47" i="61"/>
  <c r="AA47" i="61"/>
  <c r="AB47" i="61"/>
  <c r="AC47" i="61"/>
  <c r="AD47" i="61"/>
  <c r="AE47" i="61"/>
  <c r="AF47" i="61"/>
  <c r="AG47" i="61"/>
  <c r="D48" i="61"/>
  <c r="O48" i="61"/>
  <c r="P48" i="61"/>
  <c r="Q48" i="61"/>
  <c r="U48" i="61"/>
  <c r="V48" i="61"/>
  <c r="W48" i="61"/>
  <c r="X48" i="61"/>
  <c r="Y48" i="61"/>
  <c r="Z48" i="61"/>
  <c r="AA48" i="61"/>
  <c r="AB48" i="61"/>
  <c r="AC48" i="61"/>
  <c r="AD48" i="61"/>
  <c r="AE48" i="61"/>
  <c r="AF48" i="61"/>
  <c r="AG48" i="61"/>
  <c r="D49" i="61"/>
  <c r="O49" i="61"/>
  <c r="P49" i="61"/>
  <c r="Q49" i="61"/>
  <c r="U49" i="61"/>
  <c r="V49" i="61"/>
  <c r="W49" i="61"/>
  <c r="X49" i="61"/>
  <c r="Y49" i="61"/>
  <c r="Z49" i="61"/>
  <c r="AA49" i="61"/>
  <c r="AB49" i="61"/>
  <c r="AC49" i="61"/>
  <c r="AD49" i="61"/>
  <c r="AE49" i="61"/>
  <c r="AF49" i="61"/>
  <c r="AG49" i="61"/>
  <c r="D50" i="61"/>
  <c r="O50" i="61"/>
  <c r="P50" i="61"/>
  <c r="Q50" i="61"/>
  <c r="U50" i="61"/>
  <c r="V50" i="61"/>
  <c r="W50" i="61"/>
  <c r="X50" i="61"/>
  <c r="Y50" i="61"/>
  <c r="Z50" i="61"/>
  <c r="AA50" i="61"/>
  <c r="AB50" i="61"/>
  <c r="AC50" i="61"/>
  <c r="AD50" i="61"/>
  <c r="AE50" i="61"/>
  <c r="AF50" i="61"/>
  <c r="AG50" i="61"/>
  <c r="D51" i="61"/>
  <c r="O51" i="61"/>
  <c r="P51" i="61"/>
  <c r="Q51" i="61"/>
  <c r="U51" i="61"/>
  <c r="V51" i="61"/>
  <c r="W51" i="61"/>
  <c r="X51" i="61"/>
  <c r="Y51" i="61"/>
  <c r="Z51" i="61"/>
  <c r="AA51" i="61"/>
  <c r="AB51" i="61"/>
  <c r="AC51" i="61"/>
  <c r="AD51" i="61"/>
  <c r="AE51" i="61"/>
  <c r="AF51" i="61"/>
  <c r="AG51" i="61"/>
  <c r="D52" i="61"/>
  <c r="O52" i="61"/>
  <c r="P52" i="61"/>
  <c r="Q52" i="61"/>
  <c r="U52" i="61"/>
  <c r="V52" i="61"/>
  <c r="W52" i="61"/>
  <c r="X52" i="61"/>
  <c r="Y52" i="61"/>
  <c r="Z52" i="61"/>
  <c r="AA52" i="61"/>
  <c r="AB52" i="61"/>
  <c r="AC52" i="61"/>
  <c r="AD52" i="61"/>
  <c r="AE52" i="61"/>
  <c r="AF52" i="61"/>
  <c r="AG52" i="61"/>
  <c r="D53" i="61"/>
  <c r="O53" i="61"/>
  <c r="P53" i="61"/>
  <c r="Q53" i="61"/>
  <c r="U53" i="61"/>
  <c r="V53" i="61"/>
  <c r="W53" i="61"/>
  <c r="X53" i="61"/>
  <c r="Y53" i="61"/>
  <c r="Z53" i="61"/>
  <c r="AA53" i="61"/>
  <c r="AB53" i="61"/>
  <c r="AC53" i="61"/>
  <c r="AD53" i="61"/>
  <c r="AE53" i="61"/>
  <c r="AF53" i="61"/>
  <c r="AG53" i="61"/>
  <c r="D54" i="61"/>
  <c r="O54" i="61"/>
  <c r="P54" i="61"/>
  <c r="Q54" i="61"/>
  <c r="U54" i="61"/>
  <c r="V54" i="61"/>
  <c r="W54" i="61"/>
  <c r="X54" i="61"/>
  <c r="Y54" i="61"/>
  <c r="Z54" i="61"/>
  <c r="AA54" i="61"/>
  <c r="AB54" i="61"/>
  <c r="AC54" i="61"/>
  <c r="AD54" i="61"/>
  <c r="AE54" i="61"/>
  <c r="AF54" i="61"/>
  <c r="AG54" i="61"/>
  <c r="D55" i="61"/>
  <c r="O55" i="61"/>
  <c r="P55" i="61"/>
  <c r="Q55" i="61"/>
  <c r="U55" i="61"/>
  <c r="V55" i="61"/>
  <c r="W55" i="61"/>
  <c r="X55" i="61"/>
  <c r="Y55" i="61"/>
  <c r="Z55" i="61"/>
  <c r="AA55" i="61"/>
  <c r="AB55" i="61"/>
  <c r="AC55" i="61"/>
  <c r="AD55" i="61"/>
  <c r="AE55" i="61"/>
  <c r="AF55" i="61"/>
  <c r="AG55" i="61"/>
  <c r="D56" i="61"/>
  <c r="O56" i="61"/>
  <c r="P56" i="61"/>
  <c r="Q56" i="61"/>
  <c r="U56" i="61"/>
  <c r="V56" i="61"/>
  <c r="W56" i="61"/>
  <c r="X56" i="61"/>
  <c r="Y56" i="61"/>
  <c r="Z56" i="61"/>
  <c r="AA56" i="61"/>
  <c r="AB56" i="61"/>
  <c r="AC56" i="61"/>
  <c r="AD56" i="61"/>
  <c r="AE56" i="61"/>
  <c r="AF56" i="61"/>
  <c r="AG56" i="61"/>
  <c r="D57" i="61"/>
  <c r="O57" i="61"/>
  <c r="P57" i="61"/>
  <c r="Q57" i="61"/>
  <c r="U57" i="61"/>
  <c r="V57" i="61"/>
  <c r="W57" i="61"/>
  <c r="X57" i="61"/>
  <c r="Y57" i="61"/>
  <c r="Z57" i="61"/>
  <c r="AA57" i="61"/>
  <c r="AB57" i="61"/>
  <c r="AC57" i="61"/>
  <c r="AD57" i="61"/>
  <c r="AE57" i="61"/>
  <c r="AF57" i="61"/>
  <c r="AG57" i="61"/>
  <c r="D58" i="61"/>
  <c r="O58" i="61"/>
  <c r="P58" i="61"/>
  <c r="Q58" i="61"/>
  <c r="U58" i="61"/>
  <c r="V58" i="61"/>
  <c r="W58" i="61"/>
  <c r="X58" i="61"/>
  <c r="Y58" i="61"/>
  <c r="Z58" i="61"/>
  <c r="AA58" i="61"/>
  <c r="AB58" i="61"/>
  <c r="AC58" i="61"/>
  <c r="AD58" i="61"/>
  <c r="AE58" i="61"/>
  <c r="AF58" i="61"/>
  <c r="AG58" i="61"/>
  <c r="D59" i="61"/>
  <c r="O59" i="61"/>
  <c r="P59" i="61"/>
  <c r="Q59" i="61"/>
  <c r="U59" i="61"/>
  <c r="V59" i="61"/>
  <c r="W59" i="61"/>
  <c r="X59" i="61"/>
  <c r="Y59" i="61"/>
  <c r="Z59" i="61"/>
  <c r="AA59" i="61"/>
  <c r="AB59" i="61"/>
  <c r="AC59" i="61"/>
  <c r="AD59" i="61"/>
  <c r="AE59" i="61"/>
  <c r="AF59" i="61"/>
  <c r="AG59" i="61"/>
  <c r="D60" i="61"/>
  <c r="O60" i="61"/>
  <c r="P60" i="61"/>
  <c r="Q60" i="61"/>
  <c r="U60" i="61"/>
  <c r="V60" i="61"/>
  <c r="W60" i="61"/>
  <c r="X60" i="61"/>
  <c r="Y60" i="61"/>
  <c r="Z60" i="61"/>
  <c r="AA60" i="61"/>
  <c r="AB60" i="61"/>
  <c r="AC60" i="61"/>
  <c r="AD60" i="61"/>
  <c r="AE60" i="61"/>
  <c r="AF60" i="61"/>
  <c r="AG60" i="61"/>
  <c r="D61" i="61"/>
  <c r="O61" i="61"/>
  <c r="P61" i="61"/>
  <c r="Q61" i="61"/>
  <c r="U61" i="61"/>
  <c r="V61" i="61"/>
  <c r="W61" i="61"/>
  <c r="X61" i="61"/>
  <c r="Y61" i="61"/>
  <c r="Z61" i="61"/>
  <c r="AA61" i="61"/>
  <c r="AB61" i="61"/>
  <c r="AC61" i="61"/>
  <c r="AD61" i="61"/>
  <c r="AE61" i="61"/>
  <c r="AF61" i="61"/>
  <c r="AG61" i="61"/>
  <c r="D62" i="61"/>
  <c r="O62" i="61"/>
  <c r="P62" i="61"/>
  <c r="Q62" i="61"/>
  <c r="U62" i="61"/>
  <c r="V62" i="61"/>
  <c r="W62" i="61"/>
  <c r="X62" i="61"/>
  <c r="Y62" i="61"/>
  <c r="Z62" i="61"/>
  <c r="AA62" i="61"/>
  <c r="AB62" i="61"/>
  <c r="AC62" i="61"/>
  <c r="AD62" i="61"/>
  <c r="AE62" i="61"/>
  <c r="AF62" i="61"/>
  <c r="AG62" i="61"/>
  <c r="D63" i="61"/>
  <c r="O63" i="61"/>
  <c r="P63" i="61"/>
  <c r="Q63" i="61"/>
  <c r="U63" i="61"/>
  <c r="V63" i="61"/>
  <c r="W63" i="61"/>
  <c r="X63" i="61"/>
  <c r="Y63" i="61"/>
  <c r="Z63" i="61"/>
  <c r="AA63" i="61"/>
  <c r="AB63" i="61"/>
  <c r="AC63" i="61"/>
  <c r="AD63" i="61"/>
  <c r="AE63" i="61"/>
  <c r="AF63" i="61"/>
  <c r="AG63" i="61"/>
  <c r="D64" i="61"/>
  <c r="O64" i="61"/>
  <c r="P64" i="61"/>
  <c r="Q64" i="61"/>
  <c r="U64" i="61"/>
  <c r="V64" i="61"/>
  <c r="W64" i="61"/>
  <c r="X64" i="61"/>
  <c r="Y64" i="61"/>
  <c r="Z64" i="61"/>
  <c r="AA64" i="61"/>
  <c r="AB64" i="61"/>
  <c r="AC64" i="61"/>
  <c r="AD64" i="61"/>
  <c r="AE64" i="61"/>
  <c r="AF64" i="61"/>
  <c r="AG64" i="61"/>
  <c r="D65" i="61"/>
  <c r="O65" i="61"/>
  <c r="P65" i="61"/>
  <c r="Q65" i="61"/>
  <c r="U65" i="61"/>
  <c r="V65" i="61"/>
  <c r="W65" i="61"/>
  <c r="X65" i="61"/>
  <c r="Y65" i="61"/>
  <c r="Z65" i="61"/>
  <c r="AA65" i="61"/>
  <c r="AB65" i="61"/>
  <c r="AC65" i="61"/>
  <c r="AD65" i="61"/>
  <c r="AE65" i="61"/>
  <c r="AF65" i="61"/>
  <c r="AG65" i="61"/>
  <c r="D66" i="61"/>
  <c r="O66" i="61"/>
  <c r="P66" i="61"/>
  <c r="Q66" i="61"/>
  <c r="U66" i="61"/>
  <c r="V66" i="61"/>
  <c r="W66" i="61"/>
  <c r="X66" i="61"/>
  <c r="Y66" i="61"/>
  <c r="Z66" i="61"/>
  <c r="AA66" i="61"/>
  <c r="AB66" i="61"/>
  <c r="AC66" i="61"/>
  <c r="AD66" i="61"/>
  <c r="AE66" i="61"/>
  <c r="AF66" i="61"/>
  <c r="AG66" i="61"/>
  <c r="D67" i="61"/>
  <c r="O67" i="61"/>
  <c r="P67" i="61"/>
  <c r="Q67" i="61"/>
  <c r="U67" i="61"/>
  <c r="V67" i="61"/>
  <c r="W67" i="61"/>
  <c r="X67" i="61"/>
  <c r="Y67" i="61"/>
  <c r="Z67" i="61"/>
  <c r="AA67" i="61"/>
  <c r="AB67" i="61"/>
  <c r="AC67" i="61"/>
  <c r="AD67" i="61"/>
  <c r="AE67" i="61"/>
  <c r="AF67" i="61"/>
  <c r="AG67" i="61"/>
  <c r="D68" i="61"/>
  <c r="O68" i="61"/>
  <c r="P68" i="61"/>
  <c r="Q68" i="61"/>
  <c r="U68" i="61"/>
  <c r="V68" i="61"/>
  <c r="W68" i="61"/>
  <c r="X68" i="61"/>
  <c r="Y68" i="61"/>
  <c r="Z68" i="61"/>
  <c r="AA68" i="61"/>
  <c r="AB68" i="61"/>
  <c r="AC68" i="61"/>
  <c r="AD68" i="61"/>
  <c r="AE68" i="61"/>
  <c r="AF68" i="61"/>
  <c r="AG68" i="61"/>
  <c r="D69" i="61"/>
  <c r="O69" i="61"/>
  <c r="P69" i="61"/>
  <c r="Q69" i="61"/>
  <c r="U69" i="61"/>
  <c r="V69" i="61"/>
  <c r="W69" i="61"/>
  <c r="X69" i="61"/>
  <c r="Y69" i="61"/>
  <c r="Z69" i="61"/>
  <c r="AA69" i="61"/>
  <c r="AB69" i="61"/>
  <c r="AC69" i="61"/>
  <c r="AD69" i="61"/>
  <c r="AE69" i="61"/>
  <c r="AF69" i="61"/>
  <c r="AG69" i="61"/>
  <c r="D70" i="61"/>
  <c r="O70" i="61"/>
  <c r="P70" i="61"/>
  <c r="Q70" i="61"/>
  <c r="U70" i="61"/>
  <c r="V70" i="61"/>
  <c r="W70" i="61"/>
  <c r="X70" i="61"/>
  <c r="Y70" i="61"/>
  <c r="Z70" i="61"/>
  <c r="AA70" i="61"/>
  <c r="AB70" i="61"/>
  <c r="AC70" i="61"/>
  <c r="AD70" i="61"/>
  <c r="AE70" i="61"/>
  <c r="AF70" i="61"/>
  <c r="AG70" i="61"/>
  <c r="M39" i="62"/>
  <c r="I39" i="62"/>
  <c r="N39" i="62"/>
  <c r="S39" i="62"/>
  <c r="M38" i="62"/>
  <c r="I38" i="62"/>
  <c r="N38" i="62"/>
  <c r="S38" i="62"/>
  <c r="M37" i="62"/>
  <c r="I37" i="62"/>
  <c r="N37" i="62"/>
  <c r="S37" i="62"/>
  <c r="M36" i="62"/>
  <c r="I36" i="62"/>
  <c r="N36" i="62"/>
  <c r="S36" i="62"/>
  <c r="M35" i="62"/>
  <c r="I35" i="62"/>
  <c r="N35" i="62"/>
  <c r="S35" i="62"/>
  <c r="M34" i="62"/>
  <c r="I34" i="62"/>
  <c r="N34" i="62"/>
  <c r="S34" i="62"/>
  <c r="M33" i="62"/>
  <c r="I33" i="62"/>
  <c r="N33" i="62"/>
  <c r="S33" i="62"/>
  <c r="M32" i="62"/>
  <c r="I32" i="62"/>
  <c r="N32" i="62"/>
  <c r="S32" i="62"/>
  <c r="M31" i="62"/>
  <c r="I31" i="62"/>
  <c r="N31" i="62"/>
  <c r="S31" i="62"/>
  <c r="M30" i="62"/>
  <c r="I30" i="62"/>
  <c r="N30" i="62"/>
  <c r="S30" i="62"/>
  <c r="M29" i="62"/>
  <c r="I29" i="62"/>
  <c r="N29" i="62"/>
  <c r="S29" i="62"/>
  <c r="M28" i="62"/>
  <c r="I28" i="62"/>
  <c r="N28" i="62"/>
  <c r="S28" i="62"/>
  <c r="M27" i="62"/>
  <c r="I27" i="62"/>
  <c r="N27" i="62"/>
  <c r="S27" i="62"/>
  <c r="M26" i="62"/>
  <c r="I26" i="62"/>
  <c r="N26" i="62"/>
  <c r="S26" i="62"/>
  <c r="M25" i="62"/>
  <c r="I25" i="62"/>
  <c r="N25" i="62"/>
  <c r="S25" i="62"/>
  <c r="M24" i="62"/>
  <c r="I24" i="62"/>
  <c r="N24" i="62"/>
  <c r="S24" i="62"/>
  <c r="M23" i="62"/>
  <c r="I23" i="62"/>
  <c r="N23" i="62"/>
  <c r="S23" i="62"/>
  <c r="M22" i="62"/>
  <c r="I22" i="62"/>
  <c r="N22" i="62"/>
  <c r="S22" i="62"/>
  <c r="M21" i="62"/>
  <c r="I21" i="62"/>
  <c r="N21" i="62"/>
  <c r="S21" i="62"/>
  <c r="M20" i="62"/>
  <c r="I20" i="62"/>
  <c r="N20" i="62"/>
  <c r="S20" i="62"/>
  <c r="M19" i="62"/>
  <c r="I19" i="62"/>
  <c r="N19" i="62"/>
  <c r="S19" i="62"/>
  <c r="M18" i="62"/>
  <c r="I18" i="62"/>
  <c r="N18" i="62"/>
  <c r="S18" i="62"/>
  <c r="M17" i="62"/>
  <c r="I17" i="62"/>
  <c r="N17" i="62"/>
  <c r="S17" i="62"/>
  <c r="R39" i="62"/>
  <c r="R38" i="62"/>
  <c r="R37" i="62"/>
  <c r="R36" i="62"/>
  <c r="R35" i="62"/>
  <c r="R34" i="62"/>
  <c r="R33" i="62"/>
  <c r="R32" i="62"/>
  <c r="R31" i="62"/>
  <c r="R30" i="62"/>
  <c r="R29" i="62"/>
  <c r="R28" i="62"/>
  <c r="R27" i="62"/>
  <c r="R26" i="62"/>
  <c r="R25" i="62"/>
  <c r="R24" i="62"/>
  <c r="R23" i="62"/>
  <c r="R22" i="62"/>
  <c r="R21" i="62"/>
  <c r="R20" i="62"/>
  <c r="R19" i="62"/>
  <c r="R18" i="62"/>
  <c r="R17" i="62"/>
  <c r="T39" i="62"/>
  <c r="T38" i="62"/>
  <c r="T37" i="62"/>
  <c r="T36" i="62"/>
  <c r="T35" i="62"/>
  <c r="T34" i="62"/>
  <c r="T33" i="62"/>
  <c r="T32" i="62"/>
  <c r="T31" i="62"/>
  <c r="T30" i="62"/>
  <c r="T29" i="62"/>
  <c r="T28" i="62"/>
  <c r="T27" i="62"/>
  <c r="T26" i="62"/>
  <c r="T25" i="62"/>
  <c r="T24" i="62"/>
  <c r="T23" i="62"/>
  <c r="T22" i="62"/>
  <c r="T21" i="62"/>
  <c r="T20" i="62"/>
  <c r="T19" i="62"/>
  <c r="T18" i="62"/>
  <c r="T17" i="62"/>
  <c r="D17" i="62"/>
  <c r="O17" i="62"/>
  <c r="P17" i="62"/>
  <c r="Q17" i="62"/>
  <c r="U17" i="62"/>
  <c r="V17" i="62"/>
  <c r="W17" i="62"/>
  <c r="X17" i="62"/>
  <c r="Y17" i="62"/>
  <c r="Z17" i="62"/>
  <c r="AA17" i="62"/>
  <c r="AB17" i="62"/>
  <c r="AC17" i="62"/>
  <c r="AD17" i="62"/>
  <c r="AE17" i="62"/>
  <c r="AF17" i="62"/>
  <c r="AG17" i="62"/>
  <c r="D18" i="62"/>
  <c r="O18" i="62"/>
  <c r="P18" i="62"/>
  <c r="Q18" i="62"/>
  <c r="U18" i="62"/>
  <c r="V18" i="62"/>
  <c r="W18" i="62"/>
  <c r="X18" i="62"/>
  <c r="Y18" i="62"/>
  <c r="Z18" i="62"/>
  <c r="AA18" i="62"/>
  <c r="AB18" i="62"/>
  <c r="AC18" i="62"/>
  <c r="AD18" i="62"/>
  <c r="AE18" i="62"/>
  <c r="AF18" i="62"/>
  <c r="AG18" i="62"/>
  <c r="D19" i="62"/>
  <c r="O19" i="62"/>
  <c r="P19" i="62"/>
  <c r="Q19" i="62"/>
  <c r="U19" i="62"/>
  <c r="V19" i="62"/>
  <c r="W19" i="62"/>
  <c r="X19" i="62"/>
  <c r="Y19" i="62"/>
  <c r="Z19" i="62"/>
  <c r="AA19" i="62"/>
  <c r="AB19" i="62"/>
  <c r="AC19" i="62"/>
  <c r="AD19" i="62"/>
  <c r="AE19" i="62"/>
  <c r="AF19" i="62"/>
  <c r="AG19" i="62"/>
  <c r="D20" i="62"/>
  <c r="O20" i="62"/>
  <c r="P20" i="62"/>
  <c r="Q20" i="62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D21" i="62"/>
  <c r="O21" i="62"/>
  <c r="P21" i="62"/>
  <c r="Q21" i="62"/>
  <c r="U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D22" i="62"/>
  <c r="O22" i="62"/>
  <c r="P22" i="62"/>
  <c r="Q22" i="62"/>
  <c r="U22" i="62"/>
  <c r="V22" i="62"/>
  <c r="W22" i="62"/>
  <c r="X22" i="62"/>
  <c r="Y22" i="62"/>
  <c r="Z22" i="62"/>
  <c r="AA22" i="62"/>
  <c r="AB22" i="62"/>
  <c r="AC22" i="62"/>
  <c r="AD22" i="62"/>
  <c r="AE22" i="62"/>
  <c r="AF22" i="62"/>
  <c r="AG22" i="62"/>
  <c r="D23" i="62"/>
  <c r="O23" i="62"/>
  <c r="P23" i="62"/>
  <c r="Q23" i="62"/>
  <c r="U23" i="62"/>
  <c r="V23" i="62"/>
  <c r="W23" i="62"/>
  <c r="X23" i="62"/>
  <c r="Y23" i="62"/>
  <c r="Z23" i="62"/>
  <c r="AA23" i="62"/>
  <c r="AB23" i="62"/>
  <c r="AC23" i="62"/>
  <c r="AD23" i="62"/>
  <c r="AE23" i="62"/>
  <c r="AF23" i="62"/>
  <c r="AG23" i="62"/>
  <c r="D24" i="62"/>
  <c r="O24" i="62"/>
  <c r="P24" i="62"/>
  <c r="Q24" i="62"/>
  <c r="U24" i="62"/>
  <c r="V24" i="62"/>
  <c r="W24" i="62"/>
  <c r="X24" i="62"/>
  <c r="Y24" i="62"/>
  <c r="Z24" i="62"/>
  <c r="AA24" i="62"/>
  <c r="AB24" i="62"/>
  <c r="AC24" i="62"/>
  <c r="AD24" i="62"/>
  <c r="AE24" i="62"/>
  <c r="AF24" i="62"/>
  <c r="AG24" i="62"/>
  <c r="D25" i="62"/>
  <c r="O25" i="62"/>
  <c r="P25" i="62"/>
  <c r="Q25" i="62"/>
  <c r="U25" i="62"/>
  <c r="V25" i="62"/>
  <c r="W25" i="62"/>
  <c r="X25" i="62"/>
  <c r="Y25" i="62"/>
  <c r="Z25" i="62"/>
  <c r="AA25" i="62"/>
  <c r="AB25" i="62"/>
  <c r="AC25" i="62"/>
  <c r="AD25" i="62"/>
  <c r="AE25" i="62"/>
  <c r="AF25" i="62"/>
  <c r="AG25" i="62"/>
  <c r="D26" i="62"/>
  <c r="O26" i="62"/>
  <c r="P26" i="62"/>
  <c r="Q26" i="62"/>
  <c r="U26" i="62"/>
  <c r="V26" i="62"/>
  <c r="W26" i="62"/>
  <c r="X26" i="62"/>
  <c r="Y26" i="62"/>
  <c r="Z26" i="62"/>
  <c r="AA26" i="62"/>
  <c r="AB26" i="62"/>
  <c r="AC26" i="62"/>
  <c r="AD26" i="62"/>
  <c r="AE26" i="62"/>
  <c r="AF26" i="62"/>
  <c r="AG26" i="62"/>
  <c r="D27" i="62"/>
  <c r="O27" i="62"/>
  <c r="P27" i="62"/>
  <c r="Q27" i="62"/>
  <c r="U27" i="62"/>
  <c r="V27" i="62"/>
  <c r="W27" i="62"/>
  <c r="X27" i="62"/>
  <c r="Y27" i="62"/>
  <c r="Z27" i="62"/>
  <c r="AA27" i="62"/>
  <c r="AB27" i="62"/>
  <c r="AC27" i="62"/>
  <c r="AD27" i="62"/>
  <c r="AE27" i="62"/>
  <c r="AF27" i="62"/>
  <c r="AG27" i="62"/>
  <c r="D28" i="62"/>
  <c r="O28" i="62"/>
  <c r="P28" i="62"/>
  <c r="Q28" i="62"/>
  <c r="U28" i="62"/>
  <c r="V28" i="62"/>
  <c r="W28" i="62"/>
  <c r="X28" i="62"/>
  <c r="Y28" i="62"/>
  <c r="Z28" i="62"/>
  <c r="AA28" i="62"/>
  <c r="AB28" i="62"/>
  <c r="AC28" i="62"/>
  <c r="AD28" i="62"/>
  <c r="AE28" i="62"/>
  <c r="AF28" i="62"/>
  <c r="AG28" i="62"/>
  <c r="D29" i="62"/>
  <c r="O29" i="62"/>
  <c r="P29" i="62"/>
  <c r="Q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D30" i="62"/>
  <c r="O30" i="62"/>
  <c r="P30" i="62"/>
  <c r="Q30" i="62"/>
  <c r="U30" i="62"/>
  <c r="V30" i="62"/>
  <c r="W30" i="62"/>
  <c r="X30" i="62"/>
  <c r="Y30" i="62"/>
  <c r="Z30" i="62"/>
  <c r="AA30" i="62"/>
  <c r="AB30" i="62"/>
  <c r="AC30" i="62"/>
  <c r="AD30" i="62"/>
  <c r="AE30" i="62"/>
  <c r="AF30" i="62"/>
  <c r="AG30" i="62"/>
  <c r="D31" i="62"/>
  <c r="O31" i="62"/>
  <c r="P31" i="62"/>
  <c r="Q31" i="62"/>
  <c r="U31" i="62"/>
  <c r="V31" i="62"/>
  <c r="W31" i="62"/>
  <c r="X31" i="62"/>
  <c r="Y31" i="62"/>
  <c r="Z31" i="62"/>
  <c r="AA31" i="62"/>
  <c r="AB31" i="62"/>
  <c r="AC31" i="62"/>
  <c r="AD31" i="62"/>
  <c r="AE31" i="62"/>
  <c r="AF31" i="62"/>
  <c r="AG31" i="62"/>
  <c r="D32" i="62"/>
  <c r="O32" i="62"/>
  <c r="P32" i="62"/>
  <c r="Q32" i="62"/>
  <c r="U32" i="62"/>
  <c r="V32" i="62"/>
  <c r="W32" i="62"/>
  <c r="X32" i="62"/>
  <c r="Y32" i="62"/>
  <c r="Z32" i="62"/>
  <c r="AA32" i="62"/>
  <c r="AB32" i="62"/>
  <c r="AC32" i="62"/>
  <c r="AD32" i="62"/>
  <c r="AE32" i="62"/>
  <c r="AF32" i="62"/>
  <c r="AG32" i="62"/>
  <c r="D33" i="62"/>
  <c r="O33" i="62"/>
  <c r="P33" i="62"/>
  <c r="Q33" i="62"/>
  <c r="U33" i="62"/>
  <c r="V33" i="62"/>
  <c r="W33" i="62"/>
  <c r="X33" i="62"/>
  <c r="Y33" i="62"/>
  <c r="Z33" i="62"/>
  <c r="AA33" i="62"/>
  <c r="AB33" i="62"/>
  <c r="AC33" i="62"/>
  <c r="AD33" i="62"/>
  <c r="AE33" i="62"/>
  <c r="AF33" i="62"/>
  <c r="AG33" i="62"/>
  <c r="D34" i="62"/>
  <c r="O34" i="62"/>
  <c r="P34" i="62"/>
  <c r="Q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D35" i="62"/>
  <c r="O35" i="62"/>
  <c r="P35" i="62"/>
  <c r="Q35" i="62"/>
  <c r="U35" i="62"/>
  <c r="V35" i="62"/>
  <c r="W35" i="62"/>
  <c r="X35" i="62"/>
  <c r="Y35" i="62"/>
  <c r="Z35" i="62"/>
  <c r="AA35" i="62"/>
  <c r="AB35" i="62"/>
  <c r="AC35" i="62"/>
  <c r="AD35" i="62"/>
  <c r="AE35" i="62"/>
  <c r="AF35" i="62"/>
  <c r="AG35" i="62"/>
  <c r="D36" i="62"/>
  <c r="O36" i="62"/>
  <c r="P36" i="62"/>
  <c r="Q36" i="62"/>
  <c r="U36" i="62"/>
  <c r="V36" i="62"/>
  <c r="W36" i="62"/>
  <c r="X36" i="62"/>
  <c r="Y36" i="62"/>
  <c r="Z36" i="62"/>
  <c r="AA36" i="62"/>
  <c r="AB36" i="62"/>
  <c r="AC36" i="62"/>
  <c r="AD36" i="62"/>
  <c r="AE36" i="62"/>
  <c r="AF36" i="62"/>
  <c r="AG36" i="62"/>
  <c r="D37" i="62"/>
  <c r="O37" i="62"/>
  <c r="P37" i="62"/>
  <c r="Q37" i="62"/>
  <c r="U37" i="62"/>
  <c r="V37" i="62"/>
  <c r="W37" i="62"/>
  <c r="X37" i="62"/>
  <c r="Y37" i="62"/>
  <c r="Z37" i="62"/>
  <c r="AA37" i="62"/>
  <c r="AB37" i="62"/>
  <c r="AC37" i="62"/>
  <c r="AD37" i="62"/>
  <c r="AE37" i="62"/>
  <c r="AF37" i="62"/>
  <c r="AG37" i="62"/>
  <c r="D38" i="62"/>
  <c r="O38" i="62"/>
  <c r="P38" i="62"/>
  <c r="Q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D39" i="62"/>
  <c r="O39" i="62"/>
  <c r="P39" i="62"/>
  <c r="Q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AG13" i="62"/>
  <c r="AF13" i="62"/>
  <c r="AE13" i="62"/>
  <c r="AD13" i="62"/>
  <c r="AC13" i="62"/>
  <c r="AB13" i="62"/>
  <c r="AA13" i="62"/>
  <c r="Z13" i="62"/>
  <c r="Y13" i="62"/>
  <c r="X13" i="62"/>
  <c r="W13" i="62"/>
  <c r="V13" i="62"/>
  <c r="Q13" i="62"/>
  <c r="P13" i="62"/>
  <c r="O13" i="62"/>
  <c r="N13" i="62"/>
  <c r="F6" i="62"/>
  <c r="F7" i="62"/>
  <c r="F8" i="62"/>
  <c r="F9" i="62"/>
  <c r="F13" i="62"/>
  <c r="J12" i="62"/>
  <c r="X10" i="62"/>
  <c r="N10" i="62"/>
  <c r="V9" i="62"/>
  <c r="X9" i="62"/>
  <c r="N9" i="62"/>
  <c r="H9" i="62"/>
  <c r="G9" i="62"/>
  <c r="AB8" i="62"/>
  <c r="Z8" i="62"/>
  <c r="X8" i="62"/>
  <c r="V8" i="62"/>
  <c r="N8" i="62"/>
  <c r="G8" i="62"/>
  <c r="AB6" i="62"/>
  <c r="N6" i="62"/>
  <c r="AB7" i="62"/>
  <c r="Z6" i="62"/>
  <c r="Z7" i="62"/>
  <c r="X6" i="62"/>
  <c r="X7" i="62"/>
  <c r="V6" i="62"/>
  <c r="V7" i="62"/>
  <c r="J7" i="62"/>
  <c r="H7" i="62"/>
  <c r="I7" i="62"/>
  <c r="G7" i="62"/>
  <c r="AS4" i="62"/>
  <c r="AS5" i="62"/>
  <c r="AG13" i="61"/>
  <c r="AF13" i="61"/>
  <c r="AE13" i="61"/>
  <c r="AD13" i="61"/>
  <c r="AC13" i="61"/>
  <c r="AB13" i="61"/>
  <c r="AA13" i="61"/>
  <c r="Z13" i="61"/>
  <c r="Y13" i="61"/>
  <c r="X13" i="61"/>
  <c r="W13" i="61"/>
  <c r="V13" i="61"/>
  <c r="Q13" i="61"/>
  <c r="P13" i="61"/>
  <c r="O13" i="61"/>
  <c r="N13" i="61"/>
  <c r="F6" i="61"/>
  <c r="F7" i="61"/>
  <c r="F8" i="61"/>
  <c r="F9" i="61"/>
  <c r="F13" i="61"/>
  <c r="J12" i="61"/>
  <c r="X10" i="61"/>
  <c r="N10" i="61"/>
  <c r="V9" i="61"/>
  <c r="X9" i="61"/>
  <c r="N9" i="61"/>
  <c r="H9" i="61"/>
  <c r="G9" i="61"/>
  <c r="AB8" i="61"/>
  <c r="Z8" i="61"/>
  <c r="X8" i="61"/>
  <c r="V8" i="61"/>
  <c r="N8" i="61"/>
  <c r="G8" i="61"/>
  <c r="AB6" i="61"/>
  <c r="N6" i="61"/>
  <c r="AB7" i="61"/>
  <c r="Z6" i="61"/>
  <c r="Z7" i="61"/>
  <c r="X6" i="61"/>
  <c r="X7" i="61"/>
  <c r="V6" i="61"/>
  <c r="V7" i="61"/>
  <c r="J7" i="61"/>
  <c r="H7" i="61"/>
  <c r="I7" i="61"/>
  <c r="G7" i="61"/>
  <c r="AS4" i="61"/>
  <c r="AS5" i="61"/>
  <c r="AG13" i="60"/>
  <c r="AF13" i="60"/>
  <c r="AE13" i="60"/>
  <c r="AD13" i="60"/>
  <c r="AC13" i="60"/>
  <c r="AB13" i="60"/>
  <c r="AA13" i="60"/>
  <c r="Z13" i="60"/>
  <c r="Y13" i="60"/>
  <c r="X13" i="60"/>
  <c r="W13" i="60"/>
  <c r="V13" i="60"/>
  <c r="Q13" i="60"/>
  <c r="P13" i="60"/>
  <c r="O13" i="60"/>
  <c r="N13" i="60"/>
  <c r="F6" i="60"/>
  <c r="F7" i="60"/>
  <c r="F8" i="60"/>
  <c r="F9" i="60"/>
  <c r="F13" i="60"/>
  <c r="J12" i="60"/>
  <c r="X10" i="60"/>
  <c r="N10" i="60"/>
  <c r="V9" i="60"/>
  <c r="X9" i="60"/>
  <c r="N9" i="60"/>
  <c r="H9" i="60"/>
  <c r="G9" i="60"/>
  <c r="AB8" i="60"/>
  <c r="Z8" i="60"/>
  <c r="X8" i="60"/>
  <c r="V8" i="60"/>
  <c r="N8" i="60"/>
  <c r="G8" i="60"/>
  <c r="AB6" i="60"/>
  <c r="N6" i="60"/>
  <c r="AB7" i="60"/>
  <c r="Z6" i="60"/>
  <c r="Z7" i="60"/>
  <c r="X6" i="60"/>
  <c r="X7" i="60"/>
  <c r="V6" i="60"/>
  <c r="V7" i="60"/>
  <c r="J7" i="60"/>
  <c r="H7" i="60"/>
  <c r="I7" i="60"/>
  <c r="G7" i="60"/>
  <c r="AS4" i="60"/>
  <c r="AS5" i="60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Q13" i="59"/>
  <c r="P13" i="59"/>
  <c r="O13" i="59"/>
  <c r="N13" i="59"/>
  <c r="F6" i="59"/>
  <c r="F7" i="59"/>
  <c r="F8" i="59"/>
  <c r="F9" i="59"/>
  <c r="F13" i="59"/>
  <c r="J12" i="59"/>
  <c r="X10" i="59"/>
  <c r="N10" i="59"/>
  <c r="V9" i="59"/>
  <c r="X9" i="59"/>
  <c r="N9" i="59"/>
  <c r="H9" i="59"/>
  <c r="G9" i="59"/>
  <c r="AB8" i="59"/>
  <c r="Z8" i="59"/>
  <c r="X8" i="59"/>
  <c r="V8" i="59"/>
  <c r="N8" i="59"/>
  <c r="G8" i="59"/>
  <c r="AB6" i="59"/>
  <c r="N6" i="59"/>
  <c r="AB7" i="59"/>
  <c r="Z6" i="59"/>
  <c r="Z7" i="59"/>
  <c r="X6" i="59"/>
  <c r="X7" i="59"/>
  <c r="V6" i="59"/>
  <c r="V7" i="59"/>
  <c r="J7" i="59"/>
  <c r="H7" i="59"/>
  <c r="I7" i="59"/>
  <c r="G7" i="59"/>
  <c r="AS4" i="59"/>
  <c r="AS5" i="59"/>
  <c r="AG13" i="58"/>
  <c r="AF13" i="58"/>
  <c r="AE13" i="58"/>
  <c r="AD13" i="58"/>
  <c r="AC13" i="58"/>
  <c r="AB13" i="58"/>
  <c r="AA13" i="58"/>
  <c r="Z13" i="58"/>
  <c r="Y13" i="58"/>
  <c r="X13" i="58"/>
  <c r="W13" i="58"/>
  <c r="V13" i="58"/>
  <c r="Q13" i="58"/>
  <c r="P13" i="58"/>
  <c r="O13" i="58"/>
  <c r="N13" i="58"/>
  <c r="F6" i="58"/>
  <c r="F7" i="58"/>
  <c r="F8" i="58"/>
  <c r="F9" i="58"/>
  <c r="F13" i="58"/>
  <c r="J12" i="58"/>
  <c r="X10" i="58"/>
  <c r="N10" i="58"/>
  <c r="V9" i="58"/>
  <c r="X9" i="58"/>
  <c r="N9" i="58"/>
  <c r="H9" i="58"/>
  <c r="G9" i="58"/>
  <c r="AB8" i="58"/>
  <c r="Z8" i="58"/>
  <c r="X8" i="58"/>
  <c r="V8" i="58"/>
  <c r="N8" i="58"/>
  <c r="G8" i="58"/>
  <c r="AB6" i="58"/>
  <c r="N6" i="58"/>
  <c r="AB7" i="58"/>
  <c r="Z6" i="58"/>
  <c r="Z7" i="58"/>
  <c r="X6" i="58"/>
  <c r="X7" i="58"/>
  <c r="V6" i="58"/>
  <c r="V7" i="58"/>
  <c r="J7" i="58"/>
  <c r="H7" i="58"/>
  <c r="I7" i="58"/>
  <c r="G7" i="58"/>
  <c r="AS4" i="58"/>
  <c r="AS5" i="58"/>
  <c r="AG13" i="57"/>
  <c r="AF13" i="57"/>
  <c r="AE13" i="57"/>
  <c r="AD13" i="57"/>
  <c r="AC13" i="57"/>
  <c r="AB13" i="57"/>
  <c r="AA13" i="57"/>
  <c r="Z13" i="57"/>
  <c r="Y13" i="57"/>
  <c r="X13" i="57"/>
  <c r="W13" i="57"/>
  <c r="V13" i="57"/>
  <c r="Q13" i="57"/>
  <c r="P13" i="57"/>
  <c r="O13" i="57"/>
  <c r="N13" i="57"/>
  <c r="F6" i="57"/>
  <c r="F7" i="57"/>
  <c r="F8" i="57"/>
  <c r="F9" i="57"/>
  <c r="F13" i="57"/>
  <c r="J12" i="57"/>
  <c r="X10" i="57"/>
  <c r="N10" i="57"/>
  <c r="V9" i="57"/>
  <c r="X9" i="57"/>
  <c r="N9" i="57"/>
  <c r="H9" i="57"/>
  <c r="G9" i="57"/>
  <c r="AB8" i="57"/>
  <c r="Z8" i="57"/>
  <c r="X8" i="57"/>
  <c r="V8" i="57"/>
  <c r="N8" i="57"/>
  <c r="G8" i="57"/>
  <c r="AB6" i="57"/>
  <c r="N6" i="57"/>
  <c r="AB7" i="57"/>
  <c r="Z6" i="57"/>
  <c r="Z7" i="57"/>
  <c r="X6" i="57"/>
  <c r="X7" i="57"/>
  <c r="V6" i="57"/>
  <c r="V7" i="57"/>
  <c r="J7" i="57"/>
  <c r="H7" i="57"/>
  <c r="I7" i="57"/>
  <c r="G7" i="57"/>
  <c r="AS4" i="57"/>
  <c r="AS5" i="57"/>
  <c r="AG13" i="56"/>
  <c r="AF13" i="56"/>
  <c r="AE13" i="56"/>
  <c r="AD13" i="56"/>
  <c r="AC13" i="56"/>
  <c r="AB13" i="56"/>
  <c r="AA13" i="56"/>
  <c r="Z13" i="56"/>
  <c r="Y13" i="56"/>
  <c r="X13" i="56"/>
  <c r="W13" i="56"/>
  <c r="V13" i="56"/>
  <c r="Q13" i="56"/>
  <c r="P13" i="56"/>
  <c r="O13" i="56"/>
  <c r="N13" i="56"/>
  <c r="F6" i="56"/>
  <c r="F7" i="56"/>
  <c r="F8" i="56"/>
  <c r="F9" i="56"/>
  <c r="F13" i="56"/>
  <c r="J12" i="56"/>
  <c r="X10" i="56"/>
  <c r="N10" i="56"/>
  <c r="V9" i="56"/>
  <c r="X9" i="56"/>
  <c r="N9" i="56"/>
  <c r="H9" i="56"/>
  <c r="G9" i="56"/>
  <c r="AB8" i="56"/>
  <c r="Z8" i="56"/>
  <c r="X8" i="56"/>
  <c r="V8" i="56"/>
  <c r="N8" i="56"/>
  <c r="G8" i="56"/>
  <c r="AB6" i="56"/>
  <c r="N6" i="56"/>
  <c r="AB7" i="56"/>
  <c r="Z6" i="56"/>
  <c r="Z7" i="56"/>
  <c r="X6" i="56"/>
  <c r="X7" i="56"/>
  <c r="V6" i="56"/>
  <c r="V7" i="56"/>
  <c r="J7" i="56"/>
  <c r="H7" i="56"/>
  <c r="I7" i="56"/>
  <c r="G7" i="56"/>
  <c r="AS4" i="56"/>
  <c r="AS5" i="56"/>
  <c r="AG13" i="55"/>
  <c r="AF13" i="55"/>
  <c r="AE13" i="55"/>
  <c r="AD13" i="55"/>
  <c r="AC13" i="55"/>
  <c r="AB13" i="55"/>
  <c r="AA13" i="55"/>
  <c r="Z13" i="55"/>
  <c r="Y13" i="55"/>
  <c r="X13" i="55"/>
  <c r="W13" i="55"/>
  <c r="V13" i="55"/>
  <c r="Q13" i="55"/>
  <c r="P13" i="55"/>
  <c r="O13" i="55"/>
  <c r="N13" i="55"/>
  <c r="F6" i="55"/>
  <c r="F7" i="55"/>
  <c r="F8" i="55"/>
  <c r="F9" i="55"/>
  <c r="F13" i="55"/>
  <c r="J12" i="55"/>
  <c r="X10" i="55"/>
  <c r="N10" i="55"/>
  <c r="V9" i="55"/>
  <c r="X9" i="55"/>
  <c r="N9" i="55"/>
  <c r="H9" i="55"/>
  <c r="G9" i="55"/>
  <c r="AB8" i="55"/>
  <c r="Z8" i="55"/>
  <c r="X8" i="55"/>
  <c r="V8" i="55"/>
  <c r="N8" i="55"/>
  <c r="G8" i="55"/>
  <c r="AB6" i="55"/>
  <c r="N6" i="55"/>
  <c r="AB7" i="55"/>
  <c r="Z6" i="55"/>
  <c r="Z7" i="55"/>
  <c r="X6" i="55"/>
  <c r="X7" i="55"/>
  <c r="V6" i="55"/>
  <c r="V7" i="55"/>
  <c r="J7" i="55"/>
  <c r="H7" i="55"/>
  <c r="I7" i="55"/>
  <c r="G7" i="55"/>
  <c r="AS4" i="55"/>
  <c r="AS5" i="55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Q13" i="54"/>
  <c r="P13" i="54"/>
  <c r="O13" i="54"/>
  <c r="N13" i="54"/>
  <c r="F6" i="54"/>
  <c r="F7" i="54"/>
  <c r="F8" i="54"/>
  <c r="F9" i="54"/>
  <c r="F13" i="54"/>
  <c r="J12" i="54"/>
  <c r="X10" i="54"/>
  <c r="N10" i="54"/>
  <c r="V9" i="54"/>
  <c r="X9" i="54"/>
  <c r="N9" i="54"/>
  <c r="H9" i="54"/>
  <c r="G9" i="54"/>
  <c r="AB8" i="54"/>
  <c r="Z8" i="54"/>
  <c r="X8" i="54"/>
  <c r="V8" i="54"/>
  <c r="N8" i="54"/>
  <c r="G8" i="54"/>
  <c r="AB6" i="54"/>
  <c r="N6" i="54"/>
  <c r="AB7" i="54"/>
  <c r="Z6" i="54"/>
  <c r="Z7" i="54"/>
  <c r="X6" i="54"/>
  <c r="X7" i="54"/>
  <c r="V6" i="54"/>
  <c r="V7" i="54"/>
  <c r="J7" i="54"/>
  <c r="H7" i="54"/>
  <c r="I7" i="54"/>
  <c r="G7" i="54"/>
  <c r="AS4" i="54"/>
  <c r="AS5" i="54"/>
  <c r="AG13" i="53"/>
  <c r="AF13" i="53"/>
  <c r="AE13" i="53"/>
  <c r="AD13" i="53"/>
  <c r="AC13" i="53"/>
  <c r="AB13" i="53"/>
  <c r="AA13" i="53"/>
  <c r="Z13" i="53"/>
  <c r="Y13" i="53"/>
  <c r="X13" i="53"/>
  <c r="W13" i="53"/>
  <c r="V13" i="53"/>
  <c r="Q13" i="53"/>
  <c r="P13" i="53"/>
  <c r="O13" i="53"/>
  <c r="N13" i="53"/>
  <c r="F6" i="53"/>
  <c r="F7" i="53"/>
  <c r="F8" i="53"/>
  <c r="F9" i="53"/>
  <c r="F13" i="53"/>
  <c r="J12" i="53"/>
  <c r="X10" i="53"/>
  <c r="N10" i="53"/>
  <c r="V9" i="53"/>
  <c r="X9" i="53"/>
  <c r="N9" i="53"/>
  <c r="H9" i="53"/>
  <c r="G9" i="53"/>
  <c r="AB8" i="53"/>
  <c r="Z8" i="53"/>
  <c r="X8" i="53"/>
  <c r="V8" i="53"/>
  <c r="N8" i="53"/>
  <c r="G8" i="53"/>
  <c r="AB6" i="53"/>
  <c r="N6" i="53"/>
  <c r="AB7" i="53"/>
  <c r="Z6" i="53"/>
  <c r="Z7" i="53"/>
  <c r="X6" i="53"/>
  <c r="X7" i="53"/>
  <c r="V6" i="53"/>
  <c r="V7" i="53"/>
  <c r="J7" i="53"/>
  <c r="H7" i="53"/>
  <c r="I7" i="53"/>
  <c r="G7" i="53"/>
  <c r="AS4" i="53"/>
  <c r="AS5" i="53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Q13" i="52"/>
  <c r="P13" i="52"/>
  <c r="O13" i="52"/>
  <c r="N13" i="52"/>
  <c r="F6" i="52"/>
  <c r="F7" i="52"/>
  <c r="F8" i="52"/>
  <c r="F9" i="52"/>
  <c r="F13" i="52"/>
  <c r="J12" i="52"/>
  <c r="X10" i="52"/>
  <c r="N10" i="52"/>
  <c r="V9" i="52"/>
  <c r="X9" i="52"/>
  <c r="N9" i="52"/>
  <c r="H9" i="52"/>
  <c r="G9" i="52"/>
  <c r="AB8" i="52"/>
  <c r="Z8" i="52"/>
  <c r="X8" i="52"/>
  <c r="V8" i="52"/>
  <c r="N8" i="52"/>
  <c r="G8" i="52"/>
  <c r="AB6" i="52"/>
  <c r="N6" i="52"/>
  <c r="AB7" i="52"/>
  <c r="Z6" i="52"/>
  <c r="Z7" i="52"/>
  <c r="X6" i="52"/>
  <c r="X7" i="52"/>
  <c r="V6" i="52"/>
  <c r="V7" i="52"/>
  <c r="J7" i="52"/>
  <c r="H7" i="52"/>
  <c r="I7" i="52"/>
  <c r="G7" i="52"/>
  <c r="AS4" i="52"/>
  <c r="AS5" i="52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Q13" i="51"/>
  <c r="P13" i="51"/>
  <c r="O13" i="51"/>
  <c r="N13" i="51"/>
  <c r="F6" i="51"/>
  <c r="F7" i="51"/>
  <c r="F8" i="51"/>
  <c r="F9" i="51"/>
  <c r="F13" i="51"/>
  <c r="J12" i="51"/>
  <c r="X10" i="51"/>
  <c r="N10" i="51"/>
  <c r="V9" i="51"/>
  <c r="X9" i="51"/>
  <c r="N9" i="51"/>
  <c r="H9" i="51"/>
  <c r="G9" i="51"/>
  <c r="AB8" i="51"/>
  <c r="Z8" i="51"/>
  <c r="X8" i="51"/>
  <c r="V8" i="51"/>
  <c r="N8" i="51"/>
  <c r="G8" i="51"/>
  <c r="AB6" i="51"/>
  <c r="N6" i="51"/>
  <c r="AB7" i="51"/>
  <c r="Z6" i="51"/>
  <c r="Z7" i="51"/>
  <c r="X6" i="51"/>
  <c r="X7" i="51"/>
  <c r="V6" i="51"/>
  <c r="V7" i="51"/>
  <c r="J7" i="51"/>
  <c r="H7" i="51"/>
  <c r="I7" i="51"/>
  <c r="G7" i="51"/>
  <c r="AS4" i="51"/>
  <c r="AS5" i="51"/>
  <c r="AG13" i="50"/>
  <c r="AF13" i="50"/>
  <c r="AE13" i="50"/>
  <c r="AD13" i="50"/>
  <c r="AC13" i="50"/>
  <c r="AB13" i="50"/>
  <c r="AA13" i="50"/>
  <c r="Z13" i="50"/>
  <c r="Y13" i="50"/>
  <c r="X13" i="50"/>
  <c r="W13" i="50"/>
  <c r="V13" i="50"/>
  <c r="Q13" i="50"/>
  <c r="P13" i="50"/>
  <c r="O13" i="50"/>
  <c r="N13" i="50"/>
  <c r="F6" i="50"/>
  <c r="F7" i="50"/>
  <c r="F8" i="50"/>
  <c r="F9" i="50"/>
  <c r="F13" i="50"/>
  <c r="J12" i="50"/>
  <c r="X10" i="50"/>
  <c r="N10" i="50"/>
  <c r="V9" i="50"/>
  <c r="X9" i="50"/>
  <c r="N9" i="50"/>
  <c r="H9" i="50"/>
  <c r="G9" i="50"/>
  <c r="AB8" i="50"/>
  <c r="Z8" i="50"/>
  <c r="X8" i="50"/>
  <c r="V8" i="50"/>
  <c r="N8" i="50"/>
  <c r="G8" i="50"/>
  <c r="AB6" i="50"/>
  <c r="N6" i="50"/>
  <c r="AB7" i="50"/>
  <c r="Z6" i="50"/>
  <c r="Z7" i="50"/>
  <c r="X6" i="50"/>
  <c r="X7" i="50"/>
  <c r="V6" i="50"/>
  <c r="V7" i="50"/>
  <c r="J7" i="50"/>
  <c r="H7" i="50"/>
  <c r="I7" i="50"/>
  <c r="G7" i="50"/>
  <c r="AS4" i="50"/>
  <c r="AS5" i="50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Q13" i="49"/>
  <c r="P13" i="49"/>
  <c r="O13" i="49"/>
  <c r="N13" i="49"/>
  <c r="F6" i="49"/>
  <c r="F7" i="49"/>
  <c r="F8" i="49"/>
  <c r="F9" i="49"/>
  <c r="F13" i="49"/>
  <c r="J12" i="49"/>
  <c r="X10" i="49"/>
  <c r="N10" i="49"/>
  <c r="V9" i="49"/>
  <c r="X9" i="49"/>
  <c r="N9" i="49"/>
  <c r="H9" i="49"/>
  <c r="G9" i="49"/>
  <c r="AB8" i="49"/>
  <c r="Z8" i="49"/>
  <c r="X8" i="49"/>
  <c r="V8" i="49"/>
  <c r="N8" i="49"/>
  <c r="G8" i="49"/>
  <c r="AB6" i="49"/>
  <c r="N6" i="49"/>
  <c r="AB7" i="49"/>
  <c r="Z6" i="49"/>
  <c r="Z7" i="49"/>
  <c r="X6" i="49"/>
  <c r="X7" i="49"/>
  <c r="V6" i="49"/>
  <c r="V7" i="49"/>
  <c r="J7" i="49"/>
  <c r="H7" i="49"/>
  <c r="I7" i="49"/>
  <c r="G7" i="49"/>
  <c r="AS4" i="49"/>
  <c r="AS5" i="49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Q13" i="48"/>
  <c r="P13" i="48"/>
  <c r="O13" i="48"/>
  <c r="N13" i="48"/>
  <c r="F6" i="48"/>
  <c r="F7" i="48"/>
  <c r="F8" i="48"/>
  <c r="F9" i="48"/>
  <c r="F13" i="48"/>
  <c r="J12" i="48"/>
  <c r="X10" i="48"/>
  <c r="N10" i="48"/>
  <c r="V9" i="48"/>
  <c r="X9" i="48"/>
  <c r="N9" i="48"/>
  <c r="H9" i="48"/>
  <c r="G9" i="48"/>
  <c r="AB8" i="48"/>
  <c r="Z8" i="48"/>
  <c r="X8" i="48"/>
  <c r="V8" i="48"/>
  <c r="N8" i="48"/>
  <c r="G8" i="48"/>
  <c r="AB6" i="48"/>
  <c r="N6" i="48"/>
  <c r="AB7" i="48"/>
  <c r="Z6" i="48"/>
  <c r="Z7" i="48"/>
  <c r="X6" i="48"/>
  <c r="X7" i="48"/>
  <c r="V6" i="48"/>
  <c r="V7" i="48"/>
  <c r="J7" i="48"/>
  <c r="H7" i="48"/>
  <c r="I7" i="48"/>
  <c r="G7" i="48"/>
  <c r="AS4" i="48"/>
  <c r="AS5" i="48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Q13" i="47"/>
  <c r="P13" i="47"/>
  <c r="O13" i="47"/>
  <c r="N13" i="47"/>
  <c r="F6" i="47"/>
  <c r="F7" i="47"/>
  <c r="F8" i="47"/>
  <c r="F9" i="47"/>
  <c r="F13" i="47"/>
  <c r="J12" i="47"/>
  <c r="X10" i="47"/>
  <c r="N10" i="47"/>
  <c r="V9" i="47"/>
  <c r="X9" i="47"/>
  <c r="N9" i="47"/>
  <c r="H9" i="47"/>
  <c r="G9" i="47"/>
  <c r="AB8" i="47"/>
  <c r="Z8" i="47"/>
  <c r="X8" i="47"/>
  <c r="V8" i="47"/>
  <c r="N8" i="47"/>
  <c r="G8" i="47"/>
  <c r="AB6" i="47"/>
  <c r="N6" i="47"/>
  <c r="AB7" i="47"/>
  <c r="Z6" i="47"/>
  <c r="Z7" i="47"/>
  <c r="X6" i="47"/>
  <c r="X7" i="47"/>
  <c r="V6" i="47"/>
  <c r="V7" i="47"/>
  <c r="J7" i="47"/>
  <c r="H7" i="47"/>
  <c r="I7" i="47"/>
  <c r="G7" i="47"/>
  <c r="AS4" i="47"/>
  <c r="AS5" i="47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Q13" i="46"/>
  <c r="P13" i="46"/>
  <c r="O13" i="46"/>
  <c r="N13" i="46"/>
  <c r="F6" i="46"/>
  <c r="F7" i="46"/>
  <c r="F8" i="46"/>
  <c r="F9" i="46"/>
  <c r="F13" i="46"/>
  <c r="J12" i="46"/>
  <c r="X10" i="46"/>
  <c r="N10" i="46"/>
  <c r="V9" i="46"/>
  <c r="X9" i="46"/>
  <c r="N9" i="46"/>
  <c r="H9" i="46"/>
  <c r="G9" i="46"/>
  <c r="AB8" i="46"/>
  <c r="Z8" i="46"/>
  <c r="X8" i="46"/>
  <c r="V8" i="46"/>
  <c r="N8" i="46"/>
  <c r="G8" i="46"/>
  <c r="AB6" i="46"/>
  <c r="N6" i="46"/>
  <c r="AB7" i="46"/>
  <c r="Z6" i="46"/>
  <c r="Z7" i="46"/>
  <c r="X6" i="46"/>
  <c r="X7" i="46"/>
  <c r="V6" i="46"/>
  <c r="V7" i="46"/>
  <c r="J7" i="46"/>
  <c r="H7" i="46"/>
  <c r="I7" i="46"/>
  <c r="G7" i="46"/>
  <c r="AS4" i="46"/>
  <c r="AS5" i="46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Q13" i="45"/>
  <c r="P13" i="45"/>
  <c r="O13" i="45"/>
  <c r="N13" i="45"/>
  <c r="F6" i="45"/>
  <c r="F7" i="45"/>
  <c r="F8" i="45"/>
  <c r="F9" i="45"/>
  <c r="F13" i="45"/>
  <c r="J12" i="45"/>
  <c r="X10" i="45"/>
  <c r="N10" i="45"/>
  <c r="V9" i="45"/>
  <c r="X9" i="45"/>
  <c r="N9" i="45"/>
  <c r="H9" i="45"/>
  <c r="G9" i="45"/>
  <c r="AB8" i="45"/>
  <c r="Z8" i="45"/>
  <c r="X8" i="45"/>
  <c r="V8" i="45"/>
  <c r="N8" i="45"/>
  <c r="G8" i="45"/>
  <c r="AB6" i="45"/>
  <c r="N6" i="45"/>
  <c r="AB7" i="45"/>
  <c r="Z6" i="45"/>
  <c r="Z7" i="45"/>
  <c r="X6" i="45"/>
  <c r="X7" i="45"/>
  <c r="V6" i="45"/>
  <c r="V7" i="45"/>
  <c r="J7" i="45"/>
  <c r="H7" i="45"/>
  <c r="I7" i="45"/>
  <c r="G7" i="45"/>
  <c r="AS4" i="45"/>
  <c r="AS5" i="45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Q13" i="44"/>
  <c r="P13" i="44"/>
  <c r="O13" i="44"/>
  <c r="N13" i="44"/>
  <c r="F6" i="44"/>
  <c r="F7" i="44"/>
  <c r="F8" i="44"/>
  <c r="F9" i="44"/>
  <c r="F13" i="44"/>
  <c r="J12" i="44"/>
  <c r="X10" i="44"/>
  <c r="N10" i="44"/>
  <c r="V9" i="44"/>
  <c r="X9" i="44"/>
  <c r="N9" i="44"/>
  <c r="H9" i="44"/>
  <c r="G9" i="44"/>
  <c r="AB8" i="44"/>
  <c r="Z8" i="44"/>
  <c r="X8" i="44"/>
  <c r="V8" i="44"/>
  <c r="N8" i="44"/>
  <c r="G8" i="44"/>
  <c r="AB6" i="44"/>
  <c r="N6" i="44"/>
  <c r="AB7" i="44"/>
  <c r="Z6" i="44"/>
  <c r="Z7" i="44"/>
  <c r="X6" i="44"/>
  <c r="X7" i="44"/>
  <c r="V6" i="44"/>
  <c r="V7" i="44"/>
  <c r="J7" i="44"/>
  <c r="H7" i="44"/>
  <c r="I7" i="44"/>
  <c r="G7" i="44"/>
  <c r="AS4" i="44"/>
  <c r="AS5" i="44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Q13" i="43"/>
  <c r="P13" i="43"/>
  <c r="O13" i="43"/>
  <c r="N13" i="43"/>
  <c r="F6" i="43"/>
  <c r="F7" i="43"/>
  <c r="F8" i="43"/>
  <c r="F9" i="43"/>
  <c r="F13" i="43"/>
  <c r="J12" i="43"/>
  <c r="X10" i="43"/>
  <c r="N10" i="43"/>
  <c r="V9" i="43"/>
  <c r="X9" i="43"/>
  <c r="N9" i="43"/>
  <c r="H9" i="43"/>
  <c r="G9" i="43"/>
  <c r="AB8" i="43"/>
  <c r="Z8" i="43"/>
  <c r="X8" i="43"/>
  <c r="V8" i="43"/>
  <c r="N8" i="43"/>
  <c r="G8" i="43"/>
  <c r="AB6" i="43"/>
  <c r="N6" i="43"/>
  <c r="AB7" i="43"/>
  <c r="Z6" i="43"/>
  <c r="Z7" i="43"/>
  <c r="X6" i="43"/>
  <c r="X7" i="43"/>
  <c r="V6" i="43"/>
  <c r="V7" i="43"/>
  <c r="J7" i="43"/>
  <c r="H7" i="43"/>
  <c r="I7" i="43"/>
  <c r="G7" i="43"/>
  <c r="AS4" i="43"/>
  <c r="AS5" i="43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Q13" i="42"/>
  <c r="P13" i="42"/>
  <c r="O13" i="42"/>
  <c r="N13" i="42"/>
  <c r="F6" i="42"/>
  <c r="F7" i="42"/>
  <c r="F8" i="42"/>
  <c r="F9" i="42"/>
  <c r="F13" i="42"/>
  <c r="J12" i="42"/>
  <c r="X10" i="42"/>
  <c r="N10" i="42"/>
  <c r="V9" i="42"/>
  <c r="X9" i="42"/>
  <c r="N9" i="42"/>
  <c r="H9" i="42"/>
  <c r="G9" i="42"/>
  <c r="AB8" i="42"/>
  <c r="Z8" i="42"/>
  <c r="X8" i="42"/>
  <c r="V8" i="42"/>
  <c r="N8" i="42"/>
  <c r="G8" i="42"/>
  <c r="AB6" i="42"/>
  <c r="N6" i="42"/>
  <c r="AB7" i="42"/>
  <c r="Z6" i="42"/>
  <c r="Z7" i="42"/>
  <c r="X6" i="42"/>
  <c r="X7" i="42"/>
  <c r="V6" i="42"/>
  <c r="V7" i="42"/>
  <c r="J7" i="42"/>
  <c r="H7" i="42"/>
  <c r="I7" i="42"/>
  <c r="G7" i="42"/>
  <c r="AS4" i="42"/>
  <c r="AS5" i="42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Q13" i="41"/>
  <c r="P13" i="41"/>
  <c r="O13" i="41"/>
  <c r="N13" i="41"/>
  <c r="F6" i="41"/>
  <c r="F7" i="41"/>
  <c r="F8" i="41"/>
  <c r="F9" i="41"/>
  <c r="F13" i="41"/>
  <c r="J12" i="41"/>
  <c r="X10" i="41"/>
  <c r="N10" i="41"/>
  <c r="V9" i="41"/>
  <c r="X9" i="41"/>
  <c r="N9" i="41"/>
  <c r="H9" i="41"/>
  <c r="G9" i="41"/>
  <c r="AB8" i="41"/>
  <c r="Z8" i="41"/>
  <c r="X8" i="41"/>
  <c r="V8" i="41"/>
  <c r="N8" i="41"/>
  <c r="G8" i="41"/>
  <c r="AB6" i="41"/>
  <c r="N6" i="41"/>
  <c r="AB7" i="41"/>
  <c r="Z6" i="41"/>
  <c r="Z7" i="41"/>
  <c r="X6" i="41"/>
  <c r="X7" i="41"/>
  <c r="V6" i="41"/>
  <c r="V7" i="41"/>
  <c r="J7" i="41"/>
  <c r="H7" i="41"/>
  <c r="I7" i="41"/>
  <c r="G7" i="41"/>
  <c r="AS4" i="41"/>
  <c r="AS5" i="41"/>
  <c r="N8" i="34"/>
  <c r="F8" i="34"/>
  <c r="F6" i="34"/>
  <c r="F7" i="34"/>
  <c r="F9" i="34"/>
  <c r="F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Q13" i="34"/>
  <c r="P13" i="34"/>
  <c r="O13" i="34"/>
  <c r="N13" i="34"/>
  <c r="J12" i="34"/>
  <c r="X10" i="34"/>
  <c r="V9" i="34"/>
  <c r="X9" i="34"/>
  <c r="N10" i="34"/>
  <c r="H9" i="34"/>
  <c r="G9" i="34"/>
  <c r="AB8" i="34"/>
  <c r="Z8" i="34"/>
  <c r="X8" i="34"/>
  <c r="V8" i="34"/>
  <c r="N9" i="34"/>
  <c r="G8" i="34"/>
  <c r="AB6" i="34"/>
  <c r="N6" i="34"/>
  <c r="AB7" i="34"/>
  <c r="Z6" i="34"/>
  <c r="Z7" i="34"/>
  <c r="X6" i="34"/>
  <c r="X7" i="34"/>
  <c r="V6" i="34"/>
  <c r="V7" i="34"/>
  <c r="J7" i="34"/>
  <c r="H7" i="34"/>
  <c r="I7" i="34"/>
  <c r="G7" i="34"/>
  <c r="AS4" i="34"/>
  <c r="AS5" i="34"/>
  <c r="E2" i="6"/>
  <c r="E6" i="6"/>
  <c r="E5" i="6"/>
  <c r="E4" i="6"/>
  <c r="E3" i="6"/>
  <c r="G3" i="6"/>
  <c r="G2" i="6"/>
  <c r="P1" i="6"/>
  <c r="S1" i="6"/>
  <c r="M1" i="6"/>
</calcChain>
</file>

<file path=xl/sharedStrings.xml><?xml version="1.0" encoding="utf-8"?>
<sst xmlns="http://schemas.openxmlformats.org/spreadsheetml/2006/main" count="5866" uniqueCount="124">
  <si>
    <t>x/check</t>
  </si>
  <si>
    <t>LOSERS</t>
  </si>
  <si>
    <t>PERCENTAGE</t>
  </si>
  <si>
    <t>BREAKEVEN</t>
  </si>
  <si>
    <t>WINNERS</t>
  </si>
  <si>
    <t>IND</t>
  </si>
  <si>
    <t>COMM</t>
  </si>
  <si>
    <t>FX</t>
  </si>
  <si>
    <t>AVERAGE</t>
  </si>
  <si>
    <t>PERCENT</t>
  </si>
  <si>
    <t>TOTAL TRADES</t>
  </si>
  <si>
    <t>Entry &gt; 2ATR from Resistance / Support.</t>
  </si>
  <si>
    <t>BUT only if :</t>
  </si>
  <si>
    <t>S</t>
  </si>
  <si>
    <t>Short</t>
  </si>
  <si>
    <t>L</t>
  </si>
  <si>
    <t>Long</t>
  </si>
  <si>
    <t>Trade Direction:</t>
  </si>
  <si>
    <t>Index</t>
  </si>
  <si>
    <t>COM</t>
  </si>
  <si>
    <t>Commodities</t>
  </si>
  <si>
    <t>Currency</t>
  </si>
  <si>
    <t>RESULT</t>
  </si>
  <si>
    <t>EXIT</t>
  </si>
  <si>
    <t>DATE</t>
  </si>
  <si>
    <t xml:space="preserve">STOP </t>
  </si>
  <si>
    <t xml:space="preserve">ENTRY </t>
  </si>
  <si>
    <t>INST.</t>
  </si>
  <si>
    <t>L/S</t>
  </si>
  <si>
    <t>Inst</t>
  </si>
  <si>
    <t>No. of Rs</t>
  </si>
  <si>
    <t>Open</t>
  </si>
  <si>
    <t>Closed</t>
  </si>
  <si>
    <t>O</t>
  </si>
  <si>
    <t>C</t>
  </si>
  <si>
    <t>O/C</t>
  </si>
  <si>
    <t>Heat</t>
  </si>
  <si>
    <t>O / C Trades</t>
  </si>
  <si>
    <t>Length of 
Trade</t>
  </si>
  <si>
    <t>Win</t>
  </si>
  <si>
    <t>Loss</t>
  </si>
  <si>
    <t>Breakeven</t>
  </si>
  <si>
    <t>Average Hold Times</t>
  </si>
  <si>
    <t xml:space="preserve"> TR WIN</t>
  </si>
  <si>
    <t xml:space="preserve"> TR LOSS</t>
  </si>
  <si>
    <t>TR
(in Pips)</t>
  </si>
  <si>
    <t xml:space="preserve">Max Portfolio Risk is: </t>
  </si>
  <si>
    <t>GROUP PROFITS in TR</t>
  </si>
  <si>
    <t>DATE2</t>
  </si>
  <si>
    <t>Heat3</t>
  </si>
  <si>
    <t>Heat4</t>
  </si>
  <si>
    <t>Heat5</t>
  </si>
  <si>
    <t>TARGET</t>
  </si>
  <si>
    <t xml:space="preserve">Across </t>
  </si>
  <si>
    <t>Positions</t>
  </si>
  <si>
    <t xml:space="preserve">ENTRY PRICE </t>
  </si>
  <si>
    <t xml:space="preserve">INITIAL STOP </t>
  </si>
  <si>
    <t>EXIT DATE</t>
  </si>
  <si>
    <t xml:space="preserve">STOP/EXIT PRICE </t>
  </si>
  <si>
    <t>ENTRY DATE</t>
  </si>
  <si>
    <t>TOTAL PORTFOLIO RISK</t>
  </si>
  <si>
    <t>WIN/LOSS RATIO</t>
  </si>
  <si>
    <t>EXPECTANCY
ie Mean TR</t>
  </si>
  <si>
    <t>MARKET RISK</t>
  </si>
  <si>
    <t>Date</t>
  </si>
  <si>
    <t>Profits in TR</t>
  </si>
  <si>
    <t>$ Value of TR</t>
  </si>
  <si>
    <t>Profits in $</t>
  </si>
  <si>
    <t>Cumulative Equity</t>
  </si>
  <si>
    <t>Closed Weekending Friday</t>
  </si>
  <si>
    <t>Current Capital</t>
  </si>
  <si>
    <t>Profit to Date</t>
  </si>
  <si>
    <t>% Profit</t>
  </si>
  <si>
    <t>Starting Capital</t>
  </si>
  <si>
    <t>Grand Total</t>
  </si>
  <si>
    <t>Sum of Cumulative Equity</t>
  </si>
  <si>
    <t>Total Positions Open</t>
  </si>
  <si>
    <t>AATS H4 SYSTEM 2022</t>
  </si>
  <si>
    <t>Sheet Name</t>
  </si>
  <si>
    <t>Instrument</t>
  </si>
  <si>
    <t>BTCUSD</t>
  </si>
  <si>
    <t>AUDJPY</t>
  </si>
  <si>
    <t>ETHUSD</t>
  </si>
  <si>
    <t>AUDUSD</t>
  </si>
  <si>
    <t>CRYPTO</t>
  </si>
  <si>
    <t>GBPJPY</t>
  </si>
  <si>
    <t>Cryptocurrency</t>
  </si>
  <si>
    <t>Instrument Type:</t>
  </si>
  <si>
    <t>XAUUSD</t>
  </si>
  <si>
    <t>XAGUSD</t>
  </si>
  <si>
    <t>ASX200</t>
  </si>
  <si>
    <t>GER30</t>
  </si>
  <si>
    <t>NDX100</t>
  </si>
  <si>
    <t>SPX500</t>
  </si>
  <si>
    <t>UK100</t>
  </si>
  <si>
    <t>US30</t>
  </si>
  <si>
    <t>EURAUD</t>
  </si>
  <si>
    <t>EURGBP</t>
  </si>
  <si>
    <t>EURJPY</t>
  </si>
  <si>
    <t>EURUSD</t>
  </si>
  <si>
    <t>GBPAUD</t>
  </si>
  <si>
    <t>GBPUSD</t>
  </si>
  <si>
    <t>USDJPY</t>
  </si>
  <si>
    <t>Heat6</t>
  </si>
  <si>
    <t>Equity</t>
  </si>
  <si>
    <t>Drawdown</t>
  </si>
  <si>
    <t>Maximum DrawDown:</t>
  </si>
  <si>
    <t>Equity Peak</t>
  </si>
  <si>
    <t>USOUSD</t>
  </si>
  <si>
    <t>Initial Losing Trade</t>
  </si>
  <si>
    <t>Current DrawDown:</t>
  </si>
  <si>
    <t>Total Profits in R:</t>
  </si>
  <si>
    <t>Capital at End:</t>
  </si>
  <si>
    <t>AATS H4 SYSTEM 2021</t>
  </si>
  <si>
    <t>USD/JPY</t>
  </si>
  <si>
    <t>GBP/USD</t>
  </si>
  <si>
    <t>GBP/JPY</t>
  </si>
  <si>
    <t>GBP/AUD</t>
  </si>
  <si>
    <t>EUR/USD</t>
  </si>
  <si>
    <t>EUR/JPY</t>
  </si>
  <si>
    <t>EUR/GBP</t>
  </si>
  <si>
    <t>EUR/AUD</t>
  </si>
  <si>
    <t>AUD/USD</t>
  </si>
  <si>
    <t>AUD/JPY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</si>
</sst>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164" formatCode="#,##0.00_ ;[Red]\-#,##0.00\ "/>
    <numFmt numFmtId="165" formatCode="0.0%"/>
    <numFmt numFmtId="166" formatCode="#,##0.0000_ ;[Red]\-#,##0.0000\ "/>
    <numFmt numFmtId="167" formatCode="#,##0.0_ ;[Red]\-#,##0.0\ "/>
    <numFmt numFmtId="168" formatCode="#,##0_ ;[Red]\-#,##0\ "/>
    <numFmt numFmtId="169" formatCode="dd/mm/yy;@"/>
    <numFmt numFmtId="170" formatCode="#,##0.000_ ;[Red]\-#,##0.000\ "/>
  </numFmts>
  <fonts count="37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20"/>
      <name val="Gill Sans MT"/>
      <family val="2"/>
    </font>
    <font>
      <b/>
      <sz val="10"/>
      <color rgb="FFFF000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color rgb="FFFF0000"/>
      <name val="Gill Sans MT"/>
      <family val="2"/>
    </font>
    <font>
      <b/>
      <sz val="9"/>
      <color rgb="FFFF000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theme="0" tint="-4.9989318521683403E-2"/>
      <name val="Gill Sans MT"/>
      <family val="2"/>
    </font>
    <font>
      <b/>
      <i/>
      <sz val="10"/>
      <color theme="1"/>
      <name val="Gill Sans MT"/>
      <family val="2"/>
    </font>
    <font>
      <b/>
      <i/>
      <sz val="10"/>
      <color theme="0"/>
      <name val="Gill Sans MT"/>
      <family val="2"/>
    </font>
    <font>
      <b/>
      <sz val="7"/>
      <name val="Gill Sans MT"/>
      <family val="2"/>
    </font>
    <font>
      <sz val="10"/>
      <color theme="1"/>
      <name val="Gill Sans MT"/>
      <family val="2"/>
    </font>
    <font>
      <b/>
      <sz val="12"/>
      <name val="Gill Sans MT"/>
      <family val="2"/>
    </font>
    <font>
      <b/>
      <sz val="12"/>
      <color rgb="FFFF0000"/>
      <name val="Gill Sans MT"/>
      <family val="2"/>
    </font>
    <font>
      <sz val="10"/>
      <color theme="1"/>
      <name val="Gill Sans MT"/>
      <family val="2"/>
    </font>
    <font>
      <b/>
      <i/>
      <sz val="9"/>
      <color theme="1"/>
      <name val="Gill Sans MT"/>
      <family val="2"/>
    </font>
    <font>
      <sz val="10"/>
      <color theme="0"/>
      <name val="Verdana"/>
      <family val="2"/>
    </font>
    <font>
      <b/>
      <i/>
      <sz val="9"/>
      <name val="Gill Sans MT"/>
      <family val="2"/>
    </font>
    <font>
      <sz val="12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b/>
      <sz val="20"/>
      <color theme="0"/>
      <name val="Gill Sans MT"/>
      <family val="2"/>
    </font>
    <font>
      <b/>
      <sz val="9"/>
      <color theme="0"/>
      <name val="Gill Sans MT"/>
      <family val="2"/>
    </font>
    <font>
      <sz val="9"/>
      <color theme="0"/>
      <name val="Gill Sans MT"/>
      <family val="2"/>
    </font>
    <font>
      <i/>
      <sz val="10"/>
      <color theme="0"/>
      <name val="Gill Sans MT"/>
      <family val="2"/>
    </font>
    <font>
      <i/>
      <sz val="9"/>
      <color theme="0"/>
      <name val="Gill Sans MT"/>
      <family val="2"/>
    </font>
    <font>
      <sz val="10"/>
      <name val="Gill Sans MT"/>
    </font>
    <font>
      <sz val="10"/>
      <color theme="1"/>
      <name val="Gill Sans MT"/>
    </font>
    <font>
      <sz val="10"/>
      <color theme="0"/>
      <name val="Gill Sans MT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E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6" fillId="0" borderId="0"/>
  </cellStyleXfs>
  <cellXfs count="232">
    <xf numFmtId="0" fontId="0" fillId="0" borderId="0" xfId="0"/>
    <xf numFmtId="0" fontId="4" fillId="17" borderId="0" xfId="0" applyFont="1" applyFill="1" applyAlignment="1">
      <alignment vertical="center"/>
    </xf>
    <xf numFmtId="164" fontId="4" fillId="17" borderId="0" xfId="0" applyNumberFormat="1" applyFont="1" applyFill="1" applyAlignment="1">
      <alignment vertical="center"/>
    </xf>
    <xf numFmtId="0" fontId="4" fillId="17" borderId="0" xfId="0" applyFont="1" applyFill="1"/>
    <xf numFmtId="0" fontId="9" fillId="11" borderId="8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/>
    </xf>
    <xf numFmtId="0" fontId="10" fillId="11" borderId="15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9" fillId="17" borderId="0" xfId="0" applyFont="1" applyFill="1" applyAlignment="1">
      <alignment horizontal="center"/>
    </xf>
    <xf numFmtId="0" fontId="10" fillId="11" borderId="18" xfId="0" applyFont="1" applyFill="1" applyBorder="1"/>
    <xf numFmtId="0" fontId="10" fillId="11" borderId="0" xfId="0" applyFont="1" applyFill="1"/>
    <xf numFmtId="0" fontId="10" fillId="11" borderId="19" xfId="0" applyFont="1" applyFill="1" applyBorder="1"/>
    <xf numFmtId="1" fontId="11" fillId="11" borderId="14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4" fontId="5" fillId="11" borderId="0" xfId="0" applyNumberFormat="1" applyFont="1" applyFill="1"/>
    <xf numFmtId="164" fontId="11" fillId="11" borderId="20" xfId="0" applyNumberFormat="1" applyFont="1" applyFill="1" applyBorder="1" applyAlignment="1">
      <alignment horizontal="center" vertical="center"/>
    </xf>
    <xf numFmtId="0" fontId="4" fillId="11" borderId="14" xfId="0" applyFont="1" applyFill="1" applyBorder="1"/>
    <xf numFmtId="0" fontId="8" fillId="11" borderId="16" xfId="0" applyFont="1" applyFill="1" applyBorder="1"/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1" xfId="0" applyFont="1" applyFill="1" applyBorder="1"/>
    <xf numFmtId="1" fontId="11" fillId="11" borderId="21" xfId="0" applyNumberFormat="1" applyFont="1" applyFill="1" applyBorder="1" applyAlignment="1">
      <alignment horizontal="center"/>
    </xf>
    <xf numFmtId="165" fontId="11" fillId="11" borderId="21" xfId="1" applyNumberFormat="1" applyFont="1" applyFill="1" applyBorder="1" applyAlignment="1" applyProtection="1">
      <alignment horizontal="center"/>
    </xf>
    <xf numFmtId="164" fontId="5" fillId="17" borderId="0" xfId="0" applyNumberFormat="1" applyFont="1" applyFill="1"/>
    <xf numFmtId="165" fontId="11" fillId="11" borderId="21" xfId="1" applyNumberFormat="1" applyFont="1" applyFill="1" applyBorder="1" applyAlignment="1" applyProtection="1">
      <alignment horizontal="center" vertical="center"/>
    </xf>
    <xf numFmtId="0" fontId="5" fillId="11" borderId="16" xfId="0" applyFont="1" applyFill="1" applyBorder="1"/>
    <xf numFmtId="0" fontId="8" fillId="11" borderId="0" xfId="0" applyFont="1" applyFill="1"/>
    <xf numFmtId="164" fontId="5" fillId="11" borderId="21" xfId="0" applyNumberFormat="1" applyFont="1" applyFill="1" applyBorder="1" applyAlignment="1">
      <alignment horizontal="center" vertical="center"/>
    </xf>
    <xf numFmtId="0" fontId="5" fillId="11" borderId="0" xfId="0" applyFont="1" applyFill="1"/>
    <xf numFmtId="1" fontId="11" fillId="11" borderId="22" xfId="0" applyNumberFormat="1" applyFont="1" applyFill="1" applyBorder="1" applyAlignment="1">
      <alignment horizontal="center"/>
    </xf>
    <xf numFmtId="165" fontId="11" fillId="11" borderId="22" xfId="0" applyNumberFormat="1" applyFont="1" applyFill="1" applyBorder="1" applyAlignment="1">
      <alignment horizontal="center"/>
    </xf>
    <xf numFmtId="164" fontId="5" fillId="11" borderId="22" xfId="0" applyNumberFormat="1" applyFont="1" applyFill="1" applyBorder="1" applyAlignment="1">
      <alignment horizontal="center" vertical="center"/>
    </xf>
    <xf numFmtId="164" fontId="5" fillId="11" borderId="8" xfId="0" applyNumberFormat="1" applyFont="1" applyFill="1" applyBorder="1" applyAlignment="1">
      <alignment horizontal="center" vertical="center"/>
    </xf>
    <xf numFmtId="164" fontId="5" fillId="11" borderId="5" xfId="0" applyNumberFormat="1" applyFont="1" applyFill="1" applyBorder="1" applyAlignment="1">
      <alignment horizontal="center" vertical="center"/>
    </xf>
    <xf numFmtId="164" fontId="5" fillId="11" borderId="9" xfId="0" applyNumberFormat="1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164" fontId="5" fillId="17" borderId="0" xfId="0" applyNumberFormat="1" applyFont="1" applyFill="1" applyAlignment="1">
      <alignment horizontal="right"/>
    </xf>
    <xf numFmtId="164" fontId="15" fillId="11" borderId="0" xfId="0" applyNumberFormat="1" applyFont="1" applyFill="1" applyAlignment="1">
      <alignment horizontal="left"/>
    </xf>
    <xf numFmtId="166" fontId="17" fillId="8" borderId="6" xfId="0" applyNumberFormat="1" applyFont="1" applyFill="1" applyBorder="1"/>
    <xf numFmtId="167" fontId="16" fillId="3" borderId="10" xfId="0" applyNumberFormat="1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164" fontId="18" fillId="9" borderId="25" xfId="0" applyNumberFormat="1" applyFont="1" applyFill="1" applyBorder="1" applyAlignment="1">
      <alignment horizontal="center" vertical="center"/>
    </xf>
    <xf numFmtId="166" fontId="16" fillId="4" borderId="32" xfId="0" applyNumberFormat="1" applyFont="1" applyFill="1" applyBorder="1" applyAlignment="1">
      <alignment horizontal="center" vertical="center"/>
    </xf>
    <xf numFmtId="168" fontId="5" fillId="9" borderId="6" xfId="0" applyNumberFormat="1" applyFont="1" applyFill="1" applyBorder="1" applyAlignment="1">
      <alignment horizontal="center" vertical="center"/>
    </xf>
    <xf numFmtId="168" fontId="5" fillId="9" borderId="7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 wrapText="1"/>
    </xf>
    <xf numFmtId="164" fontId="11" fillId="11" borderId="21" xfId="0" applyNumberFormat="1" applyFont="1" applyFill="1" applyBorder="1" applyAlignment="1">
      <alignment horizontal="center"/>
    </xf>
    <xf numFmtId="164" fontId="11" fillId="11" borderId="22" xfId="0" applyNumberFormat="1" applyFont="1" applyFill="1" applyBorder="1" applyAlignment="1">
      <alignment horizontal="center"/>
    </xf>
    <xf numFmtId="167" fontId="5" fillId="14" borderId="7" xfId="0" applyNumberFormat="1" applyFont="1" applyFill="1" applyBorder="1" applyAlignment="1" applyProtection="1">
      <alignment horizontal="center"/>
      <protection locked="0"/>
    </xf>
    <xf numFmtId="169" fontId="1" fillId="0" borderId="0" xfId="50" applyNumberFormat="1" applyAlignment="1">
      <alignment horizontal="center" vertical="center"/>
    </xf>
    <xf numFmtId="40" fontId="1" fillId="0" borderId="0" xfId="50" applyNumberFormat="1" applyAlignment="1">
      <alignment horizontal="center" vertical="center"/>
    </xf>
    <xf numFmtId="8" fontId="1" fillId="0" borderId="0" xfId="50" applyNumberFormat="1" applyAlignment="1">
      <alignment horizontal="center" vertical="center"/>
    </xf>
    <xf numFmtId="0" fontId="1" fillId="0" borderId="0" xfId="50"/>
    <xf numFmtId="8" fontId="0" fillId="0" borderId="0" xfId="0" applyNumberFormat="1"/>
    <xf numFmtId="0" fontId="9" fillId="15" borderId="8" xfId="50" applyFont="1" applyFill="1" applyBorder="1" applyAlignment="1">
      <alignment horizontal="center" vertical="center"/>
    </xf>
    <xf numFmtId="6" fontId="23" fillId="9" borderId="6" xfId="50" applyNumberFormat="1" applyFont="1" applyFill="1" applyBorder="1" applyAlignment="1">
      <alignment horizontal="center" vertical="center"/>
    </xf>
    <xf numFmtId="165" fontId="23" fillId="9" borderId="6" xfId="50" applyNumberFormat="1" applyFont="1" applyFill="1" applyBorder="1" applyAlignment="1">
      <alignment horizontal="center" vertical="center"/>
    </xf>
    <xf numFmtId="169" fontId="19" fillId="0" borderId="0" xfId="50" applyNumberFormat="1" applyFont="1" applyAlignment="1" applyProtection="1">
      <alignment horizontal="center" vertical="center"/>
      <protection locked="0"/>
    </xf>
    <xf numFmtId="40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>
      <alignment horizontal="center" vertical="center"/>
    </xf>
    <xf numFmtId="8" fontId="1" fillId="0" borderId="0" xfId="50" applyNumberFormat="1"/>
    <xf numFmtId="0" fontId="24" fillId="0" borderId="0" xfId="50" applyFont="1"/>
    <xf numFmtId="169" fontId="0" fillId="0" borderId="0" xfId="0" applyNumberFormat="1" applyAlignment="1">
      <alignment horizontal="left"/>
    </xf>
    <xf numFmtId="169" fontId="22" fillId="0" borderId="0" xfId="50" applyNumberFormat="1" applyFont="1" applyAlignment="1" applyProtection="1">
      <alignment horizontal="center" vertical="center"/>
      <protection locked="0"/>
    </xf>
    <xf numFmtId="40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>
      <alignment horizontal="center" vertical="center"/>
    </xf>
    <xf numFmtId="169" fontId="1" fillId="0" borderId="0" xfId="50" applyNumberFormat="1"/>
    <xf numFmtId="40" fontId="1" fillId="0" borderId="0" xfId="50" applyNumberFormat="1"/>
    <xf numFmtId="0" fontId="0" fillId="0" borderId="0" xfId="0" pivotButton="1"/>
    <xf numFmtId="6" fontId="23" fillId="9" borderId="6" xfId="50" applyNumberFormat="1" applyFont="1" applyFill="1" applyBorder="1" applyAlignment="1" applyProtection="1">
      <alignment horizontal="center" vertical="center"/>
      <protection locked="0"/>
    </xf>
    <xf numFmtId="0" fontId="5" fillId="18" borderId="7" xfId="0" applyFont="1" applyFill="1" applyBorder="1" applyAlignment="1">
      <alignment horizontal="center" vertical="center"/>
    </xf>
    <xf numFmtId="0" fontId="26" fillId="0" borderId="0" xfId="51" applyAlignment="1">
      <alignment horizontal="center"/>
    </xf>
    <xf numFmtId="164" fontId="11" fillId="11" borderId="18" xfId="0" applyNumberFormat="1" applyFont="1" applyFill="1" applyBorder="1" applyAlignment="1">
      <alignment horizontal="center" vertical="center"/>
    </xf>
    <xf numFmtId="165" fontId="11" fillId="11" borderId="18" xfId="1" applyNumberFormat="1" applyFont="1" applyFill="1" applyBorder="1" applyAlignment="1" applyProtection="1">
      <alignment horizontal="center" vertical="center"/>
    </xf>
    <xf numFmtId="164" fontId="5" fillId="11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7" fontId="16" fillId="3" borderId="33" xfId="0" applyNumberFormat="1" applyFont="1" applyFill="1" applyBorder="1" applyAlignment="1">
      <alignment horizontal="center" vertical="center"/>
    </xf>
    <xf numFmtId="168" fontId="16" fillId="3" borderId="33" xfId="0" applyNumberFormat="1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0" fontId="16" fillId="3" borderId="33" xfId="0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10" fontId="4" fillId="0" borderId="0" xfId="0" applyNumberFormat="1" applyFont="1"/>
    <xf numFmtId="10" fontId="5" fillId="16" borderId="30" xfId="0" applyNumberFormat="1" applyFont="1" applyFill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22" fontId="5" fillId="12" borderId="4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/>
    </xf>
    <xf numFmtId="22" fontId="4" fillId="0" borderId="0" xfId="0" applyNumberFormat="1" applyFont="1"/>
    <xf numFmtId="22" fontId="9" fillId="11" borderId="8" xfId="0" applyNumberFormat="1" applyFont="1" applyFill="1" applyBorder="1" applyAlignment="1">
      <alignment vertical="center"/>
    </xf>
    <xf numFmtId="22" fontId="9" fillId="11" borderId="21" xfId="0" applyNumberFormat="1" applyFont="1" applyFill="1" applyBorder="1" applyAlignment="1">
      <alignment horizontal="right"/>
    </xf>
    <xf numFmtId="22" fontId="9" fillId="11" borderId="22" xfId="0" applyNumberFormat="1" applyFont="1" applyFill="1" applyBorder="1" applyAlignment="1">
      <alignment horizontal="right"/>
    </xf>
    <xf numFmtId="22" fontId="9" fillId="15" borderId="8" xfId="50" applyNumberFormat="1" applyFont="1" applyFill="1" applyBorder="1" applyAlignment="1">
      <alignment horizontal="center" vertical="center"/>
    </xf>
    <xf numFmtId="22" fontId="14" fillId="11" borderId="14" xfId="0" applyNumberFormat="1" applyFont="1" applyFill="1" applyBorder="1" applyAlignment="1">
      <alignment horizontal="right"/>
    </xf>
    <xf numFmtId="22" fontId="5" fillId="12" borderId="6" xfId="0" applyNumberFormat="1" applyFont="1" applyFill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 applyProtection="1">
      <alignment vertical="center"/>
      <protection locked="0"/>
    </xf>
    <xf numFmtId="0" fontId="4" fillId="19" borderId="0" xfId="0" applyFont="1" applyFill="1" applyAlignment="1">
      <alignment vertical="center"/>
    </xf>
    <xf numFmtId="0" fontId="4" fillId="19" borderId="0" xfId="0" applyFont="1" applyFill="1"/>
    <xf numFmtId="0" fontId="4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22" fontId="4" fillId="19" borderId="0" xfId="0" applyNumberFormat="1" applyFont="1" applyFill="1" applyAlignment="1">
      <alignment vertical="center"/>
    </xf>
    <xf numFmtId="164" fontId="6" fillId="19" borderId="0" xfId="0" applyNumberFormat="1" applyFont="1" applyFill="1" applyAlignment="1">
      <alignment horizontal="left" vertical="center"/>
    </xf>
    <xf numFmtId="164" fontId="4" fillId="19" borderId="0" xfId="0" applyNumberFormat="1" applyFont="1" applyFill="1" applyAlignment="1">
      <alignment vertical="center"/>
    </xf>
    <xf numFmtId="0" fontId="7" fillId="19" borderId="0" xfId="0" applyFont="1" applyFill="1" applyAlignment="1" applyProtection="1">
      <alignment vertical="center"/>
      <protection locked="0"/>
    </xf>
    <xf numFmtId="0" fontId="8" fillId="19" borderId="0" xfId="0" applyFont="1" applyFill="1" applyAlignment="1">
      <alignment horizontal="center" vertical="center"/>
    </xf>
    <xf numFmtId="0" fontId="8" fillId="19" borderId="0" xfId="0" applyFont="1" applyFill="1"/>
    <xf numFmtId="0" fontId="4" fillId="19" borderId="0" xfId="0" applyFont="1" applyFill="1" applyAlignment="1">
      <alignment horizontal="center"/>
    </xf>
    <xf numFmtId="22" fontId="4" fillId="19" borderId="0" xfId="0" applyNumberFormat="1" applyFont="1" applyFill="1"/>
    <xf numFmtId="22" fontId="13" fillId="19" borderId="0" xfId="0" applyNumberFormat="1" applyFont="1" applyFill="1" applyAlignment="1">
      <alignment horizontal="right"/>
    </xf>
    <xf numFmtId="0" fontId="6" fillId="19" borderId="0" xfId="0" applyFont="1" applyFill="1"/>
    <xf numFmtId="168" fontId="6" fillId="19" borderId="0" xfId="0" applyNumberFormat="1" applyFont="1" applyFill="1"/>
    <xf numFmtId="10" fontId="6" fillId="19" borderId="0" xfId="0" applyNumberFormat="1" applyFont="1" applyFill="1"/>
    <xf numFmtId="168" fontId="4" fillId="19" borderId="0" xfId="0" applyNumberFormat="1" applyFont="1" applyFill="1"/>
    <xf numFmtId="10" fontId="4" fillId="19" borderId="0" xfId="0" applyNumberFormat="1" applyFont="1" applyFill="1"/>
    <xf numFmtId="164" fontId="28" fillId="19" borderId="0" xfId="0" applyNumberFormat="1" applyFont="1" applyFill="1" applyAlignment="1">
      <alignment vertical="center"/>
    </xf>
    <xf numFmtId="168" fontId="28" fillId="19" borderId="0" xfId="0" applyNumberFormat="1" applyFont="1" applyFill="1" applyAlignment="1">
      <alignment vertical="center"/>
    </xf>
    <xf numFmtId="10" fontId="28" fillId="19" borderId="0" xfId="0" applyNumberFormat="1" applyFont="1" applyFill="1" applyAlignment="1">
      <alignment vertical="center"/>
    </xf>
    <xf numFmtId="0" fontId="29" fillId="19" borderId="0" xfId="0" applyFont="1" applyFill="1" applyAlignment="1" applyProtection="1">
      <alignment vertical="center"/>
      <protection locked="0"/>
    </xf>
    <xf numFmtId="0" fontId="29" fillId="19" borderId="0" xfId="0" applyFont="1" applyFill="1" applyAlignment="1" applyProtection="1">
      <alignment horizontal="left" vertical="center"/>
      <protection locked="0"/>
    </xf>
    <xf numFmtId="168" fontId="29" fillId="19" borderId="0" xfId="0" applyNumberFormat="1" applyFont="1" applyFill="1" applyAlignment="1">
      <alignment horizontal="left" vertical="center"/>
    </xf>
    <xf numFmtId="10" fontId="29" fillId="19" borderId="0" xfId="0" applyNumberFormat="1" applyFont="1" applyFill="1" applyAlignment="1">
      <alignment horizontal="left" vertical="center"/>
    </xf>
    <xf numFmtId="0" fontId="28" fillId="19" borderId="0" xfId="0" applyFont="1" applyFill="1"/>
    <xf numFmtId="0" fontId="30" fillId="19" borderId="0" xfId="0" applyFont="1" applyFill="1" applyAlignment="1">
      <alignment horizontal="right"/>
    </xf>
    <xf numFmtId="168" fontId="30" fillId="19" borderId="0" xfId="0" applyNumberFormat="1" applyFont="1" applyFill="1" applyAlignment="1">
      <alignment horizontal="right"/>
    </xf>
    <xf numFmtId="10" fontId="30" fillId="19" borderId="0" xfId="0" applyNumberFormat="1" applyFont="1" applyFill="1" applyAlignment="1">
      <alignment horizontal="right"/>
    </xf>
    <xf numFmtId="168" fontId="28" fillId="19" borderId="0" xfId="0" applyNumberFormat="1" applyFont="1" applyFill="1"/>
    <xf numFmtId="10" fontId="28" fillId="19" borderId="0" xfId="0" applyNumberFormat="1" applyFont="1" applyFill="1"/>
    <xf numFmtId="0" fontId="28" fillId="19" borderId="0" xfId="0" applyFont="1" applyFill="1" applyAlignment="1">
      <alignment vertical="center"/>
    </xf>
    <xf numFmtId="0" fontId="30" fillId="19" borderId="0" xfId="0" applyFont="1" applyFill="1" applyAlignment="1">
      <alignment horizontal="center"/>
    </xf>
    <xf numFmtId="0" fontId="31" fillId="19" borderId="0" xfId="0" applyFont="1" applyFill="1" applyAlignment="1">
      <alignment horizontal="center"/>
    </xf>
    <xf numFmtId="164" fontId="28" fillId="19" borderId="0" xfId="0" applyNumberFormat="1" applyFont="1" applyFill="1"/>
    <xf numFmtId="164" fontId="27" fillId="19" borderId="0" xfId="0" applyNumberFormat="1" applyFont="1" applyFill="1" applyAlignment="1">
      <alignment horizontal="right"/>
    </xf>
    <xf numFmtId="164" fontId="27" fillId="19" borderId="0" xfId="0" applyNumberFormat="1" applyFont="1" applyFill="1"/>
    <xf numFmtId="0" fontId="28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22" fontId="28" fillId="19" borderId="0" xfId="0" applyNumberFormat="1" applyFont="1" applyFill="1"/>
    <xf numFmtId="0" fontId="32" fillId="19" borderId="0" xfId="0" applyFont="1" applyFill="1"/>
    <xf numFmtId="0" fontId="33" fillId="19" borderId="0" xfId="0" applyFont="1" applyFill="1"/>
    <xf numFmtId="22" fontId="33" fillId="19" borderId="0" xfId="0" applyNumberFormat="1" applyFont="1" applyFill="1"/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>
      <alignment horizontal="center"/>
    </xf>
    <xf numFmtId="22" fontId="19" fillId="10" borderId="0" xfId="0" applyNumberFormat="1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170" fontId="19" fillId="4" borderId="0" xfId="0" applyNumberFormat="1" applyFont="1" applyFill="1" applyAlignment="1">
      <alignment horizontal="center" vertical="center"/>
    </xf>
    <xf numFmtId="166" fontId="28" fillId="8" borderId="0" xfId="0" applyNumberFormat="1" applyFont="1" applyFill="1"/>
    <xf numFmtId="170" fontId="19" fillId="3" borderId="0" xfId="0" applyNumberFormat="1" applyFont="1" applyFill="1" applyAlignment="1">
      <alignment horizontal="center" vertical="center"/>
    </xf>
    <xf numFmtId="168" fontId="19" fillId="3" borderId="0" xfId="0" applyNumberFormat="1" applyFont="1" applyFill="1" applyAlignment="1">
      <alignment horizontal="center" vertical="center"/>
    </xf>
    <xf numFmtId="10" fontId="19" fillId="3" borderId="0" xfId="0" applyNumberFormat="1" applyFont="1" applyFill="1" applyAlignment="1">
      <alignment horizontal="center" vertical="center"/>
    </xf>
    <xf numFmtId="166" fontId="19" fillId="2" borderId="0" xfId="0" applyNumberFormat="1" applyFont="1" applyFill="1" applyAlignment="1">
      <alignment horizontal="center" vertical="center"/>
    </xf>
    <xf numFmtId="168" fontId="19" fillId="9" borderId="0" xfId="0" applyNumberFormat="1" applyFont="1" applyFill="1" applyAlignment="1">
      <alignment horizontal="center" vertical="center"/>
    </xf>
    <xf numFmtId="6" fontId="20" fillId="16" borderId="30" xfId="0" applyNumberFormat="1" applyFont="1" applyFill="1" applyBorder="1" applyAlignment="1">
      <alignment horizontal="center" vertical="center"/>
    </xf>
    <xf numFmtId="0" fontId="34" fillId="7" borderId="0" xfId="0" applyFont="1" applyFill="1" applyAlignment="1" applyProtection="1">
      <alignment horizontal="center" vertical="center" wrapText="1"/>
      <protection locked="0"/>
    </xf>
    <xf numFmtId="0" fontId="34" fillId="7" borderId="0" xfId="0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>
      <alignment horizontal="center"/>
    </xf>
    <xf numFmtId="22" fontId="35" fillId="10" borderId="0" xfId="0" applyNumberFormat="1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 applyProtection="1">
      <alignment horizontal="center"/>
      <protection locked="0"/>
    </xf>
    <xf numFmtId="0" fontId="35" fillId="10" borderId="0" xfId="0" applyFont="1" applyFill="1" applyAlignment="1" applyProtection="1">
      <alignment horizontal="center" vertical="center"/>
      <protection locked="0"/>
    </xf>
    <xf numFmtId="0" fontId="35" fillId="6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170" fontId="35" fillId="4" borderId="0" xfId="0" applyNumberFormat="1" applyFont="1" applyFill="1" applyAlignment="1">
      <alignment horizontal="center" vertical="center"/>
    </xf>
    <xf numFmtId="166" fontId="36" fillId="8" borderId="0" xfId="0" applyNumberFormat="1" applyFont="1" applyFill="1"/>
    <xf numFmtId="170" fontId="35" fillId="3" borderId="0" xfId="0" applyNumberFormat="1" applyFont="1" applyFill="1" applyAlignment="1">
      <alignment horizontal="center" vertical="center"/>
    </xf>
    <xf numFmtId="168" fontId="35" fillId="3" borderId="0" xfId="0" applyNumberFormat="1" applyFont="1" applyFill="1" applyAlignment="1">
      <alignment horizontal="center" vertical="center"/>
    </xf>
    <xf numFmtId="10" fontId="35" fillId="3" borderId="0" xfId="0" applyNumberFormat="1" applyFont="1" applyFill="1" applyAlignment="1">
      <alignment horizontal="center" vertical="center"/>
    </xf>
    <xf numFmtId="166" fontId="35" fillId="2" borderId="0" xfId="0" applyNumberFormat="1" applyFont="1" applyFill="1" applyAlignment="1">
      <alignment horizontal="center" vertical="center"/>
    </xf>
    <xf numFmtId="168" fontId="35" fillId="9" borderId="0" xfId="0" applyNumberFormat="1" applyFont="1" applyFill="1" applyAlignment="1">
      <alignment horizontal="center" vertical="center"/>
    </xf>
    <xf numFmtId="0" fontId="29" fillId="19" borderId="0" xfId="0" applyFont="1" applyFill="1" applyAlignment="1" applyProtection="1">
      <alignment horizontal="left" vertical="center"/>
      <protection locked="0"/>
    </xf>
    <xf numFmtId="0" fontId="20" fillId="15" borderId="34" xfId="0" applyFont="1" applyFill="1" applyBorder="1" applyAlignment="1">
      <alignment horizontal="right" vertical="center"/>
    </xf>
    <xf numFmtId="0" fontId="20" fillId="15" borderId="35" xfId="0" applyFont="1" applyFill="1" applyBorder="1" applyAlignment="1">
      <alignment horizontal="right" vertical="center"/>
    </xf>
    <xf numFmtId="0" fontId="10" fillId="13" borderId="8" xfId="0" applyFont="1" applyFill="1" applyBorder="1" applyAlignment="1">
      <alignment horizontal="right"/>
    </xf>
    <xf numFmtId="0" fontId="10" fillId="13" borderId="23" xfId="0" applyFont="1" applyFill="1" applyBorder="1" applyAlignment="1">
      <alignment horizontal="right"/>
    </xf>
    <xf numFmtId="0" fontId="25" fillId="15" borderId="8" xfId="0" applyFont="1" applyFill="1" applyBorder="1" applyAlignment="1">
      <alignment horizontal="right"/>
    </xf>
    <xf numFmtId="0" fontId="25" fillId="15" borderId="23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164" fontId="9" fillId="11" borderId="9" xfId="0" applyNumberFormat="1" applyFont="1" applyFill="1" applyBorder="1" applyAlignment="1">
      <alignment horizontal="center"/>
    </xf>
    <xf numFmtId="0" fontId="20" fillId="15" borderId="26" xfId="0" applyFont="1" applyFill="1" applyBorder="1" applyAlignment="1">
      <alignment horizontal="right" vertical="center"/>
    </xf>
    <xf numFmtId="0" fontId="20" fillId="15" borderId="27" xfId="0" applyFont="1" applyFill="1" applyBorder="1" applyAlignment="1">
      <alignment horizontal="right" vertical="center"/>
    </xf>
    <xf numFmtId="0" fontId="20" fillId="15" borderId="28" xfId="0" applyFont="1" applyFill="1" applyBorder="1" applyAlignment="1">
      <alignment horizontal="right" vertical="center"/>
    </xf>
    <xf numFmtId="0" fontId="20" fillId="15" borderId="29" xfId="0" applyFont="1" applyFill="1" applyBorder="1" applyAlignment="1">
      <alignment horizontal="right" vertical="center"/>
    </xf>
    <xf numFmtId="164" fontId="21" fillId="16" borderId="30" xfId="0" applyNumberFormat="1" applyFont="1" applyFill="1" applyBorder="1" applyAlignment="1">
      <alignment horizontal="center" vertical="center"/>
    </xf>
    <xf numFmtId="164" fontId="21" fillId="16" borderId="31" xfId="0" applyNumberFormat="1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right" vertical="center"/>
    </xf>
    <xf numFmtId="0" fontId="9" fillId="15" borderId="35" xfId="0" applyFont="1" applyFill="1" applyBorder="1" applyAlignment="1">
      <alignment horizontal="right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1000000}"/>
    <cellStyle name="Normal 3" xfId="51" xr:uid="{00000000-0005-0000-0000-000032000000}"/>
    <cellStyle name="Percent" xfId="1" builtinId="5"/>
  </cellStyles>
  <dxfs count="9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8" formatCode="#,##0.00;[Red]\-#,##0.00"/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169" formatCode="dd/mm/yy;@"/>
      <alignment horizontal="center" vertical="center" textRotation="0" wrapText="0" indent="0" justifyLastLine="0" shrinkToFit="0" readingOrder="0"/>
      <protection locked="0" hidden="0"/>
    </dxf>
    <dxf>
      <numFmt numFmtId="169" formatCode="dd/mm/yy;@"/>
    </dxf>
    <dxf>
      <numFmt numFmtId="169" formatCode="dd/mm/yy;@"/>
      <alignment horizontal="center" vertical="center" textRotation="0" indent="0" justifyLastLine="0" shrinkToFit="0" readingOrder="0"/>
    </dxf>
    <dxf>
      <numFmt numFmtId="12" formatCode="&quot;$&quot;#,##0.00;[Red]\-&quot;$&quot;#,##0.00"/>
    </dxf>
    <dxf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[AATS H4 2021 Website.xlsx]Profit Summary!pv1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'Profit Summary'!$I$1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'Profit Summary'!$H$2:$H$7</c:f>
              <c:strCache>
                <c:ptCount val="5"/>
                <c:pt idx="0">
                  <c:v>01/01/21</c:v>
                </c:pt>
                <c:pt idx="1">
                  <c:v>26/02/21</c:v>
                </c:pt>
                <c:pt idx="2">
                  <c:v>19/03/21</c:v>
                </c:pt>
                <c:pt idx="3">
                  <c:v>01/04/21</c:v>
                </c:pt>
                <c:pt idx="4">
                  <c:v>01/05/21</c:v>
                </c:pt>
              </c:strCache>
            </c:strRef>
          </c:cat>
          <c:val>
            <c:numRef>
              <c:f>'Profit Summary'!$I$2:$I$7</c:f>
              <c:numCache>
                <c:formatCode>"$"#,##0.00_);[Red]\("$"#,##0.00\)</c:formatCode>
                <c:ptCount val="5"/>
                <c:pt idx="0">
                  <c:v>100000</c:v>
                </c:pt>
                <c:pt idx="1">
                  <c:v>112270</c:v>
                </c:pt>
                <c:pt idx="2">
                  <c:v>111120</c:v>
                </c:pt>
                <c:pt idx="3">
                  <c:v>112380</c:v>
                </c:pt>
                <c:pt idx="4">
                  <c:v>112120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C-4CA2-AA9C-84A67076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23024"/>
        <c:axId val="239321064"/>
      </c:lineChart>
      <c:catAx>
        <c:axId val="23932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1064"/>
        <c:crosses val="autoZero"/>
        <c:auto val="1"/>
        <c:lblAlgn val="ctr"/>
        <c:lblOffset val="100"/>
        <c:noMultiLvlLbl val="0"/>
      </c:catAx>
      <c:valAx>
        <c:axId val="239321064"/>
        <c:scaling>
          <c:orientation val="minMax"/>
          <c:max val="117999"/>
          <c:min val="99000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1A7AD16D-A805-4D8D-A363-EE52F7C2E6B3}"/>
            </a:ext>
          </a:extLst>
        </xdr:cNvPr>
        <xdr:cNvSpPr/>
      </xdr:nvSpPr>
      <xdr:spPr>
        <a:xfrm>
          <a:off x="275386" y="1399761"/>
          <a:ext cx="1047749" cy="43993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358F87-2936-4CCF-8525-C526E707D002}"/>
            </a:ext>
          </a:extLst>
        </xdr:cNvPr>
        <xdr:cNvSpPr/>
      </xdr:nvSpPr>
      <xdr:spPr>
        <a:xfrm>
          <a:off x="275386" y="1987064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6C55E32F-FE66-413F-AED9-5FE9E959C5F0}"/>
            </a:ext>
          </a:extLst>
        </xdr:cNvPr>
        <xdr:cNvSpPr/>
      </xdr:nvSpPr>
      <xdr:spPr>
        <a:xfrm>
          <a:off x="275386" y="2465209"/>
          <a:ext cx="1053973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MasterData" textlink="">
      <xdr:nvSpPr>
        <xdr:cNvPr id="6" name="Rounded Rectangle 5">
          <a:extLst>
            <a:ext uri="{FF2B5EF4-FFF2-40B4-BE49-F238E27FC236}">
              <a16:creationId xmlns:a16="http://schemas.microsoft.com/office/drawing/2014/main" id="{FEDF81D1-EC9B-4BA3-B082-6CE8837F2352}"/>
            </a:ext>
          </a:extLst>
        </xdr:cNvPr>
        <xdr:cNvSpPr/>
      </xdr:nvSpPr>
      <xdr:spPr>
        <a:xfrm>
          <a:off x="1511577" y="1399762"/>
          <a:ext cx="1118151" cy="43589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MASTER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7" name="Rounded Rectangle 6">
          <a:extLst>
            <a:ext uri="{FF2B5EF4-FFF2-40B4-BE49-F238E27FC236}">
              <a16:creationId xmlns:a16="http://schemas.microsoft.com/office/drawing/2014/main" id="{EFF56A64-9680-4AE2-A1F0-C23D3D9CD7AF}"/>
            </a:ext>
          </a:extLst>
        </xdr:cNvPr>
        <xdr:cNvSpPr/>
      </xdr:nvSpPr>
      <xdr:spPr>
        <a:xfrm>
          <a:off x="1513234" y="1983025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492816</xdr:colOff>
      <xdr:row>11</xdr:row>
      <xdr:rowOff>153228</xdr:rowOff>
    </xdr:from>
    <xdr:to>
      <xdr:col>3</xdr:col>
      <xdr:colOff>588064</xdr:colOff>
      <xdr:row>13</xdr:row>
      <xdr:rowOff>92169</xdr:rowOff>
    </xdr:to>
    <xdr:sp macro="[0]!RefreshMaster" textlink="">
      <xdr:nvSpPr>
        <xdr:cNvPr id="8" name="Rounded Rectangle 5">
          <a:extLst>
            <a:ext uri="{FF2B5EF4-FFF2-40B4-BE49-F238E27FC236}">
              <a16:creationId xmlns:a16="http://schemas.microsoft.com/office/drawing/2014/main" id="{B9E58715-C693-45E2-86DF-E1AA12FEA053}"/>
            </a:ext>
          </a:extLst>
        </xdr:cNvPr>
        <xdr:cNvSpPr/>
      </xdr:nvSpPr>
      <xdr:spPr>
        <a:xfrm>
          <a:off x="1519859" y="2476500"/>
          <a:ext cx="1118151" cy="319941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600" b="1">
              <a:latin typeface="Gill Sans MT" panose="020B0502020104020203" pitchFamily="34" charset="0"/>
            </a:rPr>
            <a:t>GET DATA FROM OTHER SHEETS</a:t>
          </a: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74E79-4188-5C1B-38A2-FCF5DB23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3673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1781174</xdr:colOff>
      <xdr:row>3</xdr:row>
      <xdr:rowOff>152400</xdr:rowOff>
    </xdr:from>
    <xdr:to>
      <xdr:col>22</xdr:col>
      <xdr:colOff>581025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</xdr:row>
      <xdr:rowOff>19050</xdr:rowOff>
    </xdr:from>
    <xdr:to>
      <xdr:col>10</xdr:col>
      <xdr:colOff>1488694</xdr:colOff>
      <xdr:row>9</xdr:row>
      <xdr:rowOff>133350</xdr:rowOff>
    </xdr:to>
    <xdr:sp macro="[0]!InsertProfitRow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72025" y="1562100"/>
          <a:ext cx="1164844" cy="3048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INSERT</a:t>
          </a:r>
          <a:r>
            <a:rPr lang="en-AU" sz="1000" b="1" baseline="0">
              <a:latin typeface="Gill Sans MT" panose="020B0502020104020203" pitchFamily="34" charset="0"/>
            </a:rPr>
            <a:t> DATA</a:t>
          </a:r>
          <a:endParaRPr lang="en-AU" sz="10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409575</xdr:colOff>
      <xdr:row>10</xdr:row>
      <xdr:rowOff>112431</xdr:rowOff>
    </xdr:from>
    <xdr:to>
      <xdr:col>10</xdr:col>
      <xdr:colOff>1400429</xdr:colOff>
      <xdr:row>11</xdr:row>
      <xdr:rowOff>154446</xdr:rowOff>
    </xdr:to>
    <xdr:sp macro="[0]!DeleteProfitRow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57750" y="2046006"/>
          <a:ext cx="990854" cy="24204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323850</xdr:colOff>
      <xdr:row>12</xdr:row>
      <xdr:rowOff>142875</xdr:rowOff>
    </xdr:from>
    <xdr:to>
      <xdr:col>10</xdr:col>
      <xdr:colOff>1488694</xdr:colOff>
      <xdr:row>15</xdr:row>
      <xdr:rowOff>28575</xdr:rowOff>
    </xdr:to>
    <xdr:sp macro="[0]!RefreshChart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72025" y="2466975"/>
          <a:ext cx="1164844" cy="4572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Refresh Chart (Manual)</a:t>
          </a:r>
        </a:p>
      </xdr:txBody>
    </xdr:sp>
    <xdr:clientData/>
  </xdr:twoCellAnchor>
  <xdr:twoCellAnchor editAs="oneCell">
    <xdr:from>
      <xdr:col>10</xdr:col>
      <xdr:colOff>238125</xdr:colOff>
      <xdr:row>0</xdr:row>
      <xdr:rowOff>200025</xdr:rowOff>
    </xdr:from>
    <xdr:to>
      <xdr:col>10</xdr:col>
      <xdr:colOff>1628595</xdr:colOff>
      <xdr:row>6</xdr:row>
      <xdr:rowOff>76785</xdr:rowOff>
    </xdr:to>
    <xdr:pic>
      <xdr:nvPicPr>
        <xdr:cNvPr id="6" name="Picture 5" descr="LOGO (1)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200025"/>
          <a:ext cx="1390470" cy="103881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B3D6066-272A-4037-B3BB-939A40075C1D}"/>
            </a:ext>
          </a:extLst>
        </xdr:cNvPr>
        <xdr:cNvSpPr/>
      </xdr:nvSpPr>
      <xdr:spPr>
        <a:xfrm>
          <a:off x="275386" y="1400589"/>
          <a:ext cx="1049406" cy="5399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87FAAD9B-C4D5-46D9-8407-F5D3A972046A}"/>
            </a:ext>
          </a:extLst>
        </xdr:cNvPr>
        <xdr:cNvSpPr/>
      </xdr:nvSpPr>
      <xdr:spPr>
        <a:xfrm>
          <a:off x="275386" y="2087077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8EE2E74-D3AE-4052-8873-71A4F0DD8E6D}"/>
            </a:ext>
          </a:extLst>
        </xdr:cNvPr>
        <xdr:cNvSpPr/>
      </xdr:nvSpPr>
      <xdr:spPr>
        <a:xfrm>
          <a:off x="275386" y="2566050"/>
          <a:ext cx="1055630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FF2AD5C-6AE4-4A1C-B2AD-4374CD77008F}"/>
            </a:ext>
          </a:extLst>
        </xdr:cNvPr>
        <xdr:cNvSpPr/>
      </xdr:nvSpPr>
      <xdr:spPr>
        <a:xfrm>
          <a:off x="1513234" y="1400590"/>
          <a:ext cx="1119186" cy="535909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44CD877-99FA-4CF4-8C32-BD16E19CB8B1}"/>
            </a:ext>
          </a:extLst>
        </xdr:cNvPr>
        <xdr:cNvSpPr/>
      </xdr:nvSpPr>
      <xdr:spPr>
        <a:xfrm>
          <a:off x="1513234" y="2083038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64BD15-29D9-4EC4-AAC3-B72CA891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6365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7085542-D1F7-47EB-AC53-89C239351FE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787FE11D-5CF8-4D59-8920-49F92D6D9E17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1DE845A-C339-4B26-A588-CCCCC923CDB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FE0E57B-A04D-46AB-B65B-C19517C93EEE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618AF89-3A31-443C-A1E9-A601693FE06C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D57945-6566-4B5E-AFE9-A806E00D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B39D67C-FC44-41F5-9E9E-7E1149BEBE7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7888217-B99C-4A91-BA0B-15648F5EAAE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E6B0FCC1-933F-4B1C-B068-7963E9285E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671236F3-A77F-4030-834E-6CE8EE1364FE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E949B5E9-0F7D-4101-B920-4BF4CB879E1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49E508-CE43-4657-921F-5068BFA5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D89366-F750-4C58-8425-24C759112DDB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EC02BFD-3AD4-4998-9780-D64386ECAD5F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C3BD4B03-8F9D-451C-AB6D-8E65F70FDC2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AEC54DB-A1EE-477D-81D9-CDDD62642EAD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FF9D899A-92CF-48C5-94BC-1997D497FB1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018CDD-2AC0-4E8D-B809-D4D169B6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EC39FF0-C57F-427F-84D2-8E40A1FFE4C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D28FF0C-85C7-4B8F-8B29-CFD2DA5C8C49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2007FAA5-92A4-4A0A-AB60-44290FA8782B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98FDDA2-D055-4955-8BD3-E5F7768323B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11A39483-6D26-43D0-AC08-D2373F57EE3E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49DFC0-ABB3-4D3F-B009-AD2696E7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7DD096D6-A55F-4CFD-A84B-70B920D20170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405F6E6-C25D-4978-BE2F-A212C3632E6A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C2720F4-67CE-4911-B4C3-55ECFBB92B7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6E7F609-2C2A-4AEA-A506-09209C029BE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E24EECB-CA61-46FF-AF98-179B1E8EA39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201665-A77D-4701-BCB3-AB8AFED7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C393563-2F27-4498-8C9D-5602EF37CAC5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9385992-3358-4885-BF11-028D445F69B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F58EFB4-F6D0-4FB0-BFC0-2C5F8E0926A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4950174-B6A7-4962-8278-1571D5D9018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B28C2A28-9CE8-4241-8327-0E4B2F5EB11B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97486-2548-4AA6-8860-3C433CEB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0ACF8903-8FAA-4399-806E-7D6D24FB92D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151C06-DE48-4B6B-9AAF-41FA358D44A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3C84DA9-8323-4A4D-A62B-6AF8BE229B7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BD94C3-735F-41C5-9CBC-D29C814F79C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C877372-8B22-4884-B2C9-BD5AAA74E5DE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C4DAC1-37B0-4FF3-B3CE-F48C5ADE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2C36310-1033-4774-9DFB-9B193A06DEB3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A7597F5-7CB0-4025-8A49-A3879ED2F33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C8B389F-7013-4BAA-991C-262F92D6BDA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0CCB636-54D3-40B7-BF60-95D07AADC38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D674AFA7-65C2-46CB-BA87-C1E40C0DB31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6E2B3D-E6E0-46CC-B4B8-EA9284DF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0BE5DEA-1997-4CE8-A064-A93FDD7E495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A60133A6-3228-4669-9708-C9557D93BB07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0E03F92-4ECD-4DFC-BCDE-CED0B5636F7E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8C770BC5-F8EE-45B2-BA89-6C11C79705F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9CCF340F-6C1A-4162-8593-E24F54A0AB4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4384EF-DDE9-412E-86BD-45C92194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04817F-8729-4C43-8CFE-E18EA15C4C3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0B1779AB-CA72-4BA9-B311-82DCC652DC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76424D6F-60EF-4AC3-8AB5-8A7D60CCFFE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B1CDEB-22F7-4932-95A5-FF006AE46A0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5D17764-1BEA-42BE-9E0F-418A9B1A30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3016F1-77EA-4C4D-A046-28EFA5F5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BE542591-5A4A-4529-8C59-C7977392E2DA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C77D3D4-33C3-425C-99B3-96E4FC97A6A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01137E7-5D8B-44D4-B853-A2917F9897D9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9247350-2E95-4EAA-8FFE-A53C507FEC9D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1344E495-D324-44EC-8E9B-37503AFFFB4A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FC8CCE-64C3-4C6F-83AC-7E697242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124F365-454D-4F05-828C-C3FA5F5463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8763FEF-6C73-42C4-8020-510782F55E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409A9A4-3C76-419A-A05D-C603AFB5224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07AEB72B-6132-4241-9DCF-5816E298D88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31739A89-3E58-4EF0-A00A-1CA0CDA9A2D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44BA2-DA4D-4111-97C3-74494F76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B6026ECA-7823-4606-A00B-3B8BEDA48EEF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C45050C-42CB-4169-8466-0594062BC44A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2496210-25E4-43D2-9B63-0FF66487229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06D277-2E2C-47DC-B7ED-00605DC96B77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70F64D4B-32BB-4B42-8A7A-548B3EC9926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B11478-6F05-48F1-9F2B-3D973192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4803D4F-E706-44FF-B868-6E07E3D2B6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3A386D3-4D2C-496E-88ED-941CE8103872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8E1A93B-2694-4F35-97FC-3DCDA4991A2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C7B32F4E-1CF6-4DAF-A8D5-BA947793D317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37F3961-47B1-4053-A691-C414FF852CA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4CE2C7-D697-4E0E-9FAF-49ACF04A3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00BBCE4-89BB-47AA-BDC7-F830853B3D9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00E2A0E-DEFF-4A56-8C80-31107C6B36B5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84B6E97-303C-4197-BD78-4676768B84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C4F1717-6601-4D2B-B45C-DB1116783B4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4FDF61-B548-4C6D-8A5E-3F007039232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5B4B49-42B6-4900-8ECD-738E8F40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E9CA216-1E92-47BD-8E70-746887222EA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57103B7-DB55-4CFB-881B-436CAB55A1C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FE5758F-F5FE-4EAA-AA7D-B365015E9F52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DEA2A89-06E9-44D9-8AF4-A964CA77C165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FB38021-2E0A-4172-B678-E19A340311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ABCCF-C48F-49C1-ABBA-71D2AE8B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AA3BD97-89A7-44E6-9DB4-B612F9C87978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B920F1A-7D00-49D3-954F-ECE6ED88952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B281AD6-68E4-47C7-AB74-4558C92530C4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4EDFE0-6840-4F5C-84E6-CAE67E47654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0CD5A8D-6B65-464E-A253-87ACEB256BE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33D22-6AA5-4147-A137-A08CDDEA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B612907-6A36-47FA-9EA6-110DCB9C77A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272D8175-DAA5-424A-BA9C-65F4BBBC33B2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463CE68-5D15-431C-AF09-D7F2F2B3E00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D8F8CD7E-F6B3-4D5B-A141-869FACA8B348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8A0069-258E-4E62-AE0E-0FFAB83D983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2D869D-D3FA-4E99-A403-2D14F19E8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4656402-8D0A-4A05-86C7-E37CEED09980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45EB3C9-C385-4FC3-BD87-74A3D5D6F3A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FEFAE0F-D664-4134-AF0A-3077645AF61B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C83C06E2-B85C-4FC5-98E5-E161E1B77F1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7FC875CB-526B-4D62-A63F-6A1DB17C538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F33075-29E4-4525-844A-774DF518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8B39B35-D107-4592-B6DA-8D067568DC7C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A9C9A2C-0EE1-41EC-878B-FED8B3CE9F70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C2418636-5EBD-4138-A05E-C45396D40EB9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2DD5B666-BB54-43AC-9138-2413997FBA1C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5A6440C-0B76-448C-B438-CBCF28F12C21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4DE2F1-BE36-431D-A6AD-737450AB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45DD2F3-60B4-4FB9-AA58-3FE2EA7721D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749BC879-4D9E-410A-86AF-65E56880885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2824495-984B-4726-A9CF-4049382B707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517DBDF5-9ED7-49F4-91D5-C054AAD799D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61A35085-366A-4DDC-AD84-A7AA184A8684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FDB4C9-005B-4E09-81FA-13321777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nY" refreshedDate="44839.476025810189" createdVersion="5" refreshedVersion="8" minRefreshableVersion="3" recordCount="5" xr:uid="{00000000-000A-0000-FFFF-FFFF00000000}">
  <cacheSource type="worksheet">
    <worksheetSource name="Table2"/>
  </cacheSource>
  <cacheFields count="5">
    <cacheField name="Date" numFmtId="169">
      <sharedItems containsSemiMixedTypes="0" containsNonDate="0" containsDate="1" containsString="0" minDate="2021-01-01T00:00:00" maxDate="2021-06-05T00:00:00" count="7">
        <d v="2021-05-01T00:00:00"/>
        <d v="2021-01-01T00:00:00"/>
        <d v="2021-02-26T00:00:00"/>
        <d v="2021-03-19T00:00:00"/>
        <d v="2021-04-01T00:00:00"/>
        <d v="2021-05-15T00:00:00" u="1"/>
        <d v="2021-06-04T00:00:00" u="1"/>
      </sharedItems>
    </cacheField>
    <cacheField name="Profits in TR" numFmtId="40">
      <sharedItems containsMixedTypes="1" containsNumber="1" minValue="11.12" maxValue="12.38"/>
    </cacheField>
    <cacheField name="$ Value of TR" numFmtId="8">
      <sharedItems containsMixedTypes="1" containsNumber="1" containsInteger="1" minValue="1000" maxValue="1000"/>
    </cacheField>
    <cacheField name="Profits in $" numFmtId="8">
      <sharedItems containsSemiMixedTypes="0" containsString="0" containsNumber="1" containsInteger="1" minValue="11120" maxValue="100000"/>
    </cacheField>
    <cacheField name="Cumulative Equity" numFmtId="8">
      <sharedItems containsSemiMixedTypes="0" containsString="0" containsNumber="1" containsInteger="1" minValue="100000" maxValue="112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12.12"/>
    <n v="1000"/>
    <n v="12120"/>
    <n v="112120"/>
  </r>
  <r>
    <x v="1"/>
    <s v="Starting Capital"/>
    <s v="Starting Capital"/>
    <n v="100000"/>
    <n v="100000"/>
  </r>
  <r>
    <x v="2"/>
    <n v="12.27"/>
    <n v="1000"/>
    <n v="12270"/>
    <n v="112270"/>
  </r>
  <r>
    <x v="3"/>
    <n v="11.12"/>
    <n v="1000"/>
    <n v="11120"/>
    <n v="111120"/>
  </r>
  <r>
    <x v="4"/>
    <n v="12.38"/>
    <n v="1000"/>
    <n v="12380"/>
    <n v="112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v1" cacheId="0" applyNumberFormats="0" applyBorderFormats="0" applyFontFormats="0" applyPatternFormats="0" applyAlignmentFormats="0" applyWidthHeightFormats="1" dataCaption="Values" updatedVersion="8" minRefreshableVersion="3" itemPrintTitles="1" createdVersion="5" indent="0" outline="1" outlineData="1" multipleFieldFilters="0" chartFormat="23" rowHeaderCaption="Closed Weekending Friday">
  <location ref="H1:I7" firstHeaderRow="1" firstDataRow="1" firstDataCol="1"/>
  <pivotFields count="5">
    <pivotField axis="axisRow" numFmtId="169" showAll="0" sortType="ascending">
      <items count="8">
        <item x="1"/>
        <item x="2"/>
        <item x="3"/>
        <item x="4"/>
        <item x="0"/>
        <item m="1" x="5"/>
        <item m="1" x="6"/>
        <item t="default"/>
      </items>
    </pivotField>
    <pivotField numFmtId="40" showAll="0" defaultSubtotal="0"/>
    <pivotField showAll="0" defaultSubtotal="0"/>
    <pivotField showAll="0" defaultSubtotal="0"/>
    <pivotField dataField="1" numFmtId="8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umulative Equity" fld="4" baseField="0" baseItem="0"/>
  </dataFields>
  <formats count="2">
    <format dxfId="932">
      <pivotArea outline="0" collapsedLevelsAreSubtotals="1" fieldPosition="0"/>
    </format>
    <format dxfId="931">
      <pivotArea dataOnly="0" labelOnly="1" outline="0" axis="axisValues" fieldPosition="0"/>
    </format>
  </formats>
  <chartFormats count="1">
    <chartFormat chart="2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CA7A6-C7B2-44C8-8EED-B060291C5834}" name="Tabla33610673" displayName="Tabla33610673" ref="B16:AG551" totalsRowShown="0" headerRowDxfId="966" dataDxfId="965">
  <autoFilter ref="B16:AG551" xr:uid="{00000000-0009-0000-0100-000009000000}"/>
  <sortState xmlns:xlrd2="http://schemas.microsoft.com/office/spreadsheetml/2017/richdata2" ref="B17:AG551">
    <sortCondition descending="1" ref="D16:D551"/>
  </sortState>
  <tableColumns count="32">
    <tableColumn id="1" xr3:uid="{B15662EF-D0AC-434F-8B47-408F7FCCC37C}" name="Inst" dataDxfId="964"/>
    <tableColumn id="2" xr3:uid="{B919035C-AA92-4CD6-861E-3B9A656147B8}" name="L/S" dataDxfId="963"/>
    <tableColumn id="3" xr3:uid="{2F10A06D-FA54-48C7-8BC2-07EAE086A4D2}" name="O/C" dataDxfId="962">
      <calculatedColumnFormula>IF(E17&lt;&gt;"",IF(K17&lt;&gt;"","C","O"),"")</calculatedColumnFormula>
    </tableColumn>
    <tableColumn id="4" xr3:uid="{147AE279-32CE-43AA-BFEC-F45979B7E5D1}" name="DATE" dataDxfId="961"/>
    <tableColumn id="5" xr3:uid="{707AB2EE-BC12-485E-9041-EBD9803ACDA6}" name="INST." dataDxfId="960"/>
    <tableColumn id="6" xr3:uid="{3BBFD836-1046-434F-9B1C-5BFD15F3E89B}" name="ENTRY " dataDxfId="959"/>
    <tableColumn id="7" xr3:uid="{6C2E69DE-E47B-441E-AA57-89A5E08DC324}" name="STOP " dataDxfId="958"/>
    <tableColumn id="8" xr3:uid="{B59AA87C-48D4-4C46-8204-364A9AC67159}" name="TR_x000a_(in Pips)" dataDxfId="957">
      <calculatedColumnFormula>ABS(G17-H17)</calculatedColumnFormula>
    </tableColumn>
    <tableColumn id="9" xr3:uid="{7C1A8A5E-D518-4CF7-84B6-B173DEF8DE68}" name="TARGET" dataDxfId="956"/>
    <tableColumn id="10" xr3:uid="{506757E9-E41A-4A85-BAC1-79B5E6868689}" name="DATE2" dataDxfId="955"/>
    <tableColumn id="11" xr3:uid="{13659F03-391C-46D2-9BEA-0E0EBEBE010E}" name="EXIT" dataDxfId="954"/>
    <tableColumn id="12" xr3:uid="{831DBDFC-F195-4CE1-B170-A525D354DA89}" name="RESULT" dataDxfId="953">
      <calculatedColumnFormula>ROUND(IF(C17="L",(L17-G17),(G17-L17)),4)</calculatedColumnFormula>
    </tableColumn>
    <tableColumn id="13" xr3:uid="{A37158FA-405D-469F-87BF-AC951BC89B9E}" name="No. of Rs" dataDxfId="952">
      <calculatedColumnFormula>IFERROR(ROUND((M17/I17),2),"")</calculatedColumnFormula>
    </tableColumn>
    <tableColumn id="14" xr3:uid="{BE84FA64-7DDB-48AE-B961-8DA7E546F50A}" name="Heat" dataDxfId="951">
      <calculatedColumnFormula>IF(D17="O",IF(N17&lt;0,N17,0),0)</calculatedColumnFormula>
    </tableColumn>
    <tableColumn id="15" xr3:uid="{EED040D1-B364-4D44-B657-340EFF426D39}" name=" TR WIN" dataDxfId="950">
      <calculatedColumnFormula>IF(N17&gt;= 0,N17,0)</calculatedColumnFormula>
    </tableColumn>
    <tableColumn id="16" xr3:uid="{9647B9C9-3E6A-4288-8C8A-EB585E3976BF}" name=" TR LOSS" dataDxfId="949">
      <calculatedColumnFormula>IF(N17&lt;0,N17,0)</calculatedColumnFormula>
    </tableColumn>
    <tableColumn id="33" xr3:uid="{26501DD6-B0BD-4C5F-9719-095EAB3AB922}" name="Initial Losing Trade" dataDxfId="948">
      <calculatedColumnFormula>IF(AND(OFFSET(Tabla33610673[[#This Row],[Equity]],1,0)="",Tabla33610673[[#This Row],[No. of Rs]]&lt;0),"Yes",IF(AND(OFFSET(Tabla33610673[[#This Row],[Initial Losing Trade]],1,0)="Yes",Tabla33610673[[#This Row],[No. of Rs]]&lt;0),"Yes","No"))</calculatedColumnFormula>
    </tableColumn>
    <tableColumn id="30" xr3:uid="{A8942EA1-B60F-4060-B354-A9A5319F7BAB}" name="Equity" dataDxfId="947">
      <calculatedColumnFormula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calculatedColumnFormula>
    </tableColumn>
    <tableColumn id="32" xr3:uid="{AD3EBF58-B5B4-4F53-80F1-2B58CD7E638D}" name="Equity Peak" dataDxfId="946">
      <calculatedColumnFormula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calculatedColumnFormula>
    </tableColumn>
    <tableColumn id="31" xr3:uid="{398F8D3E-58DA-43C6-A52E-D88D257A4E77}" name="Drawdown" dataDxfId="945">
      <calculatedColumnFormula>IF(Tabla33610673[[#This Row],[Equity]]&lt;Tabla33610673[[#This Row],[Equity Peak]],(Tabla33610673[[#This Row],[Equity Peak]]-Tabla33610673[[#This Row],[Equity]])/Tabla33610673[[#This Row],[Equity Peak]],"")</calculatedColumnFormula>
    </tableColumn>
    <tableColumn id="17" xr3:uid="{884048EE-E192-4CDD-AC98-589F1C40B528}" name="Currency" dataDxfId="944">
      <calculatedColumnFormula>IF(B17="FX",N17,0)</calculatedColumnFormula>
    </tableColumn>
    <tableColumn id="18" xr3:uid="{7A4ED22B-3893-4DF6-B718-4A8D7B5B6C84}" name="Heat3" dataDxfId="943">
      <calculatedColumnFormula>IF(D17="O",IF(V17&lt;0,V17,0),0)</calculatedColumnFormula>
    </tableColumn>
    <tableColumn id="19" xr3:uid="{10339926-36C5-4D13-A0BC-39A5BBCA82EF}" name="Commodities" dataDxfId="942">
      <calculatedColumnFormula>IF(B17="COM",N17,0)</calculatedColumnFormula>
    </tableColumn>
    <tableColumn id="20" xr3:uid="{2270C49F-0D13-4C03-9BE1-255E683E3EFC}" name="Heat4" dataDxfId="941">
      <calculatedColumnFormula>IF(D17="O",IF(X17&lt;0,X17,0),0)</calculatedColumnFormula>
    </tableColumn>
    <tableColumn id="21" xr3:uid="{CA210692-9647-419E-BD1D-4DBA4A103ABB}" name="Index" dataDxfId="940">
      <calculatedColumnFormula>IF(B17="IND",N17,0)</calculatedColumnFormula>
    </tableColumn>
    <tableColumn id="22" xr3:uid="{40222399-5374-4E90-B67A-E1D2EECADABB}" name="Heat5" dataDxfId="939">
      <calculatedColumnFormula>IF(D17="O",IF(Z17&lt;0,Z17,0),0)</calculatedColumnFormula>
    </tableColumn>
    <tableColumn id="27" xr3:uid="{AA5E82E1-0C9C-4564-93CE-89D5B82DCA91}" name="Cryptocurrency" dataDxfId="938">
      <calculatedColumnFormula>IF(B17="CRYPTO",N17,0)</calculatedColumnFormula>
    </tableColumn>
    <tableColumn id="28" xr3:uid="{ED02066B-D18D-4824-9807-83D29C3666FF}" name="Heat6" dataDxfId="937">
      <calculatedColumnFormula>IF(D17="O",IF(AB17&lt;0,AB17,0),0)</calculatedColumnFormula>
    </tableColumn>
    <tableColumn id="23" xr3:uid="{06E8FBB8-DB6F-405D-AB12-B3463C16A22E}" name="Length of _x000a_Trade" dataDxfId="936">
      <calculatedColumnFormula>IF(K17&lt;&gt;"",K17-E17,0)</calculatedColumnFormula>
    </tableColumn>
    <tableColumn id="24" xr3:uid="{BBBC94FC-0CD0-47C9-A958-1315A25086C3}" name="Win" dataDxfId="935">
      <calculatedColumnFormula>IF(N17&gt;0,AD17,0)</calculatedColumnFormula>
    </tableColumn>
    <tableColumn id="25" xr3:uid="{2797C778-0647-4B10-ADD9-4878ED310DDC}" name="Loss" dataDxfId="934">
      <calculatedColumnFormula>IF(N17&lt;0,AD17,0)</calculatedColumnFormula>
    </tableColumn>
    <tableColumn id="26" xr3:uid="{FEE65B8C-AC5A-4B4F-A845-03F48884A072}" name="Breakeven" dataDxfId="933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1:E6" totalsRowShown="0" headerRowDxfId="930" dataDxfId="929" headerRowCellStyle="Normal 2" dataCellStyle="Normal 2">
  <autoFilter ref="A1:E6" xr:uid="{00000000-0009-0000-0100-000001000000}"/>
  <tableColumns count="5">
    <tableColumn id="1" xr3:uid="{00000000-0010-0000-0100-000001000000}" name="Date" dataDxfId="928" dataCellStyle="Normal 2"/>
    <tableColumn id="2" xr3:uid="{00000000-0010-0000-0100-000002000000}" name="Profits in TR" dataDxfId="927" dataCellStyle="Normal 2"/>
    <tableColumn id="4" xr3:uid="{00000000-0010-0000-0100-000004000000}" name="$ Value of TR" dataDxfId="926" dataCellStyle="Normal 2"/>
    <tableColumn id="5" xr3:uid="{00000000-0010-0000-0100-000005000000}" name="Profits in $" dataDxfId="925" dataCellStyle="Normal 2"/>
    <tableColumn id="6" xr3:uid="{00000000-0010-0000-0100-000006000000}" name="Cumulative Equity" dataDxfId="924" dataCellStyle="Normal 2">
      <calculatedColumnFormula>IF(Table2[[#This Row],[Date]]=MIN(Table2[Date]),Table2[[#This Row],[Profits in $]],SUMIFS(Table2[Profits in $],Table2[Date],MIN(Table2[Date]))+Table2[[#This Row],[Profits in $]])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st" displayName="Inst" ref="A1:B22" totalsRowShown="0">
  <autoFilter ref="A1:B22" xr:uid="{00000000-0009-0000-0100-000004000000}"/>
  <tableColumns count="2">
    <tableColumn id="1" xr3:uid="{00000000-0010-0000-0200-000001000000}" name="Sheet Name"/>
    <tableColumn id="2" xr3:uid="{00000000-0010-0000-0200-000002000000}" name="Instrument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115F30-25FC-4A93-9F54-058DF5C350C7}" name="Tabla3361067348" displayName="Tabla3361067348" ref="B16:AG17" insertRow="1" totalsRowShown="0" headerRowDxfId="915" dataDxfId="914">
  <autoFilter ref="B16:AG17" xr:uid="{00000000-0009-0000-0100-000009000000}"/>
  <sortState xmlns:xlrd2="http://schemas.microsoft.com/office/spreadsheetml/2017/richdata2" ref="B17:AG17">
    <sortCondition descending="1" ref="D16:D17"/>
  </sortState>
  <tableColumns count="32">
    <tableColumn id="1" xr3:uid="{E9BFDD93-1840-4127-8B17-C17CE84F1872}" name="Inst" dataDxfId="913"/>
    <tableColumn id="2" xr3:uid="{59A489DF-925E-4074-9726-3CF1F649768D}" name="L/S" dataDxfId="912"/>
    <tableColumn id="3" xr3:uid="{B19E5F55-6E9A-415A-8B1B-722A2A2EA243}" name="O/C" dataDxfId="911">
      <calculatedColumnFormula>IF(E17&lt;&gt;"",IF(K17&lt;&gt;"","C","O"),"")</calculatedColumnFormula>
    </tableColumn>
    <tableColumn id="4" xr3:uid="{FAF03623-4A90-40C5-9582-F3D97CE3601C}" name="DATE" dataDxfId="910"/>
    <tableColumn id="5" xr3:uid="{5873CC0B-5B6C-4551-AC38-460A38A3AC59}" name="INST." dataDxfId="909"/>
    <tableColumn id="6" xr3:uid="{42FB14B4-8692-4591-990A-E505185C411C}" name="ENTRY " dataDxfId="908"/>
    <tableColumn id="7" xr3:uid="{074A08F7-2E71-4163-9605-7B0CDD91E9DF}" name="STOP " dataDxfId="907"/>
    <tableColumn id="8" xr3:uid="{9B60959D-F2BC-482A-AB4C-EEDB88698F95}" name="TR_x000a_(in Pips)" dataDxfId="906">
      <calculatedColumnFormula>ABS(G17-H17)</calculatedColumnFormula>
    </tableColumn>
    <tableColumn id="9" xr3:uid="{C8B6CD34-0E0C-48F8-9E97-9B9BC1320E40}" name="TARGET" dataDxfId="905"/>
    <tableColumn id="10" xr3:uid="{4280FF29-26E4-4012-9CAE-A83D56336DB9}" name="DATE2" dataDxfId="904"/>
    <tableColumn id="11" xr3:uid="{6316768D-C24C-42F3-A168-BEBA8B315D46}" name="EXIT" dataDxfId="903"/>
    <tableColumn id="12" xr3:uid="{9D056B64-0A38-4F8C-9BE1-341E38B43297}" name="RESULT" dataDxfId="902">
      <calculatedColumnFormula>ROUND(IF(C17="L",(L17-G17),(G17-L17)),4)</calculatedColumnFormula>
    </tableColumn>
    <tableColumn id="13" xr3:uid="{D325A67B-0A5C-4873-BF22-8110AA7DD6F5}" name="No. of Rs" dataDxfId="901">
      <calculatedColumnFormula>IFERROR(ROUND((M17/I17),2),"")</calculatedColumnFormula>
    </tableColumn>
    <tableColumn id="14" xr3:uid="{94BFC759-0CD7-4AB3-86FE-9C3CFC481008}" name="Heat" dataDxfId="900">
      <calculatedColumnFormula>IF(D17="O",IF(N17&lt;0,N17,0),0)</calculatedColumnFormula>
    </tableColumn>
    <tableColumn id="15" xr3:uid="{0DBEC2DC-92B9-4DB5-9924-6F5D8A894AB0}" name=" TR WIN" dataDxfId="899">
      <calculatedColumnFormula>IF(N17&gt;= 0,N17,0)</calculatedColumnFormula>
    </tableColumn>
    <tableColumn id="16" xr3:uid="{740B4C97-6829-440F-9F2F-99196F5953C2}" name=" TR LOSS" dataDxfId="898">
      <calculatedColumnFormula>IF(N17&lt;0,N17,0)</calculatedColumnFormula>
    </tableColumn>
    <tableColumn id="33" xr3:uid="{01A9AE4B-A688-40BD-9E3A-A00CE741281F}" name="Initial Losing Trade" dataDxfId="897">
      <calculatedColumnFormula>IF(AND(OFFSET(Tabla3361067348[[#This Row],[Equity]],1,0)="",Tabla3361067348[[#This Row],[No. of Rs]]&lt;0),"Yes",IF(AND(OFFSET(Tabla3361067348[[#This Row],[Initial Losing Trade]],1,0)="Yes",Tabla3361067348[[#This Row],[No. of Rs]]&lt;0),"Yes","No"))</calculatedColumnFormula>
    </tableColumn>
    <tableColumn id="30" xr3:uid="{A2D09DE5-D593-4C46-ADEB-36D524C7B576}" name="Equity" dataDxfId="896">
      <calculatedColumnFormula>IF(OFFSET(Tabla3361067348[[#This Row],[Equity]],1,0)="",IF(Tabla3361067348[[#This Row],[No. of Rs]]="",$F$11,$F$11+($F$11*Tabla3361067348[[#This Row],[No. of Rs]]/100)),IF(Tabla3361067348[[#This Row],[No. of Rs]]="",OFFSET(Tabla3361067348[[#This Row],[Equity]],1,0),OFFSET(Tabla3361067348[[#This Row],[Equity]],1,0)+($F$11*Tabla3361067348[[#This Row],[No. of Rs]]/100)))</calculatedColumnFormula>
    </tableColumn>
    <tableColumn id="32" xr3:uid="{D3446AD1-A93A-4723-93DA-DB220EB75935}" name="Equity Peak" dataDxfId="895">
      <calculatedColumnFormula>IF(OFFSET(Tabla3361067348[[#This Row],[Equity Peak]],1,0)="",IF(Tabla3361067348[[#This Row],[Initial Losing Trade]]="Yes",$F$11,Tabla3361067348[[#This Row],[Equity]]),IF(OFFSET(Tabla3361067348[[#This Row],[Equity Peak]],1,0)&gt;Tabla3361067348[[#This Row],[Equity]],OFFSET(Tabla3361067348[[#This Row],[Equity Peak]],1,0),Tabla3361067348[[#This Row],[Equity]]))</calculatedColumnFormula>
    </tableColumn>
    <tableColumn id="31" xr3:uid="{B1087D81-48DB-4F73-B0F5-436F28159638}" name="Drawdown" dataDxfId="894">
      <calculatedColumnFormula>IF(Tabla3361067348[[#This Row],[Equity]]&lt;Tabla3361067348[[#This Row],[Equity Peak]],(Tabla3361067348[[#This Row],[Equity Peak]]-Tabla3361067348[[#This Row],[Equity]])/Tabla3361067348[[#This Row],[Equity Peak]],"")</calculatedColumnFormula>
    </tableColumn>
    <tableColumn id="17" xr3:uid="{27355424-BDF7-45F9-B5B9-1D0591BE25FE}" name="Currency" dataDxfId="893">
      <calculatedColumnFormula>IF(B17="FX",N17,0)</calculatedColumnFormula>
    </tableColumn>
    <tableColumn id="18" xr3:uid="{03A9C943-83D6-4C90-9FED-1CD41C89DD61}" name="Heat3" dataDxfId="892">
      <calculatedColumnFormula>IF(D17="O",IF(V17&lt;0,V17,0),0)</calculatedColumnFormula>
    </tableColumn>
    <tableColumn id="19" xr3:uid="{DFEFD9CD-474D-4341-8983-24B2DC09734B}" name="Commodities" dataDxfId="891">
      <calculatedColumnFormula>IF(B17="COM",N17,0)</calculatedColumnFormula>
    </tableColumn>
    <tableColumn id="20" xr3:uid="{F5DF204E-D500-4C80-B234-80AAF26492E3}" name="Heat4" dataDxfId="890">
      <calculatedColumnFormula>IF(D17="O",IF(X17&lt;0,X17,0),0)</calculatedColumnFormula>
    </tableColumn>
    <tableColumn id="21" xr3:uid="{DFCD6A4A-5137-4D08-9890-B9C2C39BFBE8}" name="Index" dataDxfId="889">
      <calculatedColumnFormula>IF(B17="IND",N17,0)</calculatedColumnFormula>
    </tableColumn>
    <tableColumn id="22" xr3:uid="{A7E70DB3-D8CF-4FDB-8D24-06D2B658F240}" name="Heat5" dataDxfId="888">
      <calculatedColumnFormula>IF(D17="O",IF(Z17&lt;0,Z17,0),0)</calculatedColumnFormula>
    </tableColumn>
    <tableColumn id="27" xr3:uid="{7559D316-E562-42B2-8916-54ED8FA60899}" name="Cryptocurrency" dataDxfId="887">
      <calculatedColumnFormula>IF(B17="CRYPTO",N17,0)</calculatedColumnFormula>
    </tableColumn>
    <tableColumn id="28" xr3:uid="{0C11D3E6-F52F-4669-8A69-1AAC98E2CEAF}" name="Heat6" dataDxfId="886">
      <calculatedColumnFormula>IF(D17="O",IF(AB17&lt;0,AB17,0),0)</calculatedColumnFormula>
    </tableColumn>
    <tableColumn id="23" xr3:uid="{9FBFA019-C035-4153-9E69-4F2981D13DA7}" name="Length of _x000a_Trade" dataDxfId="885">
      <calculatedColumnFormula>IF(K17&lt;&gt;"",K17-E17,0)</calculatedColumnFormula>
    </tableColumn>
    <tableColumn id="24" xr3:uid="{F119A218-CB9A-4385-A401-E93C27DDEAEF}" name="Win" dataDxfId="884">
      <calculatedColumnFormula>IF(N17&gt;0,AD17,0)</calculatedColumnFormula>
    </tableColumn>
    <tableColumn id="25" xr3:uid="{BC6204BE-303F-4D53-BA39-69CCAB605F30}" name="Loss" dataDxfId="883">
      <calculatedColumnFormula>IF(N17&lt;0,AD17,0)</calculatedColumnFormula>
    </tableColumn>
    <tableColumn id="26" xr3:uid="{49C2BD18-6B20-450F-919F-C592D0362164}" name="Breakeven" dataDxfId="88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61022A7-7945-456D-83FF-935DEF6777D9}" name="Tabla336106734813" displayName="Tabla336106734813" ref="B16:AG48" totalsRowShown="0" headerRowDxfId="873" dataDxfId="872">
  <autoFilter ref="B16:AG48" xr:uid="{00000000-0009-0000-0100-000009000000}"/>
  <sortState xmlns:xlrd2="http://schemas.microsoft.com/office/spreadsheetml/2017/richdata2" ref="B17:AG48">
    <sortCondition descending="1" ref="D16:D48"/>
  </sortState>
  <tableColumns count="32">
    <tableColumn id="1" xr3:uid="{26FEA02E-FE5A-4E88-9595-F8813FDEED2D}" name="Inst" dataDxfId="871"/>
    <tableColumn id="2" xr3:uid="{DF10D74B-B9ED-40ED-BBC3-7018276EBB3D}" name="L/S" dataDxfId="870"/>
    <tableColumn id="3" xr3:uid="{2DF55E6B-4022-45C9-A1D2-AEB2D23CC8C9}" name="O/C" dataDxfId="869">
      <calculatedColumnFormula>IF(E17&lt;&gt;"",IF(K17&lt;&gt;"","C","O"),"")</calculatedColumnFormula>
    </tableColumn>
    <tableColumn id="4" xr3:uid="{B229CD62-475E-48C2-A3E8-88EAFB238027}" name="DATE" dataDxfId="868"/>
    <tableColumn id="5" xr3:uid="{623E9A9A-4BAF-47DF-8211-28597D99040F}" name="INST." dataDxfId="867"/>
    <tableColumn id="6" xr3:uid="{4E57CAB1-68FC-4FA7-922B-738477898886}" name="ENTRY " dataDxfId="866"/>
    <tableColumn id="7" xr3:uid="{584A0059-7399-4641-A6D4-2FF6B36CE4E7}" name="STOP " dataDxfId="865"/>
    <tableColumn id="8" xr3:uid="{D3EDD3B3-75DA-44FB-9DDE-EBEF65FE030F}" name="TR_x000a_(in Pips)" dataDxfId="864">
      <calculatedColumnFormula>ABS(G17-H17)</calculatedColumnFormula>
    </tableColumn>
    <tableColumn id="9" xr3:uid="{8E69BE04-5250-47DA-BBC1-555360F8DB0F}" name="TARGET" dataDxfId="863"/>
    <tableColumn id="10" xr3:uid="{B4AE8AE4-F6CF-49D9-84AA-D992D5059D9D}" name="DATE2" dataDxfId="862"/>
    <tableColumn id="11" xr3:uid="{05EA02D2-62C1-401C-BFA0-7D80FB47ED08}" name="EXIT" dataDxfId="861"/>
    <tableColumn id="12" xr3:uid="{6B27CC51-009B-4B75-B495-312E01AE2DBD}" name="RESULT" dataDxfId="860">
      <calculatedColumnFormula>ROUND(IF(C17="L",(L17-G17),(G17-L17)),4)</calculatedColumnFormula>
    </tableColumn>
    <tableColumn id="13" xr3:uid="{56FBCFA6-EA9F-4EC7-A41B-FB885582C200}" name="No. of Rs" dataDxfId="859">
      <calculatedColumnFormula>IFERROR(ROUND((M17/I17),2),"")</calculatedColumnFormula>
    </tableColumn>
    <tableColumn id="14" xr3:uid="{A817B86F-F06F-4A16-9932-E296FF124668}" name="Heat" dataDxfId="858">
      <calculatedColumnFormula>IF(D17="O",IF(N17&lt;0,N17,0),0)</calculatedColumnFormula>
    </tableColumn>
    <tableColumn id="15" xr3:uid="{D38A64DE-6FF1-44B6-97D2-CAE79866B972}" name=" TR WIN" dataDxfId="857">
      <calculatedColumnFormula>IF(N17&gt;= 0,N17,0)</calculatedColumnFormula>
    </tableColumn>
    <tableColumn id="16" xr3:uid="{AE7DD8A6-9896-4182-975E-C3EDDB3A8960}" name=" TR LOSS" dataDxfId="856">
      <calculatedColumnFormula>IF(N17&lt;0,N17,0)</calculatedColumnFormula>
    </tableColumn>
    <tableColumn id="33" xr3:uid="{3A0A8B37-71C4-41B9-AC96-51F6FF36291A}" name="Initial Losing Trade" dataDxfId="855">
      <calculatedColumnFormula>IF(AND(OFFSET(Tabla336106734813[[#This Row],[Equity]],1,0)="",Tabla336106734813[[#This Row],[No. of Rs]]&lt;0),"Yes",IF(AND(OFFSET(Tabla336106734813[[#This Row],[Initial Losing Trade]],1,0)="Yes",Tabla336106734813[[#This Row],[No. of Rs]]&lt;0),"Yes","No"))</calculatedColumnFormula>
    </tableColumn>
    <tableColumn id="30" xr3:uid="{604DC1C2-78EE-4342-B88A-7BDD21FAE72B}" name="Equity" dataDxfId="854">
      <calculatedColumnFormula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calculatedColumnFormula>
    </tableColumn>
    <tableColumn id="32" xr3:uid="{CEE34B69-5438-4D2E-8B9F-D48BC17B07C2}" name="Equity Peak" dataDxfId="853">
      <calculatedColumnFormula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calculatedColumnFormula>
    </tableColumn>
    <tableColumn id="31" xr3:uid="{CF37EC3B-9584-412F-ACE9-54865C553FBA}" name="Drawdown" dataDxfId="852">
      <calculatedColumnFormula>IF(Tabla336106734813[[#This Row],[Equity]]&lt;Tabla336106734813[[#This Row],[Equity Peak]],(Tabla336106734813[[#This Row],[Equity Peak]]-Tabla336106734813[[#This Row],[Equity]])/Tabla336106734813[[#This Row],[Equity Peak]],"")</calculatedColumnFormula>
    </tableColumn>
    <tableColumn id="17" xr3:uid="{3AC7D6E7-50E7-45C9-9D73-B027EF79F575}" name="Currency" dataDxfId="851">
      <calculatedColumnFormula>IF(B17="FX",N17,0)</calculatedColumnFormula>
    </tableColumn>
    <tableColumn id="18" xr3:uid="{FC78AB53-C47A-40A4-8021-A7F0766FB417}" name="Heat3" dataDxfId="850">
      <calculatedColumnFormula>IF(D17="O",IF(V17&lt;0,V17,0),0)</calculatedColumnFormula>
    </tableColumn>
    <tableColumn id="19" xr3:uid="{96D72B30-D16B-43B0-8474-C7143EE55285}" name="Commodities" dataDxfId="849">
      <calculatedColumnFormula>IF(B17="COM",N17,0)</calculatedColumnFormula>
    </tableColumn>
    <tableColumn id="20" xr3:uid="{F46FCB86-C99F-48E0-9E9D-9B782E9C747F}" name="Heat4" dataDxfId="848">
      <calculatedColumnFormula>IF(D17="O",IF(X17&lt;0,X17,0),0)</calculatedColumnFormula>
    </tableColumn>
    <tableColumn id="21" xr3:uid="{9AEB3DC8-8C5A-4BEC-9483-CF8FA4C60B12}" name="Index" dataDxfId="847">
      <calculatedColumnFormula>IF(B17="IND",N17,0)</calculatedColumnFormula>
    </tableColumn>
    <tableColumn id="22" xr3:uid="{A219B268-A666-438A-80C5-A8EAB0D5D103}" name="Heat5" dataDxfId="846">
      <calculatedColumnFormula>IF(D17="O",IF(Z17&lt;0,Z17,0),0)</calculatedColumnFormula>
    </tableColumn>
    <tableColumn id="27" xr3:uid="{7CD7B1B6-858B-4946-AACC-A289014CA82C}" name="Cryptocurrency" dataDxfId="845">
      <calculatedColumnFormula>IF(B17="CRYPTO",N17,0)</calculatedColumnFormula>
    </tableColumn>
    <tableColumn id="28" xr3:uid="{C426D29F-5FF4-4656-A2AB-36D1095E316D}" name="Heat6" dataDxfId="844">
      <calculatedColumnFormula>IF(D17="O",IF(AB17&lt;0,AB17,0),0)</calculatedColumnFormula>
    </tableColumn>
    <tableColumn id="23" xr3:uid="{8D60E46D-090E-4A11-83EC-A6F8A0AFA548}" name="Length of _x000a_Trade" dataDxfId="843">
      <calculatedColumnFormula>IF(K17&lt;&gt;"",K17-E17,0)</calculatedColumnFormula>
    </tableColumn>
    <tableColumn id="24" xr3:uid="{EC85F3EF-A34F-4D18-8EEC-E965D681AE04}" name="Win" dataDxfId="842">
      <calculatedColumnFormula>IF(N17&gt;0,AD17,0)</calculatedColumnFormula>
    </tableColumn>
    <tableColumn id="25" xr3:uid="{E167C110-2C83-44EE-AC3A-09599069B8EE}" name="Loss" dataDxfId="841">
      <calculatedColumnFormula>IF(N17&lt;0,AD17,0)</calculatedColumnFormula>
    </tableColumn>
    <tableColumn id="26" xr3:uid="{1ADDD2BF-65EE-4559-82D0-D8951CB69A44}" name="Breakeven" dataDxfId="84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A5DBD5-4765-4E03-9522-DE53AB8CC389}" name="Tabla336106734814" displayName="Tabla336106734814" ref="B16:AG37" totalsRowShown="0" headerRowDxfId="831" dataDxfId="830">
  <autoFilter ref="B16:AG37" xr:uid="{00000000-0009-0000-0100-000009000000}"/>
  <sortState xmlns:xlrd2="http://schemas.microsoft.com/office/spreadsheetml/2017/richdata2" ref="B17:AG37">
    <sortCondition descending="1" ref="D16:D37"/>
  </sortState>
  <tableColumns count="32">
    <tableColumn id="1" xr3:uid="{6278F660-BD19-4453-98B9-88863255EA85}" name="Inst" dataDxfId="829"/>
    <tableColumn id="2" xr3:uid="{9FF96BAD-1A7F-4B79-9E09-DAD11F967E02}" name="L/S" dataDxfId="828"/>
    <tableColumn id="3" xr3:uid="{9888ABB0-4977-4783-89DC-D01BE795A1DD}" name="O/C" dataDxfId="827">
      <calculatedColumnFormula>IF(E17&lt;&gt;"",IF(K17&lt;&gt;"","C","O"),"")</calculatedColumnFormula>
    </tableColumn>
    <tableColumn id="4" xr3:uid="{9B7726A0-CC13-4907-93A6-77078F79E176}" name="DATE" dataDxfId="826"/>
    <tableColumn id="5" xr3:uid="{E5A80FD6-C5F2-4087-A30C-50F064ECF3AE}" name="INST." dataDxfId="825"/>
    <tableColumn id="6" xr3:uid="{65436114-3AA2-491F-8338-43F3CC96C102}" name="ENTRY " dataDxfId="824"/>
    <tableColumn id="7" xr3:uid="{DBB964E9-5332-408B-9DA2-07EB1A69BB45}" name="STOP " dataDxfId="823"/>
    <tableColumn id="8" xr3:uid="{D1CAC22D-EFD8-4888-89ED-6EB19FE94A5F}" name="TR_x000a_(in Pips)" dataDxfId="822">
      <calculatedColumnFormula>ABS(G17-H17)</calculatedColumnFormula>
    </tableColumn>
    <tableColumn id="9" xr3:uid="{8F31CA4F-3A1E-4F88-94B4-FBEE0E716DCC}" name="TARGET" dataDxfId="821"/>
    <tableColumn id="10" xr3:uid="{76080266-595E-4465-B163-85DCD173C34B}" name="DATE2" dataDxfId="820"/>
    <tableColumn id="11" xr3:uid="{0861FDC0-55C1-4B70-B0BA-7406D47436E8}" name="EXIT" dataDxfId="819"/>
    <tableColumn id="12" xr3:uid="{6C6D6F49-C7A5-48D0-8E09-FEAB059A9ACB}" name="RESULT" dataDxfId="818">
      <calculatedColumnFormula>ROUND(IF(C17="L",(L17-G17),(G17-L17)),4)</calculatedColumnFormula>
    </tableColumn>
    <tableColumn id="13" xr3:uid="{F5BA813B-49C5-4C8C-B466-DB07A162D02E}" name="No. of Rs" dataDxfId="817">
      <calculatedColumnFormula>IFERROR(ROUND((M17/I17),2),"")</calculatedColumnFormula>
    </tableColumn>
    <tableColumn id="14" xr3:uid="{59DFF6E7-5E37-46EE-A909-18C7FAB973B3}" name="Heat" dataDxfId="816">
      <calculatedColumnFormula>IF(D17="O",IF(N17&lt;0,N17,0),0)</calculatedColumnFormula>
    </tableColumn>
    <tableColumn id="15" xr3:uid="{777CEC87-298E-4313-8EF7-E4F25519BCB9}" name=" TR WIN" dataDxfId="815">
      <calculatedColumnFormula>IF(N17&gt;= 0,N17,0)</calculatedColumnFormula>
    </tableColumn>
    <tableColumn id="16" xr3:uid="{7605433A-2200-4124-B6C1-2683014176C0}" name=" TR LOSS" dataDxfId="814">
      <calculatedColumnFormula>IF(N17&lt;0,N17,0)</calculatedColumnFormula>
    </tableColumn>
    <tableColumn id="33" xr3:uid="{07EBCEB6-6853-45FD-8E56-4E097EBE3036}" name="Initial Losing Trade" dataDxfId="813">
      <calculatedColumnFormula>IF(AND(OFFSET(Tabla336106734814[[#This Row],[Equity]],1,0)="",Tabla336106734814[[#This Row],[No. of Rs]]&lt;0),"Yes",IF(AND(OFFSET(Tabla336106734814[[#This Row],[Initial Losing Trade]],1,0)="Yes",Tabla336106734814[[#This Row],[No. of Rs]]&lt;0),"Yes","No"))</calculatedColumnFormula>
    </tableColumn>
    <tableColumn id="30" xr3:uid="{788AD180-E205-4C84-B09C-F4795B0E67F2}" name="Equity" dataDxfId="812">
      <calculatedColumnFormula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calculatedColumnFormula>
    </tableColumn>
    <tableColumn id="32" xr3:uid="{FA80D3E3-8572-46EF-B89F-088D2070E503}" name="Equity Peak" dataDxfId="811">
      <calculatedColumnFormula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calculatedColumnFormula>
    </tableColumn>
    <tableColumn id="31" xr3:uid="{6534E34D-C16C-4E45-B5DE-D31DA91CE4ED}" name="Drawdown" dataDxfId="810">
      <calculatedColumnFormula>IF(Tabla336106734814[[#This Row],[Equity]]&lt;Tabla336106734814[[#This Row],[Equity Peak]],(Tabla336106734814[[#This Row],[Equity Peak]]-Tabla336106734814[[#This Row],[Equity]])/Tabla336106734814[[#This Row],[Equity Peak]],"")</calculatedColumnFormula>
    </tableColumn>
    <tableColumn id="17" xr3:uid="{DA49A929-8473-4BBE-9E05-2A3AA82E7027}" name="Currency" dataDxfId="809">
      <calculatedColumnFormula>IF(B17="FX",N17,0)</calculatedColumnFormula>
    </tableColumn>
    <tableColumn id="18" xr3:uid="{EB537A12-461A-45D4-A3D8-3583CBD83881}" name="Heat3" dataDxfId="808">
      <calculatedColumnFormula>IF(D17="O",IF(V17&lt;0,V17,0),0)</calculatedColumnFormula>
    </tableColumn>
    <tableColumn id="19" xr3:uid="{5DDAF362-6063-47FB-B52A-6CF71F09956B}" name="Commodities" dataDxfId="807">
      <calculatedColumnFormula>IF(B17="COM",N17,0)</calculatedColumnFormula>
    </tableColumn>
    <tableColumn id="20" xr3:uid="{6CA86B48-B0DC-4763-85E2-994B6CE656DB}" name="Heat4" dataDxfId="806">
      <calculatedColumnFormula>IF(D17="O",IF(X17&lt;0,X17,0),0)</calculatedColumnFormula>
    </tableColumn>
    <tableColumn id="21" xr3:uid="{8A93D51F-D287-4EA9-AED4-6713A4861561}" name="Index" dataDxfId="805">
      <calculatedColumnFormula>IF(B17="IND",N17,0)</calculatedColumnFormula>
    </tableColumn>
    <tableColumn id="22" xr3:uid="{34ED5AFC-FE71-466C-AE5B-780338718A97}" name="Heat5" dataDxfId="804">
      <calculatedColumnFormula>IF(D17="O",IF(Z17&lt;0,Z17,0),0)</calculatedColumnFormula>
    </tableColumn>
    <tableColumn id="27" xr3:uid="{BD483C91-D1F5-4F5D-ABBE-7FC644353F3B}" name="Cryptocurrency" dataDxfId="803">
      <calculatedColumnFormula>IF(B17="CRYPTO",N17,0)</calculatedColumnFormula>
    </tableColumn>
    <tableColumn id="28" xr3:uid="{39A7E762-1656-4B7C-B6F3-2473B51D539F}" name="Heat6" dataDxfId="802">
      <calculatedColumnFormula>IF(D17="O",IF(AB17&lt;0,AB17,0),0)</calculatedColumnFormula>
    </tableColumn>
    <tableColumn id="23" xr3:uid="{4A4B52F0-FABE-4D8F-89AD-39597A6B9A43}" name="Length of _x000a_Trade" dataDxfId="801">
      <calculatedColumnFormula>IF(K17&lt;&gt;"",K17-E17,0)</calculatedColumnFormula>
    </tableColumn>
    <tableColumn id="24" xr3:uid="{CA9C6158-AED3-4C6E-817E-2457186AC6B0}" name="Win" dataDxfId="800">
      <calculatedColumnFormula>IF(N17&gt;0,AD17,0)</calculatedColumnFormula>
    </tableColumn>
    <tableColumn id="25" xr3:uid="{9D3806E8-D21B-4557-A4A2-FB13938AFC1B}" name="Loss" dataDxfId="799">
      <calculatedColumnFormula>IF(N17&lt;0,AD17,0)</calculatedColumnFormula>
    </tableColumn>
    <tableColumn id="26" xr3:uid="{7F05CA09-0391-409A-B531-B72B3FD6E42F}" name="Breakeven" dataDxfId="79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997AB65-5058-4FEB-AA30-0CBFE2867F0D}" name="Tabla336106734819" displayName="Tabla336106734819" ref="B16:AG60" totalsRowShown="0" headerRowDxfId="789" dataDxfId="788">
  <autoFilter ref="B16:AG60" xr:uid="{00000000-0009-0000-0100-000009000000}"/>
  <sortState xmlns:xlrd2="http://schemas.microsoft.com/office/spreadsheetml/2017/richdata2" ref="B17:AG60">
    <sortCondition descending="1" ref="D16:D60"/>
  </sortState>
  <tableColumns count="32">
    <tableColumn id="1" xr3:uid="{DB3DD612-D8F2-4E46-8C1B-84AE94ABD616}" name="Inst" dataDxfId="787"/>
    <tableColumn id="2" xr3:uid="{8CB60B4D-4E2B-4B73-8B70-398766780F96}" name="L/S" dataDxfId="786"/>
    <tableColumn id="3" xr3:uid="{B8476183-3026-4CF2-85EB-CBB1496FE3F0}" name="O/C" dataDxfId="785">
      <calculatedColumnFormula>IF(E17&lt;&gt;"",IF(K17&lt;&gt;"","C","O"),"")</calculatedColumnFormula>
    </tableColumn>
    <tableColumn id="4" xr3:uid="{4FF14B4F-F006-4387-A514-684F509246E3}" name="DATE" dataDxfId="784"/>
    <tableColumn id="5" xr3:uid="{7D1340D5-FF40-48A2-B576-63A8A671892E}" name="INST." dataDxfId="783"/>
    <tableColumn id="6" xr3:uid="{4C864B5C-9976-4036-AC5E-FFB4622186CB}" name="ENTRY " dataDxfId="782"/>
    <tableColumn id="7" xr3:uid="{D7409DF7-CBBE-4693-B05F-14A12FAB1B64}" name="STOP " dataDxfId="781"/>
    <tableColumn id="8" xr3:uid="{ADE4B6D7-7CA0-42C7-AC7E-486B7A08F6A9}" name="TR_x000a_(in Pips)" dataDxfId="780">
      <calculatedColumnFormula>ABS(G17-H17)</calculatedColumnFormula>
    </tableColumn>
    <tableColumn id="9" xr3:uid="{ED352C41-4943-4DA5-B38C-CD984F2674C0}" name="TARGET" dataDxfId="779"/>
    <tableColumn id="10" xr3:uid="{326BAA2D-D1AC-4955-B28D-BE095D4C2F7D}" name="DATE2" dataDxfId="778"/>
    <tableColumn id="11" xr3:uid="{72007D05-6B00-4624-A27E-BBF4B2791221}" name="EXIT" dataDxfId="777"/>
    <tableColumn id="12" xr3:uid="{446BE1AB-6779-41BE-92B5-A2E55D901112}" name="RESULT" dataDxfId="776">
      <calculatedColumnFormula>ROUND(IF(C17="L",(L17-G17),(G17-L17)),4)</calculatedColumnFormula>
    </tableColumn>
    <tableColumn id="13" xr3:uid="{102C763A-588F-4913-BE57-6F6EBBCE7893}" name="No. of Rs" dataDxfId="775">
      <calculatedColumnFormula>IFERROR(ROUND((M17/I17),2),"")</calculatedColumnFormula>
    </tableColumn>
    <tableColumn id="14" xr3:uid="{C6B08105-3288-4CC1-AFFF-3107BAB37411}" name="Heat" dataDxfId="774">
      <calculatedColumnFormula>IF(D17="O",IF(N17&lt;0,N17,0),0)</calculatedColumnFormula>
    </tableColumn>
    <tableColumn id="15" xr3:uid="{2D446E33-65BA-4BA7-BFB9-654DAD0B044A}" name=" TR WIN" dataDxfId="773">
      <calculatedColumnFormula>IF(N17&gt;= 0,N17,0)</calculatedColumnFormula>
    </tableColumn>
    <tableColumn id="16" xr3:uid="{F64D228F-77D6-4FAC-904D-DCB14DBA406D}" name=" TR LOSS" dataDxfId="772">
      <calculatedColumnFormula>IF(N17&lt;0,N17,0)</calculatedColumnFormula>
    </tableColumn>
    <tableColumn id="33" xr3:uid="{49B1C41B-E64B-4BE7-808D-AE310A933C15}" name="Initial Losing Trade" dataDxfId="771">
      <calculatedColumnFormula>IF(AND(OFFSET(Tabla336106734819[[#This Row],[Equity]],1,0)="",Tabla336106734819[[#This Row],[No. of Rs]]&lt;0),"Yes",IF(AND(OFFSET(Tabla336106734819[[#This Row],[Initial Losing Trade]],1,0)="Yes",Tabla336106734819[[#This Row],[No. of Rs]]&lt;0),"Yes","No"))</calculatedColumnFormula>
    </tableColumn>
    <tableColumn id="30" xr3:uid="{16D8C511-640C-46A5-B1E1-110C15834EC1}" name="Equity" dataDxfId="770">
      <calculatedColumnFormula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calculatedColumnFormula>
    </tableColumn>
    <tableColumn id="32" xr3:uid="{84C585F2-4A83-4705-A4F5-D0C64039D261}" name="Equity Peak" dataDxfId="769">
      <calculatedColumnFormula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calculatedColumnFormula>
    </tableColumn>
    <tableColumn id="31" xr3:uid="{AB7526A0-A21C-4C35-831C-9B9AC708FAAF}" name="Drawdown" dataDxfId="768">
      <calculatedColumnFormula>IF(Tabla336106734819[[#This Row],[Equity]]&lt;Tabla336106734819[[#This Row],[Equity Peak]],(Tabla336106734819[[#This Row],[Equity Peak]]-Tabla336106734819[[#This Row],[Equity]])/Tabla336106734819[[#This Row],[Equity Peak]],"")</calculatedColumnFormula>
    </tableColumn>
    <tableColumn id="17" xr3:uid="{03F0E756-02EA-42A8-87CC-E512CE9F220C}" name="Currency" dataDxfId="767">
      <calculatedColumnFormula>IF(B17="FX",N17,0)</calculatedColumnFormula>
    </tableColumn>
    <tableColumn id="18" xr3:uid="{E77DBBAB-66A6-4E39-AA2A-89C4A594F247}" name="Heat3" dataDxfId="766">
      <calculatedColumnFormula>IF(D17="O",IF(V17&lt;0,V17,0),0)</calculatedColumnFormula>
    </tableColumn>
    <tableColumn id="19" xr3:uid="{279680F3-DB71-4120-B202-98689DC68E90}" name="Commodities" dataDxfId="765">
      <calculatedColumnFormula>IF(B17="COM",N17,0)</calculatedColumnFormula>
    </tableColumn>
    <tableColumn id="20" xr3:uid="{4CFDAA81-2F56-40FB-8E19-AEF52AB63D3D}" name="Heat4" dataDxfId="764">
      <calculatedColumnFormula>IF(D17="O",IF(X17&lt;0,X17,0),0)</calculatedColumnFormula>
    </tableColumn>
    <tableColumn id="21" xr3:uid="{029C7114-249E-4E61-BE1E-EFE2337B94A5}" name="Index" dataDxfId="763">
      <calculatedColumnFormula>IF(B17="IND",N17,0)</calculatedColumnFormula>
    </tableColumn>
    <tableColumn id="22" xr3:uid="{B511CC43-66DE-476B-8A9B-F59804257134}" name="Heat5" dataDxfId="762">
      <calculatedColumnFormula>IF(D17="O",IF(Z17&lt;0,Z17,0),0)</calculatedColumnFormula>
    </tableColumn>
    <tableColumn id="27" xr3:uid="{D18D1D8F-0707-43D1-8FEA-6888ABA61A84}" name="Cryptocurrency" dataDxfId="761">
      <calculatedColumnFormula>IF(B17="CRYPTO",N17,0)</calculatedColumnFormula>
    </tableColumn>
    <tableColumn id="28" xr3:uid="{135B4C70-AD83-4906-846B-3685F87CC628}" name="Heat6" dataDxfId="760">
      <calculatedColumnFormula>IF(D17="O",IF(AB17&lt;0,AB17,0),0)</calculatedColumnFormula>
    </tableColumn>
    <tableColumn id="23" xr3:uid="{2E1B7598-2DC1-4B47-93B8-5BF733FB90E1}" name="Length of _x000a_Trade" dataDxfId="759">
      <calculatedColumnFormula>IF(K17&lt;&gt;"",K17-E17,0)</calculatedColumnFormula>
    </tableColumn>
    <tableColumn id="24" xr3:uid="{C5A23CFF-60BA-4CD2-A30A-F067CBC20881}" name="Win" dataDxfId="758">
      <calculatedColumnFormula>IF(N17&gt;0,AD17,0)</calculatedColumnFormula>
    </tableColumn>
    <tableColumn id="25" xr3:uid="{BA61E8E9-BF63-4703-9CCE-7692F7B8D2D9}" name="Loss" dataDxfId="757">
      <calculatedColumnFormula>IF(N17&lt;0,AD17,0)</calculatedColumnFormula>
    </tableColumn>
    <tableColumn id="26" xr3:uid="{B10725A1-88C2-4211-9F31-6F83EF561B81}" name="Breakeven" dataDxfId="75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D826ED-95A4-45A7-86DD-36C56102E5E3}" name="Tabla336106734815" displayName="Tabla336106734815" ref="B16:AG28" totalsRowShown="0" headerRowDxfId="747" dataDxfId="746">
  <autoFilter ref="B16:AG28" xr:uid="{00000000-0009-0000-0100-000009000000}"/>
  <sortState xmlns:xlrd2="http://schemas.microsoft.com/office/spreadsheetml/2017/richdata2" ref="B17:AG28">
    <sortCondition descending="1" ref="D16:D28"/>
  </sortState>
  <tableColumns count="32">
    <tableColumn id="1" xr3:uid="{F4DEFA17-6DA3-4933-9A3E-D86C95DC5A97}" name="Inst" dataDxfId="745"/>
    <tableColumn id="2" xr3:uid="{087DEC0F-5CC4-4706-A709-EB5C750912DC}" name="L/S" dataDxfId="744"/>
    <tableColumn id="3" xr3:uid="{CE8A70FB-B72E-47D6-8B22-35C83EE684B1}" name="O/C" dataDxfId="743">
      <calculatedColumnFormula>IF(E17&lt;&gt;"",IF(K17&lt;&gt;"","C","O"),"")</calculatedColumnFormula>
    </tableColumn>
    <tableColumn id="4" xr3:uid="{A2AB2C86-9C14-454E-8675-A2B4FE84F6DE}" name="DATE" dataDxfId="742"/>
    <tableColumn id="5" xr3:uid="{C69EEDFE-38CD-4449-9F51-496CC6F8FC2B}" name="INST." dataDxfId="741"/>
    <tableColumn id="6" xr3:uid="{C8696DE4-A621-4CF6-9FDC-9D0C13741DF5}" name="ENTRY " dataDxfId="740"/>
    <tableColumn id="7" xr3:uid="{CF187762-E7B9-4E64-84BC-CD1FAF95819F}" name="STOP " dataDxfId="739"/>
    <tableColumn id="8" xr3:uid="{6BA7469C-A691-4D72-B2DA-315A00BDD595}" name="TR_x000a_(in Pips)" dataDxfId="738">
      <calculatedColumnFormula>ABS(G17-H17)</calculatedColumnFormula>
    </tableColumn>
    <tableColumn id="9" xr3:uid="{00CD8357-6CC3-4F80-B0B4-EDFF5F8B49DE}" name="TARGET" dataDxfId="737"/>
    <tableColumn id="10" xr3:uid="{A9DEAC71-E6A1-4BCB-8853-8E81A4668355}" name="DATE2" dataDxfId="736"/>
    <tableColumn id="11" xr3:uid="{11932BF2-EE9F-49CE-938A-9ABC5FD1ED77}" name="EXIT" dataDxfId="735"/>
    <tableColumn id="12" xr3:uid="{480517B4-2530-4755-B1A9-5FC38A7E4C04}" name="RESULT" dataDxfId="734">
      <calculatedColumnFormula>ROUND(IF(C17="L",(L17-G17),(G17-L17)),4)</calculatedColumnFormula>
    </tableColumn>
    <tableColumn id="13" xr3:uid="{0919F79A-205D-4102-ADF7-38A82CFBE37D}" name="No. of Rs" dataDxfId="733">
      <calculatedColumnFormula>IFERROR(ROUND((M17/I17),2),"")</calculatedColumnFormula>
    </tableColumn>
    <tableColumn id="14" xr3:uid="{DD3BBE98-CFD0-4302-8522-088A156EED57}" name="Heat" dataDxfId="732">
      <calculatedColumnFormula>IF(D17="O",IF(N17&lt;0,N17,0),0)</calculatedColumnFormula>
    </tableColumn>
    <tableColumn id="15" xr3:uid="{17F7F45F-B39A-4833-B481-E001492F9F31}" name=" TR WIN" dataDxfId="731">
      <calculatedColumnFormula>IF(N17&gt;= 0,N17,0)</calculatedColumnFormula>
    </tableColumn>
    <tableColumn id="16" xr3:uid="{CEEB2321-871F-4F80-AD7D-6BC6DF4DBCDE}" name=" TR LOSS" dataDxfId="730">
      <calculatedColumnFormula>IF(N17&lt;0,N17,0)</calculatedColumnFormula>
    </tableColumn>
    <tableColumn id="33" xr3:uid="{41D6463B-7C58-4117-A910-6E65D27F3003}" name="Initial Losing Trade" dataDxfId="729">
      <calculatedColumnFormula>IF(AND(OFFSET(Tabla336106734815[[#This Row],[Equity]],1,0)="",Tabla336106734815[[#This Row],[No. of Rs]]&lt;0),"Yes",IF(AND(OFFSET(Tabla336106734815[[#This Row],[Initial Losing Trade]],1,0)="Yes",Tabla336106734815[[#This Row],[No. of Rs]]&lt;0),"Yes","No"))</calculatedColumnFormula>
    </tableColumn>
    <tableColumn id="30" xr3:uid="{55E2BEF4-3919-4682-89E0-0D9E784BA951}" name="Equity" dataDxfId="728">
      <calculatedColumnFormula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calculatedColumnFormula>
    </tableColumn>
    <tableColumn id="32" xr3:uid="{4D2BA565-D6BC-4BAB-A377-5804C7F6C0B4}" name="Equity Peak" dataDxfId="727">
      <calculatedColumnFormula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calculatedColumnFormula>
    </tableColumn>
    <tableColumn id="31" xr3:uid="{316CB056-AD24-4E94-95BB-0F3D2BBC4FE3}" name="Drawdown" dataDxfId="726">
      <calculatedColumnFormula>IF(Tabla336106734815[[#This Row],[Equity]]&lt;Tabla336106734815[[#This Row],[Equity Peak]],(Tabla336106734815[[#This Row],[Equity Peak]]-Tabla336106734815[[#This Row],[Equity]])/Tabla336106734815[[#This Row],[Equity Peak]],"")</calculatedColumnFormula>
    </tableColumn>
    <tableColumn id="17" xr3:uid="{12AFB8ED-14EC-4264-AACA-0883C589CB58}" name="Currency" dataDxfId="725">
      <calculatedColumnFormula>IF(B17="FX",N17,0)</calculatedColumnFormula>
    </tableColumn>
    <tableColumn id="18" xr3:uid="{C32E9A22-F7B8-4286-BA54-1C5A93721D06}" name="Heat3" dataDxfId="724">
      <calculatedColumnFormula>IF(D17="O",IF(V17&lt;0,V17,0),0)</calculatedColumnFormula>
    </tableColumn>
    <tableColumn id="19" xr3:uid="{B9F60407-1130-4F5D-AA8D-A5823D607366}" name="Commodities" dataDxfId="723">
      <calculatedColumnFormula>IF(B17="COM",N17,0)</calculatedColumnFormula>
    </tableColumn>
    <tableColumn id="20" xr3:uid="{ACA5ACE1-E7D0-4865-B835-3D1D132F2A3C}" name="Heat4" dataDxfId="722">
      <calculatedColumnFormula>IF(D17="O",IF(X17&lt;0,X17,0),0)</calculatedColumnFormula>
    </tableColumn>
    <tableColumn id="21" xr3:uid="{4CFED3BE-9687-45B4-8C8E-4B8BA7533EEA}" name="Index" dataDxfId="721">
      <calculatedColumnFormula>IF(B17="IND",N17,0)</calculatedColumnFormula>
    </tableColumn>
    <tableColumn id="22" xr3:uid="{E1CC79C2-2B20-4B08-A9EC-CA1B09238908}" name="Heat5" dataDxfId="720">
      <calculatedColumnFormula>IF(D17="O",IF(Z17&lt;0,Z17,0),0)</calculatedColumnFormula>
    </tableColumn>
    <tableColumn id="27" xr3:uid="{F36F43A0-8993-4C71-B3A4-1A55C994ED6C}" name="Cryptocurrency" dataDxfId="719">
      <calculatedColumnFormula>IF(B17="CRYPTO",N17,0)</calculatedColumnFormula>
    </tableColumn>
    <tableColumn id="28" xr3:uid="{12B415BD-08D3-4AB2-8C09-C70C2DFAAE95}" name="Heat6" dataDxfId="718">
      <calculatedColumnFormula>IF(D17="O",IF(AB17&lt;0,AB17,0),0)</calculatedColumnFormula>
    </tableColumn>
    <tableColumn id="23" xr3:uid="{4ADF84B4-06AF-499C-9322-92BB4201E0E0}" name="Length of _x000a_Trade" dataDxfId="717">
      <calculatedColumnFormula>IF(K17&lt;&gt;"",K17-E17,0)</calculatedColumnFormula>
    </tableColumn>
    <tableColumn id="24" xr3:uid="{9DB30E04-DC2A-4597-ADF7-F0E9318C500A}" name="Win" dataDxfId="716">
      <calculatedColumnFormula>IF(N17&gt;0,AD17,0)</calculatedColumnFormula>
    </tableColumn>
    <tableColumn id="25" xr3:uid="{59A64ADB-300C-4739-B229-05FD2D9EB21E}" name="Loss" dataDxfId="715">
      <calculatedColumnFormula>IF(N17&lt;0,AD17,0)</calculatedColumnFormula>
    </tableColumn>
    <tableColumn id="26" xr3:uid="{056E5EAB-527E-41B2-A019-F3E7FB336201}" name="Breakeven" dataDxfId="71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71D5A3-A4B1-43A6-B370-DE3B4DDCFB2D}" name="Tabla336106734816" displayName="Tabla336106734816" ref="B16:AG50" totalsRowShown="0" headerRowDxfId="705" dataDxfId="704">
  <autoFilter ref="B16:AG50" xr:uid="{00000000-0009-0000-0100-000009000000}"/>
  <sortState xmlns:xlrd2="http://schemas.microsoft.com/office/spreadsheetml/2017/richdata2" ref="B17:AG50">
    <sortCondition descending="1" ref="D16:D50"/>
  </sortState>
  <tableColumns count="32">
    <tableColumn id="1" xr3:uid="{BACF6014-CE4F-4F0C-A97F-461B73C5F445}" name="Inst" dataDxfId="703"/>
    <tableColumn id="2" xr3:uid="{B5693E4A-6466-4AAF-A245-47D33B3689BC}" name="L/S" dataDxfId="702"/>
    <tableColumn id="3" xr3:uid="{30801501-A2BC-4C15-9CDF-B7C60F4EF3D6}" name="O/C" dataDxfId="701">
      <calculatedColumnFormula>IF(E17&lt;&gt;"",IF(K17&lt;&gt;"","C","O"),"")</calculatedColumnFormula>
    </tableColumn>
    <tableColumn id="4" xr3:uid="{852E3F49-D72A-493C-A725-487114C3791A}" name="DATE" dataDxfId="700"/>
    <tableColumn id="5" xr3:uid="{4338748F-A0D6-48AA-81F6-4D1067B41521}" name="INST." dataDxfId="699"/>
    <tableColumn id="6" xr3:uid="{20BD86B3-EAF8-44B6-8393-2B10E12E4BC6}" name="ENTRY " dataDxfId="698"/>
    <tableColumn id="7" xr3:uid="{6EC3CC91-327C-432A-95BC-160470C98680}" name="STOP " dataDxfId="697"/>
    <tableColumn id="8" xr3:uid="{B061E6AD-3B09-4402-95CA-D4736A12B745}" name="TR_x000a_(in Pips)" dataDxfId="696">
      <calculatedColumnFormula>ABS(G17-H17)</calculatedColumnFormula>
    </tableColumn>
    <tableColumn id="9" xr3:uid="{DB04F942-D87D-433F-8E37-A136F833AC4B}" name="TARGET" dataDxfId="695"/>
    <tableColumn id="10" xr3:uid="{F32548D5-E83E-4899-9638-304381DCA2BE}" name="DATE2" dataDxfId="694"/>
    <tableColumn id="11" xr3:uid="{B4DA61E6-B0B2-49EC-ADDE-E58313FE6DCE}" name="EXIT" dataDxfId="693"/>
    <tableColumn id="12" xr3:uid="{687C0A4A-22A3-46BD-AAAA-182B9582F36C}" name="RESULT" dataDxfId="692">
      <calculatedColumnFormula>ROUND(IF(C17="L",(L17-G17),(G17-L17)),4)</calculatedColumnFormula>
    </tableColumn>
    <tableColumn id="13" xr3:uid="{3D450C98-6ADF-4ED1-8729-B2F3515EA581}" name="No. of Rs" dataDxfId="691">
      <calculatedColumnFormula>IFERROR(ROUND((M17/I17),2),"")</calculatedColumnFormula>
    </tableColumn>
    <tableColumn id="14" xr3:uid="{2F853694-A968-435E-B6D4-67ED48943753}" name="Heat" dataDxfId="690">
      <calculatedColumnFormula>IF(D17="O",IF(N17&lt;0,N17,0),0)</calculatedColumnFormula>
    </tableColumn>
    <tableColumn id="15" xr3:uid="{80FB2B63-5AF1-4C25-87F7-B923326436DE}" name=" TR WIN" dataDxfId="689">
      <calculatedColumnFormula>IF(N17&gt;= 0,N17,0)</calculatedColumnFormula>
    </tableColumn>
    <tableColumn id="16" xr3:uid="{A16CF29F-5BAD-44F5-9AB2-87CF00229064}" name=" TR LOSS" dataDxfId="688">
      <calculatedColumnFormula>IF(N17&lt;0,N17,0)</calculatedColumnFormula>
    </tableColumn>
    <tableColumn id="33" xr3:uid="{12342C1A-8131-4E04-A937-19116CE07E78}" name="Initial Losing Trade" dataDxfId="687">
      <calculatedColumnFormula>IF(AND(OFFSET(Tabla336106734816[[#This Row],[Equity]],1,0)="",Tabla336106734816[[#This Row],[No. of Rs]]&lt;0),"Yes",IF(AND(OFFSET(Tabla336106734816[[#This Row],[Initial Losing Trade]],1,0)="Yes",Tabla336106734816[[#This Row],[No. of Rs]]&lt;0),"Yes","No"))</calculatedColumnFormula>
    </tableColumn>
    <tableColumn id="30" xr3:uid="{DC99ED14-A0D5-4920-B753-BAAE45E7471A}" name="Equity" dataDxfId="686">
      <calculatedColumnFormula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calculatedColumnFormula>
    </tableColumn>
    <tableColumn id="32" xr3:uid="{0F24E5BD-5B69-432D-A399-A3AA1C5C94C3}" name="Equity Peak" dataDxfId="685">
      <calculatedColumnFormula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calculatedColumnFormula>
    </tableColumn>
    <tableColumn id="31" xr3:uid="{BDC0C5CB-8CBB-424D-857B-DCB5CA72E3DF}" name="Drawdown" dataDxfId="684">
      <calculatedColumnFormula>IF(Tabla336106734816[[#This Row],[Equity]]&lt;Tabla336106734816[[#This Row],[Equity Peak]],(Tabla336106734816[[#This Row],[Equity Peak]]-Tabla336106734816[[#This Row],[Equity]])/Tabla336106734816[[#This Row],[Equity Peak]],"")</calculatedColumnFormula>
    </tableColumn>
    <tableColumn id="17" xr3:uid="{8DCAA046-1456-4B2A-87B8-C3633F236164}" name="Currency" dataDxfId="683">
      <calculatedColumnFormula>IF(B17="FX",N17,0)</calculatedColumnFormula>
    </tableColumn>
    <tableColumn id="18" xr3:uid="{E5D879E2-5FD2-4EEF-9C6E-34773D082B62}" name="Heat3" dataDxfId="682">
      <calculatedColumnFormula>IF(D17="O",IF(V17&lt;0,V17,0),0)</calculatedColumnFormula>
    </tableColumn>
    <tableColumn id="19" xr3:uid="{131365E3-9553-499A-B027-4D1712A30626}" name="Commodities" dataDxfId="681">
      <calculatedColumnFormula>IF(B17="COM",N17,0)</calculatedColumnFormula>
    </tableColumn>
    <tableColumn id="20" xr3:uid="{0F948C15-DA1E-4D5C-8DDC-E28D2DD9756E}" name="Heat4" dataDxfId="680">
      <calculatedColumnFormula>IF(D17="O",IF(X17&lt;0,X17,0),0)</calculatedColumnFormula>
    </tableColumn>
    <tableColumn id="21" xr3:uid="{FD215CB2-CD89-408A-8325-DC208F20148F}" name="Index" dataDxfId="679">
      <calculatedColumnFormula>IF(B17="IND",N17,0)</calculatedColumnFormula>
    </tableColumn>
    <tableColumn id="22" xr3:uid="{585207F4-DF99-429F-942D-9961F1FE2F44}" name="Heat5" dataDxfId="678">
      <calculatedColumnFormula>IF(D17="O",IF(Z17&lt;0,Z17,0),0)</calculatedColumnFormula>
    </tableColumn>
    <tableColumn id="27" xr3:uid="{6F327166-9D57-4B46-A15A-A5B11C3EEFA2}" name="Cryptocurrency" dataDxfId="677">
      <calculatedColumnFormula>IF(B17="CRYPTO",N17,0)</calculatedColumnFormula>
    </tableColumn>
    <tableColumn id="28" xr3:uid="{560B935C-C9FE-48E5-A8F3-AE25EB7D7C43}" name="Heat6" dataDxfId="676">
      <calculatedColumnFormula>IF(D17="O",IF(AB17&lt;0,AB17,0),0)</calculatedColumnFormula>
    </tableColumn>
    <tableColumn id="23" xr3:uid="{97B0A2D6-98FC-4B06-9B1D-EDFB4DBAC948}" name="Length of _x000a_Trade" dataDxfId="675">
      <calculatedColumnFormula>IF(K17&lt;&gt;"",K17-E17,0)</calculatedColumnFormula>
    </tableColumn>
    <tableColumn id="24" xr3:uid="{4489016F-52D3-40CD-8A23-B92A1CFDA399}" name="Win" dataDxfId="674">
      <calculatedColumnFormula>IF(N17&gt;0,AD17,0)</calculatedColumnFormula>
    </tableColumn>
    <tableColumn id="25" xr3:uid="{D068CE1F-8A65-44EC-8C47-85F94E02EBFB}" name="Loss" dataDxfId="673">
      <calculatedColumnFormula>IF(N17&lt;0,AD17,0)</calculatedColumnFormula>
    </tableColumn>
    <tableColumn id="26" xr3:uid="{E47CFD7B-FE6E-4AF4-B545-A1437B086503}" name="Breakeven" dataDxfId="67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B998D-8D13-4430-9F49-8A9992B5F83C}" name="Tabla33610673484" displayName="Tabla33610673484" ref="B16:AG27" totalsRowShown="0" headerRowDxfId="663" dataDxfId="662">
  <autoFilter ref="B16:AG27" xr:uid="{00000000-0009-0000-0100-000009000000}"/>
  <sortState xmlns:xlrd2="http://schemas.microsoft.com/office/spreadsheetml/2017/richdata2" ref="B17:AG27">
    <sortCondition descending="1" ref="D16:D27"/>
  </sortState>
  <tableColumns count="32">
    <tableColumn id="1" xr3:uid="{35C2B6A1-3B2A-4D12-BE26-C12372B037C7}" name="Inst" dataDxfId="661"/>
    <tableColumn id="2" xr3:uid="{D6D7903D-DE80-4A15-BC3B-046F228272F4}" name="L/S" dataDxfId="660"/>
    <tableColumn id="3" xr3:uid="{C207FF55-2A34-40A6-BBE1-A494E9C22F17}" name="O/C" dataDxfId="659">
      <calculatedColumnFormula>IF(E17&lt;&gt;"",IF(K17&lt;&gt;"","C","O"),"")</calculatedColumnFormula>
    </tableColumn>
    <tableColumn id="4" xr3:uid="{06BBA810-FC99-4957-96A2-548DBB97CB0F}" name="DATE" dataDxfId="658"/>
    <tableColumn id="5" xr3:uid="{EB6C7CCB-B630-490C-BCA9-96FA9CF22637}" name="INST." dataDxfId="657"/>
    <tableColumn id="6" xr3:uid="{9B7B837B-4425-4ADD-BA2B-50CAF2770CDA}" name="ENTRY " dataDxfId="656"/>
    <tableColumn id="7" xr3:uid="{EF80B065-6F52-475E-89DD-54E3D8EB648B}" name="STOP " dataDxfId="655"/>
    <tableColumn id="8" xr3:uid="{30C4316C-6480-480F-B255-E70E7FF2DD23}" name="TR_x000a_(in Pips)" dataDxfId="654">
      <calculatedColumnFormula>ABS(G17-H17)</calculatedColumnFormula>
    </tableColumn>
    <tableColumn id="9" xr3:uid="{4108627B-F63E-47AD-8339-D4706766B0BF}" name="TARGET" dataDxfId="653"/>
    <tableColumn id="10" xr3:uid="{8CB0176A-91A1-47D2-841D-246A670F9642}" name="DATE2" dataDxfId="652"/>
    <tableColumn id="11" xr3:uid="{6D809167-63D4-487E-87FD-777EFE46606F}" name="EXIT" dataDxfId="651"/>
    <tableColumn id="12" xr3:uid="{E86BDD47-5283-4E3D-885E-26184617D559}" name="RESULT" dataDxfId="650">
      <calculatedColumnFormula>ROUND(IF(C17="L",(L17-G17),(G17-L17)),4)</calculatedColumnFormula>
    </tableColumn>
    <tableColumn id="13" xr3:uid="{CC5B0E60-AEC1-4581-8D43-A37076DA7CD6}" name="No. of Rs" dataDxfId="649">
      <calculatedColumnFormula>IFERROR(ROUND((M17/I17),2),"")</calculatedColumnFormula>
    </tableColumn>
    <tableColumn id="14" xr3:uid="{F3F68330-CEE3-4412-B781-5CC293EDEB67}" name="Heat" dataDxfId="648">
      <calculatedColumnFormula>IF(D17="O",IF(N17&lt;0,N17,0),0)</calculatedColumnFormula>
    </tableColumn>
    <tableColumn id="15" xr3:uid="{EB100494-AB70-47E9-9F95-0E25E196C7C2}" name=" TR WIN" dataDxfId="647">
      <calculatedColumnFormula>IF(N17&gt;= 0,N17,0)</calculatedColumnFormula>
    </tableColumn>
    <tableColumn id="16" xr3:uid="{E384F001-4689-4F41-8F60-664B03D5974F}" name=" TR LOSS" dataDxfId="646">
      <calculatedColumnFormula>IF(N17&lt;0,N17,0)</calculatedColumnFormula>
    </tableColumn>
    <tableColumn id="33" xr3:uid="{0906746C-0CF2-458C-A04D-23F0791F096B}" name="Initial Losing Trade" dataDxfId="645">
      <calculatedColumnFormula>IF(AND(OFFSET(Tabla33610673484[[#This Row],[Equity]],1,0)="",Tabla33610673484[[#This Row],[No. of Rs]]&lt;0),"Yes",IF(AND(OFFSET(Tabla33610673484[[#This Row],[Initial Losing Trade]],1,0)="Yes",Tabla33610673484[[#This Row],[No. of Rs]]&lt;0),"Yes","No"))</calculatedColumnFormula>
    </tableColumn>
    <tableColumn id="30" xr3:uid="{1425E18C-E586-4D0E-BBF2-BB2709FAB757}" name="Equity" dataDxfId="644">
      <calculatedColumnFormula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calculatedColumnFormula>
    </tableColumn>
    <tableColumn id="32" xr3:uid="{63F4EAFD-1182-4B36-A3A1-6591D8388A07}" name="Equity Peak" dataDxfId="643">
      <calculatedColumnFormula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calculatedColumnFormula>
    </tableColumn>
    <tableColumn id="31" xr3:uid="{DF50E974-BE67-4744-B8D1-2B555BCC627F}" name="Drawdown" dataDxfId="642">
      <calculatedColumnFormula>IF(Tabla33610673484[[#This Row],[Equity]]&lt;Tabla33610673484[[#This Row],[Equity Peak]],(Tabla33610673484[[#This Row],[Equity Peak]]-Tabla33610673484[[#This Row],[Equity]])/Tabla33610673484[[#This Row],[Equity Peak]],"")</calculatedColumnFormula>
    </tableColumn>
    <tableColumn id="17" xr3:uid="{D2C7771B-291D-4525-BA19-3EAC8D41956C}" name="Currency" dataDxfId="641">
      <calculatedColumnFormula>IF(B17="FX",N17,0)</calculatedColumnFormula>
    </tableColumn>
    <tableColumn id="18" xr3:uid="{C2198234-61CA-4260-92CF-03C0D03EB1F1}" name="Heat3" dataDxfId="640">
      <calculatedColumnFormula>IF(D17="O",IF(V17&lt;0,V17,0),0)</calculatedColumnFormula>
    </tableColumn>
    <tableColumn id="19" xr3:uid="{70BC6ECF-E505-4A4A-A005-15C515FD78C9}" name="Commodities" dataDxfId="639">
      <calculatedColumnFormula>IF(B17="COM",N17,0)</calculatedColumnFormula>
    </tableColumn>
    <tableColumn id="20" xr3:uid="{C388C078-FF8F-412D-A451-766EC0CB574A}" name="Heat4" dataDxfId="638">
      <calculatedColumnFormula>IF(D17="O",IF(X17&lt;0,X17,0),0)</calculatedColumnFormula>
    </tableColumn>
    <tableColumn id="21" xr3:uid="{34391A6E-CB55-4F4A-BF0F-4A77D57D749D}" name="Index" dataDxfId="637">
      <calculatedColumnFormula>IF(B17="IND",N17,0)</calculatedColumnFormula>
    </tableColumn>
    <tableColumn id="22" xr3:uid="{463CC4D9-AF28-4ECA-B9C2-4B177D2550F6}" name="Heat5" dataDxfId="636">
      <calculatedColumnFormula>IF(D17="O",IF(Z17&lt;0,Z17,0),0)</calculatedColumnFormula>
    </tableColumn>
    <tableColumn id="27" xr3:uid="{2E92A3C9-052D-4D04-A85E-43335B721E2B}" name="Cryptocurrency" dataDxfId="635">
      <calculatedColumnFormula>IF(B17="CRYPTO",N17,0)</calculatedColumnFormula>
    </tableColumn>
    <tableColumn id="28" xr3:uid="{99497EE8-098C-4425-B85C-58A3EB99ACBE}" name="Heat6" dataDxfId="634">
      <calculatedColumnFormula>IF(D17="O",IF(AB17&lt;0,AB17,0),0)</calculatedColumnFormula>
    </tableColumn>
    <tableColumn id="23" xr3:uid="{60072D67-F899-4157-BCBC-4538963D3A4A}" name="Length of _x000a_Trade" dataDxfId="633">
      <calculatedColumnFormula>IF(K17&lt;&gt;"",K17-E17,0)</calculatedColumnFormula>
    </tableColumn>
    <tableColumn id="24" xr3:uid="{44318096-FBB8-4E23-870F-4527A118D267}" name="Win" dataDxfId="632">
      <calculatedColumnFormula>IF(N17&gt;0,AD17,0)</calculatedColumnFormula>
    </tableColumn>
    <tableColumn id="25" xr3:uid="{7010DD04-86FF-48A4-8FD5-6A9882AA04F9}" name="Loss" dataDxfId="631">
      <calculatedColumnFormula>IF(N17&lt;0,AD17,0)</calculatedColumnFormula>
    </tableColumn>
    <tableColumn id="26" xr3:uid="{67E00B17-2FBE-40CC-BFCB-E7BB65886DB6}" name="Breakeven" dataDxfId="63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4B2D3EE-6DEE-4563-8AE5-C44A164DF5E7}" name="Tabla336106734817" displayName="Tabla336106734817" ref="B16:AG35" totalsRowShown="0" headerRowDxfId="621" dataDxfId="620">
  <autoFilter ref="B16:AG35" xr:uid="{00000000-0009-0000-0100-000009000000}"/>
  <sortState xmlns:xlrd2="http://schemas.microsoft.com/office/spreadsheetml/2017/richdata2" ref="B17:AG35">
    <sortCondition descending="1" ref="D16:D35"/>
  </sortState>
  <tableColumns count="32">
    <tableColumn id="1" xr3:uid="{4C2483DC-2144-406F-9D44-ABF0693AC1A2}" name="Inst" dataDxfId="619"/>
    <tableColumn id="2" xr3:uid="{3BAA3168-B7E6-4C8A-958D-32410BBE773C}" name="L/S" dataDxfId="618"/>
    <tableColumn id="3" xr3:uid="{990C8F5E-3DCF-4EBD-B021-8B33E3D77AF3}" name="O/C" dataDxfId="617">
      <calculatedColumnFormula>IF(E17&lt;&gt;"",IF(K17&lt;&gt;"","C","O"),"")</calculatedColumnFormula>
    </tableColumn>
    <tableColumn id="4" xr3:uid="{DF83505C-EBFC-4A9A-A4D5-1FAE127D1102}" name="DATE" dataDxfId="616"/>
    <tableColumn id="5" xr3:uid="{A6A3AC3A-6141-4118-A490-BE65CB472E56}" name="INST." dataDxfId="615"/>
    <tableColumn id="6" xr3:uid="{22F7D5DE-5711-4BEC-88C1-DB242EA12899}" name="ENTRY " dataDxfId="614"/>
    <tableColumn id="7" xr3:uid="{B51215F0-71EB-4854-9CCF-A41AFA2735A4}" name="STOP " dataDxfId="613"/>
    <tableColumn id="8" xr3:uid="{768AE2FA-F454-4917-8D51-D72827AED40F}" name="TR_x000a_(in Pips)" dataDxfId="612">
      <calculatedColumnFormula>ABS(G17-H17)</calculatedColumnFormula>
    </tableColumn>
    <tableColumn id="9" xr3:uid="{A236E27E-B8BA-475D-9FF8-550AD2C28945}" name="TARGET" dataDxfId="611"/>
    <tableColumn id="10" xr3:uid="{B4177339-E68E-44E3-BB3B-37CF86D863F7}" name="DATE2" dataDxfId="610"/>
    <tableColumn id="11" xr3:uid="{FBB50FF7-1F56-4FE5-9423-F931477A1F41}" name="EXIT" dataDxfId="609"/>
    <tableColumn id="12" xr3:uid="{07C87AD7-609E-4339-900C-84B27C0B1513}" name="RESULT" dataDxfId="608">
      <calculatedColumnFormula>ROUND(IF(C17="L",(L17-G17),(G17-L17)),4)</calculatedColumnFormula>
    </tableColumn>
    <tableColumn id="13" xr3:uid="{31917C22-5726-42A7-BB8F-5885283C7DF5}" name="No. of Rs" dataDxfId="607">
      <calculatedColumnFormula>IFERROR(ROUND((M17/I17),2),"")</calculatedColumnFormula>
    </tableColumn>
    <tableColumn id="14" xr3:uid="{8DB5188D-AAB8-465C-B4C0-FF389892A754}" name="Heat" dataDxfId="606">
      <calculatedColumnFormula>IF(D17="O",IF(N17&lt;0,N17,0),0)</calculatedColumnFormula>
    </tableColumn>
    <tableColumn id="15" xr3:uid="{24E06738-431D-4FF2-B7A8-DF9A3E55B0E1}" name=" TR WIN" dataDxfId="605">
      <calculatedColumnFormula>IF(N17&gt;= 0,N17,0)</calculatedColumnFormula>
    </tableColumn>
    <tableColumn id="16" xr3:uid="{6845ABC8-E0EF-4A16-9270-B042D4B6661D}" name=" TR LOSS" dataDxfId="604">
      <calculatedColumnFormula>IF(N17&lt;0,N17,0)</calculatedColumnFormula>
    </tableColumn>
    <tableColumn id="33" xr3:uid="{AC6460BD-A5CD-4A08-9D29-5E73ECFE8FF6}" name="Initial Losing Trade" dataDxfId="603">
      <calculatedColumnFormula>IF(AND(OFFSET(Tabla336106734817[[#This Row],[Equity]],1,0)="",Tabla336106734817[[#This Row],[No. of Rs]]&lt;0),"Yes",IF(AND(OFFSET(Tabla336106734817[[#This Row],[Initial Losing Trade]],1,0)="Yes",Tabla336106734817[[#This Row],[No. of Rs]]&lt;0),"Yes","No"))</calculatedColumnFormula>
    </tableColumn>
    <tableColumn id="30" xr3:uid="{96877A8E-59D1-40B6-90CB-D8FDEAEE0A39}" name="Equity" dataDxfId="602">
      <calculatedColumnFormula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calculatedColumnFormula>
    </tableColumn>
    <tableColumn id="32" xr3:uid="{E60F8DE2-81FD-48AF-ABF2-7130F9EBC4AC}" name="Equity Peak" dataDxfId="601">
      <calculatedColumnFormula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calculatedColumnFormula>
    </tableColumn>
    <tableColumn id="31" xr3:uid="{CDB25E75-9F6C-43B7-AE64-18D7DC364A77}" name="Drawdown" dataDxfId="600">
      <calculatedColumnFormula>IF(Tabla336106734817[[#This Row],[Equity]]&lt;Tabla336106734817[[#This Row],[Equity Peak]],(Tabla336106734817[[#This Row],[Equity Peak]]-Tabla336106734817[[#This Row],[Equity]])/Tabla336106734817[[#This Row],[Equity Peak]],"")</calculatedColumnFormula>
    </tableColumn>
    <tableColumn id="17" xr3:uid="{B36E0EEE-88EB-4CB8-844E-14AAD3F5D01F}" name="Currency" dataDxfId="599">
      <calculatedColumnFormula>IF(B17="FX",N17,0)</calculatedColumnFormula>
    </tableColumn>
    <tableColumn id="18" xr3:uid="{4A86B85E-1DE8-4030-BFC8-EB4B16237780}" name="Heat3" dataDxfId="598">
      <calculatedColumnFormula>IF(D17="O",IF(V17&lt;0,V17,0),0)</calculatedColumnFormula>
    </tableColumn>
    <tableColumn id="19" xr3:uid="{01873D22-5E7D-44B5-A2FB-FD7729B1D552}" name="Commodities" dataDxfId="597">
      <calculatedColumnFormula>IF(B17="COM",N17,0)</calculatedColumnFormula>
    </tableColumn>
    <tableColumn id="20" xr3:uid="{DAA34708-46E4-46B6-8F4A-2F68BD094AEA}" name="Heat4" dataDxfId="596">
      <calculatedColumnFormula>IF(D17="O",IF(X17&lt;0,X17,0),0)</calculatedColumnFormula>
    </tableColumn>
    <tableColumn id="21" xr3:uid="{0DF38C83-660B-424F-BA21-3D66CA7FC976}" name="Index" dataDxfId="595">
      <calculatedColumnFormula>IF(B17="IND",N17,0)</calculatedColumnFormula>
    </tableColumn>
    <tableColumn id="22" xr3:uid="{358C0FAD-B9D6-414A-815B-2CEA79223D54}" name="Heat5" dataDxfId="594">
      <calculatedColumnFormula>IF(D17="O",IF(Z17&lt;0,Z17,0),0)</calculatedColumnFormula>
    </tableColumn>
    <tableColumn id="27" xr3:uid="{238E7A16-4AEE-4272-AA28-274B4857B397}" name="Cryptocurrency" dataDxfId="593">
      <calculatedColumnFormula>IF(B17="CRYPTO",N17,0)</calculatedColumnFormula>
    </tableColumn>
    <tableColumn id="28" xr3:uid="{3DE0DB25-DB95-4923-90D2-F7C2F43F6EEE}" name="Heat6" dataDxfId="592">
      <calculatedColumnFormula>IF(D17="O",IF(AB17&lt;0,AB17,0),0)</calculatedColumnFormula>
    </tableColumn>
    <tableColumn id="23" xr3:uid="{F1ED3ABA-0307-4298-AA94-1BA67E421DE3}" name="Length of _x000a_Trade" dataDxfId="591">
      <calculatedColumnFormula>IF(K17&lt;&gt;"",K17-E17,0)</calculatedColumnFormula>
    </tableColumn>
    <tableColumn id="24" xr3:uid="{F5F1A77F-D286-4D86-A5C9-6B6FCE67D8B9}" name="Win" dataDxfId="590">
      <calculatedColumnFormula>IF(N17&gt;0,AD17,0)</calculatedColumnFormula>
    </tableColumn>
    <tableColumn id="25" xr3:uid="{3E8F66A5-907F-48B8-B6F0-0DFD82A33929}" name="Loss" dataDxfId="589">
      <calculatedColumnFormula>IF(N17&lt;0,AD17,0)</calculatedColumnFormula>
    </tableColumn>
    <tableColumn id="26" xr3:uid="{FB285BAC-D3ED-4D4B-9F36-A710560E4C39}" name="Breakeven" dataDxfId="58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C03A8E-E6D7-49B3-8DED-EDA1A68324A8}" name="Tabla33610673486" displayName="Tabla33610673486" ref="B16:AG39" totalsRowShown="0" headerRowDxfId="579" dataDxfId="578">
  <autoFilter ref="B16:AG39" xr:uid="{00000000-0009-0000-0100-000009000000}"/>
  <sortState xmlns:xlrd2="http://schemas.microsoft.com/office/spreadsheetml/2017/richdata2" ref="B17:AG39">
    <sortCondition descending="1" ref="D16:D39"/>
  </sortState>
  <tableColumns count="32">
    <tableColumn id="1" xr3:uid="{D340922A-49D2-4CC1-90FD-033258B8E2C4}" name="Inst" dataDxfId="577"/>
    <tableColumn id="2" xr3:uid="{6B5EA7B9-048C-4FDC-9221-14D24CEDF7BB}" name="L/S" dataDxfId="576"/>
    <tableColumn id="3" xr3:uid="{0B2225E9-A1AB-4C68-8402-8B60DC72CDE5}" name="O/C" dataDxfId="575">
      <calculatedColumnFormula>IF(E17&lt;&gt;"",IF(K17&lt;&gt;"","C","O"),"")</calculatedColumnFormula>
    </tableColumn>
    <tableColumn id="4" xr3:uid="{AB0468B2-2D94-4B0E-839E-A551F9AEBD64}" name="DATE" dataDxfId="574"/>
    <tableColumn id="5" xr3:uid="{E37210C6-9E7B-4676-9AC7-D4AA7E70EF80}" name="INST." dataDxfId="573"/>
    <tableColumn id="6" xr3:uid="{273EE200-EF48-4068-B9B7-2552CABCE1A1}" name="ENTRY " dataDxfId="572"/>
    <tableColumn id="7" xr3:uid="{3E581079-C1E3-4E9C-9911-E600D58B6CE9}" name="STOP " dataDxfId="571"/>
    <tableColumn id="8" xr3:uid="{3C6F9749-5D13-4168-A0AA-DEF4A71307D2}" name="TR_x000a_(in Pips)" dataDxfId="570">
      <calculatedColumnFormula>ABS(G17-H17)</calculatedColumnFormula>
    </tableColumn>
    <tableColumn id="9" xr3:uid="{01119C8C-B36F-4683-BEAA-410E5ED7D863}" name="TARGET" dataDxfId="569"/>
    <tableColumn id="10" xr3:uid="{2E15F228-E81C-484B-92E1-B1692EFEA0B8}" name="DATE2" dataDxfId="568"/>
    <tableColumn id="11" xr3:uid="{719B167C-4326-4680-A964-2EA627099EEE}" name="EXIT" dataDxfId="567"/>
    <tableColumn id="12" xr3:uid="{4CB5227F-58AE-49DB-8443-393E1218460B}" name="RESULT" dataDxfId="566">
      <calculatedColumnFormula>ROUND(IF(C17="L",(L17-G17),(G17-L17)),4)</calculatedColumnFormula>
    </tableColumn>
    <tableColumn id="13" xr3:uid="{D0488F0D-ED7E-4537-A4F2-B591526A7789}" name="No. of Rs" dataDxfId="565">
      <calculatedColumnFormula>IFERROR(ROUND((M17/I17),2),"")</calculatedColumnFormula>
    </tableColumn>
    <tableColumn id="14" xr3:uid="{0671EB80-57FA-4517-AE10-BE3E4420E1FB}" name="Heat" dataDxfId="564">
      <calculatedColumnFormula>IF(D17="O",IF(N17&lt;0,N17,0),0)</calculatedColumnFormula>
    </tableColumn>
    <tableColumn id="15" xr3:uid="{42D45C88-4B2C-485E-BC20-B7C6F00FB987}" name=" TR WIN" dataDxfId="563">
      <calculatedColumnFormula>IF(N17&gt;= 0,N17,0)</calculatedColumnFormula>
    </tableColumn>
    <tableColumn id="16" xr3:uid="{50CAFAF6-A4F0-4079-B583-81B2629D9E40}" name=" TR LOSS" dataDxfId="562">
      <calculatedColumnFormula>IF(N17&lt;0,N17,0)</calculatedColumnFormula>
    </tableColumn>
    <tableColumn id="33" xr3:uid="{6ABDA8D9-2AD5-40E8-9C15-1CFD15E6ADF7}" name="Initial Losing Trade" dataDxfId="561">
      <calculatedColumnFormula>IF(AND(OFFSET(Tabla33610673486[[#This Row],[Equity]],1,0)="",Tabla33610673486[[#This Row],[No. of Rs]]&lt;0),"Yes",IF(AND(OFFSET(Tabla33610673486[[#This Row],[Initial Losing Trade]],1,0)="Yes",Tabla33610673486[[#This Row],[No. of Rs]]&lt;0),"Yes","No"))</calculatedColumnFormula>
    </tableColumn>
    <tableColumn id="30" xr3:uid="{76ACB9BA-291E-4ABA-920B-784BB5436CC5}" name="Equity" dataDxfId="560">
      <calculatedColumnFormula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calculatedColumnFormula>
    </tableColumn>
    <tableColumn id="32" xr3:uid="{1DC52F9D-3A7C-451C-B9BC-88793E4F08FF}" name="Equity Peak" dataDxfId="559">
      <calculatedColumnFormula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calculatedColumnFormula>
    </tableColumn>
    <tableColumn id="31" xr3:uid="{E622EA1C-2E07-4E7E-965E-BC1597FC4B16}" name="Drawdown" dataDxfId="558">
      <calculatedColumnFormula>IF(Tabla33610673486[[#This Row],[Equity]]&lt;Tabla33610673486[[#This Row],[Equity Peak]],(Tabla33610673486[[#This Row],[Equity Peak]]-Tabla33610673486[[#This Row],[Equity]])/Tabla33610673486[[#This Row],[Equity Peak]],"")</calculatedColumnFormula>
    </tableColumn>
    <tableColumn id="17" xr3:uid="{36BD358E-1283-4635-901B-BD4347C5DAF7}" name="Currency" dataDxfId="557">
      <calculatedColumnFormula>IF(B17="FX",N17,0)</calculatedColumnFormula>
    </tableColumn>
    <tableColumn id="18" xr3:uid="{45C872BA-8FF6-49A0-8050-836243E2A146}" name="Heat3" dataDxfId="556">
      <calculatedColumnFormula>IF(D17="O",IF(V17&lt;0,V17,0),0)</calculatedColumnFormula>
    </tableColumn>
    <tableColumn id="19" xr3:uid="{8FD6A9CB-9DF0-44E7-9163-C77599170AC4}" name="Commodities" dataDxfId="555">
      <calculatedColumnFormula>IF(B17="COM",N17,0)</calculatedColumnFormula>
    </tableColumn>
    <tableColumn id="20" xr3:uid="{6633964F-38B2-43A9-8C13-59533B8DBE48}" name="Heat4" dataDxfId="554">
      <calculatedColumnFormula>IF(D17="O",IF(X17&lt;0,X17,0),0)</calculatedColumnFormula>
    </tableColumn>
    <tableColumn id="21" xr3:uid="{1F1C2C3B-E248-46B7-9800-55A63E3D6CDA}" name="Index" dataDxfId="553">
      <calculatedColumnFormula>IF(B17="IND",N17,0)</calculatedColumnFormula>
    </tableColumn>
    <tableColumn id="22" xr3:uid="{A18E2505-4A09-4E9F-BCE4-E2F3C2F557D6}" name="Heat5" dataDxfId="552">
      <calculatedColumnFormula>IF(D17="O",IF(Z17&lt;0,Z17,0),0)</calculatedColumnFormula>
    </tableColumn>
    <tableColumn id="27" xr3:uid="{31791ACC-502D-4960-9917-9EC2DC2CD1C4}" name="Cryptocurrency" dataDxfId="551">
      <calculatedColumnFormula>IF(B17="CRYPTO",N17,0)</calculatedColumnFormula>
    </tableColumn>
    <tableColumn id="28" xr3:uid="{ED78A28C-A416-4696-8521-7CDA75158909}" name="Heat6" dataDxfId="550">
      <calculatedColumnFormula>IF(D17="O",IF(AB17&lt;0,AB17,0),0)</calculatedColumnFormula>
    </tableColumn>
    <tableColumn id="23" xr3:uid="{6DF9ED41-D4AD-43D1-B2A5-A36A148CF4D7}" name="Length of _x000a_Trade" dataDxfId="549">
      <calculatedColumnFormula>IF(K17&lt;&gt;"",K17-E17,0)</calculatedColumnFormula>
    </tableColumn>
    <tableColumn id="24" xr3:uid="{34B55CAB-CAE5-42DC-A098-6932F32E5A92}" name="Win" dataDxfId="548">
      <calculatedColumnFormula>IF(N17&gt;0,AD17,0)</calculatedColumnFormula>
    </tableColumn>
    <tableColumn id="25" xr3:uid="{119273FF-F5D5-4DBF-96AC-29371F93A6A1}" name="Loss" dataDxfId="547">
      <calculatedColumnFormula>IF(N17&lt;0,AD17,0)</calculatedColumnFormula>
    </tableColumn>
    <tableColumn id="26" xr3:uid="{2F1D2166-56E1-473A-8150-5A6DFBDD46F5}" name="Breakeven" dataDxfId="54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8506A2A-5DEF-4DD3-A853-FA3B3E1B2823}" name="Tabla336106734818" displayName="Tabla336106734818" ref="B16:AG31" totalsRowShown="0" headerRowDxfId="537" dataDxfId="536">
  <autoFilter ref="B16:AG31" xr:uid="{00000000-0009-0000-0100-000009000000}"/>
  <sortState xmlns:xlrd2="http://schemas.microsoft.com/office/spreadsheetml/2017/richdata2" ref="B17:AG31">
    <sortCondition descending="1" ref="D16:D31"/>
  </sortState>
  <tableColumns count="32">
    <tableColumn id="1" xr3:uid="{D7746087-6354-4C2B-A6C9-594BC79DAB4C}" name="Inst" dataDxfId="535"/>
    <tableColumn id="2" xr3:uid="{1FD3AE6B-30C0-410A-9BC5-C337A9F49F38}" name="L/S" dataDxfId="534"/>
    <tableColumn id="3" xr3:uid="{D57048C9-44F0-4CFE-93AC-B3002AD014A3}" name="O/C" dataDxfId="533">
      <calculatedColumnFormula>IF(E17&lt;&gt;"",IF(K17&lt;&gt;"","C","O"),"")</calculatedColumnFormula>
    </tableColumn>
    <tableColumn id="4" xr3:uid="{77A05C42-5A44-4D15-895F-6CD46A54ED7D}" name="DATE" dataDxfId="532"/>
    <tableColumn id="5" xr3:uid="{66379AD3-D6B5-45A8-987E-4DA069910105}" name="INST." dataDxfId="531"/>
    <tableColumn id="6" xr3:uid="{85204021-E23C-4E13-8164-ECA04828573D}" name="ENTRY " dataDxfId="530"/>
    <tableColumn id="7" xr3:uid="{26A10545-40A6-43E1-9833-34D711E01328}" name="STOP " dataDxfId="529"/>
    <tableColumn id="8" xr3:uid="{803EDB19-957E-4DD1-98D4-6E97B54C17E0}" name="TR_x000a_(in Pips)" dataDxfId="528">
      <calculatedColumnFormula>ABS(G17-H17)</calculatedColumnFormula>
    </tableColumn>
    <tableColumn id="9" xr3:uid="{267A54D6-399F-4A0D-A2DD-CC149D44445E}" name="TARGET" dataDxfId="527"/>
    <tableColumn id="10" xr3:uid="{0BCB3C3E-B84F-432D-A5CF-441EF5C11924}" name="DATE2" dataDxfId="526"/>
    <tableColumn id="11" xr3:uid="{8D4E03F4-0EFA-46A0-9053-096FCA010DA6}" name="EXIT" dataDxfId="525"/>
    <tableColumn id="12" xr3:uid="{ED7735C0-4AC7-4E48-AB9C-4848FB2EC4D4}" name="RESULT" dataDxfId="524">
      <calculatedColumnFormula>ROUND(IF(C17="L",(L17-G17),(G17-L17)),4)</calculatedColumnFormula>
    </tableColumn>
    <tableColumn id="13" xr3:uid="{23D10C3F-194F-4B30-9508-929E54C53036}" name="No. of Rs" dataDxfId="523">
      <calculatedColumnFormula>IFERROR(ROUND((M17/I17),2),"")</calculatedColumnFormula>
    </tableColumn>
    <tableColumn id="14" xr3:uid="{32F9B4B9-1899-4613-8FEC-E53613F844D3}" name="Heat" dataDxfId="522">
      <calculatedColumnFormula>IF(D17="O",IF(N17&lt;0,N17,0),0)</calculatedColumnFormula>
    </tableColumn>
    <tableColumn id="15" xr3:uid="{D84727B7-DE72-4562-9750-2D60B7B10B72}" name=" TR WIN" dataDxfId="521">
      <calculatedColumnFormula>IF(N17&gt;= 0,N17,0)</calculatedColumnFormula>
    </tableColumn>
    <tableColumn id="16" xr3:uid="{1BE15FCC-22EF-4E9B-885C-73E797046850}" name=" TR LOSS" dataDxfId="520">
      <calculatedColumnFormula>IF(N17&lt;0,N17,0)</calculatedColumnFormula>
    </tableColumn>
    <tableColumn id="33" xr3:uid="{479FA716-71B6-4AC0-9DEE-43C0DC3926B7}" name="Initial Losing Trade" dataDxfId="519">
      <calculatedColumnFormula>IF(AND(OFFSET(Tabla336106734818[[#This Row],[Equity]],1,0)="",Tabla336106734818[[#This Row],[No. of Rs]]&lt;0),"Yes",IF(AND(OFFSET(Tabla336106734818[[#This Row],[Initial Losing Trade]],1,0)="Yes",Tabla336106734818[[#This Row],[No. of Rs]]&lt;0),"Yes","No"))</calculatedColumnFormula>
    </tableColumn>
    <tableColumn id="30" xr3:uid="{AFA71992-0E0C-4D49-95E9-45A491BE729F}" name="Equity" dataDxfId="518">
      <calculatedColumnFormula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calculatedColumnFormula>
    </tableColumn>
    <tableColumn id="32" xr3:uid="{AFB2BF74-E800-46C5-85EE-05649EA9B0F7}" name="Equity Peak" dataDxfId="517">
      <calculatedColumnFormula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calculatedColumnFormula>
    </tableColumn>
    <tableColumn id="31" xr3:uid="{280903CD-C5B1-4909-8D48-268D77F69B33}" name="Drawdown" dataDxfId="516">
      <calculatedColumnFormula>IF(Tabla336106734818[[#This Row],[Equity]]&lt;Tabla336106734818[[#This Row],[Equity Peak]],(Tabla336106734818[[#This Row],[Equity Peak]]-Tabla336106734818[[#This Row],[Equity]])/Tabla336106734818[[#This Row],[Equity Peak]],"")</calculatedColumnFormula>
    </tableColumn>
    <tableColumn id="17" xr3:uid="{736E8779-2EF7-4968-B0CB-A0B833B8C9B0}" name="Currency" dataDxfId="515">
      <calculatedColumnFormula>IF(B17="FX",N17,0)</calculatedColumnFormula>
    </tableColumn>
    <tableColumn id="18" xr3:uid="{FD251661-8904-4C47-BC46-EC5A2CE3E3FF}" name="Heat3" dataDxfId="514">
      <calculatedColumnFormula>IF(D17="O",IF(V17&lt;0,V17,0),0)</calculatedColumnFormula>
    </tableColumn>
    <tableColumn id="19" xr3:uid="{D1E5F526-23F4-4C62-804B-E205DA56595D}" name="Commodities" dataDxfId="513">
      <calculatedColumnFormula>IF(B17="COM",N17,0)</calculatedColumnFormula>
    </tableColumn>
    <tableColumn id="20" xr3:uid="{82CD73E3-852C-40DD-A602-DDD22C31DB77}" name="Heat4" dataDxfId="512">
      <calculatedColumnFormula>IF(D17="O",IF(X17&lt;0,X17,0),0)</calculatedColumnFormula>
    </tableColumn>
    <tableColumn id="21" xr3:uid="{5237A37D-111F-4B6E-B566-6F9805055F51}" name="Index" dataDxfId="511">
      <calculatedColumnFormula>IF(B17="IND",N17,0)</calculatedColumnFormula>
    </tableColumn>
    <tableColumn id="22" xr3:uid="{504971DE-F637-4BAE-83D5-2CBE5D7672E3}" name="Heat5" dataDxfId="510">
      <calculatedColumnFormula>IF(D17="O",IF(Z17&lt;0,Z17,0),0)</calculatedColumnFormula>
    </tableColumn>
    <tableColumn id="27" xr3:uid="{AC633394-6143-43E4-93F9-2B00CAA618DD}" name="Cryptocurrency" dataDxfId="509">
      <calculatedColumnFormula>IF(B17="CRYPTO",N17,0)</calculatedColumnFormula>
    </tableColumn>
    <tableColumn id="28" xr3:uid="{2513B771-A246-4B85-9D9D-4235669A4717}" name="Heat6" dataDxfId="508">
      <calculatedColumnFormula>IF(D17="O",IF(AB17&lt;0,AB17,0),0)</calculatedColumnFormula>
    </tableColumn>
    <tableColumn id="23" xr3:uid="{EDA4CB45-2070-4BAC-8076-5D77DD511EF2}" name="Length of _x000a_Trade" dataDxfId="507">
      <calculatedColumnFormula>IF(K17&lt;&gt;"",K17-E17,0)</calculatedColumnFormula>
    </tableColumn>
    <tableColumn id="24" xr3:uid="{2D33B4A2-9821-42BC-BB98-4CECF024CEEF}" name="Win" dataDxfId="506">
      <calculatedColumnFormula>IF(N17&gt;0,AD17,0)</calculatedColumnFormula>
    </tableColumn>
    <tableColumn id="25" xr3:uid="{80CEAFDA-2961-406A-9F8B-6A2EF9CFEBFB}" name="Loss" dataDxfId="505">
      <calculatedColumnFormula>IF(N17&lt;0,AD17,0)</calculatedColumnFormula>
    </tableColumn>
    <tableColumn id="26" xr3:uid="{EEE05F01-45F1-49F9-BE86-D13D44F9BFB6}" name="Breakeven" dataDxfId="50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DCA823-828C-481A-9188-69D21C457E30}" name="Tabla33610673487" displayName="Tabla33610673487" ref="B16:AG48" totalsRowShown="0" headerRowDxfId="495" dataDxfId="494">
  <autoFilter ref="B16:AG48" xr:uid="{00000000-0009-0000-0100-000009000000}"/>
  <sortState xmlns:xlrd2="http://schemas.microsoft.com/office/spreadsheetml/2017/richdata2" ref="B17:AG48">
    <sortCondition descending="1" ref="D16:D48"/>
  </sortState>
  <tableColumns count="32">
    <tableColumn id="1" xr3:uid="{4605BAAA-E080-4432-9B73-DBD2235D2819}" name="Inst" dataDxfId="493"/>
    <tableColumn id="2" xr3:uid="{C0839395-578D-4CDC-BA63-4ADEFAD603AD}" name="L/S" dataDxfId="492"/>
    <tableColumn id="3" xr3:uid="{C6ED6F34-7E9A-4BD0-A8CE-0A4DC887C8BA}" name="O/C" dataDxfId="491">
      <calculatedColumnFormula>IF(E17&lt;&gt;"",IF(K17&lt;&gt;"","C","O"),"")</calculatedColumnFormula>
    </tableColumn>
    <tableColumn id="4" xr3:uid="{A9F43AB1-C3AB-41E8-BBE1-3F4CFB04CC82}" name="DATE" dataDxfId="490"/>
    <tableColumn id="5" xr3:uid="{66FF759F-C333-443A-A853-DBE7A8AFDA71}" name="INST." dataDxfId="489"/>
    <tableColumn id="6" xr3:uid="{89899C3B-AA75-42DE-83CF-57CE5D0A8729}" name="ENTRY " dataDxfId="488"/>
    <tableColumn id="7" xr3:uid="{F858B79A-F6E2-479B-BBEE-874CE9A283BF}" name="STOP " dataDxfId="487"/>
    <tableColumn id="8" xr3:uid="{4250225D-7C88-441C-BCD0-7490A3EE9B57}" name="TR_x000a_(in Pips)" dataDxfId="486">
      <calculatedColumnFormula>ABS(G17-H17)</calculatedColumnFormula>
    </tableColumn>
    <tableColumn id="9" xr3:uid="{D2A6617F-EACF-4FF3-8639-D66DEA261F25}" name="TARGET" dataDxfId="485"/>
    <tableColumn id="10" xr3:uid="{A7DE512D-B84C-4E8D-A6BD-2A9202BF4650}" name="DATE2" dataDxfId="484"/>
    <tableColumn id="11" xr3:uid="{10643205-20B7-45FC-8F7C-05778FCEB867}" name="EXIT" dataDxfId="483"/>
    <tableColumn id="12" xr3:uid="{8DD248FD-EBFF-46B2-AE67-CFC27BA15813}" name="RESULT" dataDxfId="482">
      <calculatedColumnFormula>ROUND(IF(C17="L",(L17-G17),(G17-L17)),4)</calculatedColumnFormula>
    </tableColumn>
    <tableColumn id="13" xr3:uid="{4921F856-9A68-4066-911D-5252B0A8197A}" name="No. of Rs" dataDxfId="481">
      <calculatedColumnFormula>IFERROR(ROUND((M17/I17),2),"")</calculatedColumnFormula>
    </tableColumn>
    <tableColumn id="14" xr3:uid="{95AA26AB-369C-482E-B90B-B425BAC7DDFE}" name="Heat" dataDxfId="480">
      <calculatedColumnFormula>IF(D17="O",IF(N17&lt;0,N17,0),0)</calculatedColumnFormula>
    </tableColumn>
    <tableColumn id="15" xr3:uid="{4CFDDBE5-F918-4430-B04D-2B644EF6085F}" name=" TR WIN" dataDxfId="479">
      <calculatedColumnFormula>IF(N17&gt;= 0,N17,0)</calculatedColumnFormula>
    </tableColumn>
    <tableColumn id="16" xr3:uid="{116EBDB1-4415-46B2-ACE1-DB3BA7A5B4B7}" name=" TR LOSS" dataDxfId="478">
      <calculatedColumnFormula>IF(N17&lt;0,N17,0)</calculatedColumnFormula>
    </tableColumn>
    <tableColumn id="33" xr3:uid="{F44A9986-7A16-478A-8476-DD11323A2587}" name="Initial Losing Trade" dataDxfId="477">
      <calculatedColumnFormula>IF(AND(OFFSET(Tabla33610673487[[#This Row],[Equity]],1,0)="",Tabla33610673487[[#This Row],[No. of Rs]]&lt;0),"Yes",IF(AND(OFFSET(Tabla33610673487[[#This Row],[Initial Losing Trade]],1,0)="Yes",Tabla33610673487[[#This Row],[No. of Rs]]&lt;0),"Yes","No"))</calculatedColumnFormula>
    </tableColumn>
    <tableColumn id="30" xr3:uid="{0877814F-3D0A-46B4-89D3-CE29B47C4D8C}" name="Equity" dataDxfId="476">
      <calculatedColumnFormula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calculatedColumnFormula>
    </tableColumn>
    <tableColumn id="32" xr3:uid="{B5DA1650-EDCA-43E5-BC70-A47E69675DF4}" name="Equity Peak" dataDxfId="475">
      <calculatedColumnFormula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calculatedColumnFormula>
    </tableColumn>
    <tableColumn id="31" xr3:uid="{21872658-69A7-4E4A-A11A-C31FD64E8B90}" name="Drawdown" dataDxfId="474">
      <calculatedColumnFormula>IF(Tabla33610673487[[#This Row],[Equity]]&lt;Tabla33610673487[[#This Row],[Equity Peak]],(Tabla33610673487[[#This Row],[Equity Peak]]-Tabla33610673487[[#This Row],[Equity]])/Tabla33610673487[[#This Row],[Equity Peak]],"")</calculatedColumnFormula>
    </tableColumn>
    <tableColumn id="17" xr3:uid="{E7665350-3CEA-4565-8EFB-564BAECFC76D}" name="Currency" dataDxfId="473">
      <calculatedColumnFormula>IF(B17="FX",N17,0)</calculatedColumnFormula>
    </tableColumn>
    <tableColumn id="18" xr3:uid="{E109A1A8-F707-40EB-91F7-6D7AAEE52A15}" name="Heat3" dataDxfId="472">
      <calculatedColumnFormula>IF(D17="O",IF(V17&lt;0,V17,0),0)</calculatedColumnFormula>
    </tableColumn>
    <tableColumn id="19" xr3:uid="{211A9DC5-F5CB-434A-A425-69414120CBEB}" name="Commodities" dataDxfId="471">
      <calculatedColumnFormula>IF(B17="COM",N17,0)</calculatedColumnFormula>
    </tableColumn>
    <tableColumn id="20" xr3:uid="{E1B42C24-B710-4768-BD4A-00413A1EC3DB}" name="Heat4" dataDxfId="470">
      <calculatedColumnFormula>IF(D17="O",IF(X17&lt;0,X17,0),0)</calculatedColumnFormula>
    </tableColumn>
    <tableColumn id="21" xr3:uid="{67371655-9382-47DE-80C5-C4B6BCB394DF}" name="Index" dataDxfId="469">
      <calculatedColumnFormula>IF(B17="IND",N17,0)</calculatedColumnFormula>
    </tableColumn>
    <tableColumn id="22" xr3:uid="{5EB862B9-0536-4B36-93BF-E175564B8DEC}" name="Heat5" dataDxfId="468">
      <calculatedColumnFormula>IF(D17="O",IF(Z17&lt;0,Z17,0),0)</calculatedColumnFormula>
    </tableColumn>
    <tableColumn id="27" xr3:uid="{B217A3C7-501F-4A98-9FAD-2DBDE248A2E1}" name="Cryptocurrency" dataDxfId="467">
      <calculatedColumnFormula>IF(B17="CRYPTO",N17,0)</calculatedColumnFormula>
    </tableColumn>
    <tableColumn id="28" xr3:uid="{4864EFC1-CD9D-4C14-8F9F-40226A819FC8}" name="Heat6" dataDxfId="466">
      <calculatedColumnFormula>IF(D17="O",IF(AB17&lt;0,AB17,0),0)</calculatedColumnFormula>
    </tableColumn>
    <tableColumn id="23" xr3:uid="{62982577-9E1F-42C1-8F0D-6393F5304BB4}" name="Length of _x000a_Trade" dataDxfId="465">
      <calculatedColumnFormula>IF(K17&lt;&gt;"",K17-E17,0)</calculatedColumnFormula>
    </tableColumn>
    <tableColumn id="24" xr3:uid="{215576A8-5C83-4D10-B143-AA4156E11038}" name="Win" dataDxfId="464">
      <calculatedColumnFormula>IF(N17&gt;0,AD17,0)</calculatedColumnFormula>
    </tableColumn>
    <tableColumn id="25" xr3:uid="{3B64A97B-5C3C-48F9-8CD4-90412237B9AD}" name="Loss" dataDxfId="463">
      <calculatedColumnFormula>IF(N17&lt;0,AD17,0)</calculatedColumnFormula>
    </tableColumn>
    <tableColumn id="26" xr3:uid="{CCC44D5E-F005-4DE6-B08C-E8DDE4CE6373}" name="Breakeven" dataDxfId="46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D55EFFD-332E-4659-8AD4-350CA9E0C643}" name="Tabla336106734820" displayName="Tabla336106734820" ref="B16:AG27" totalsRowShown="0" headerRowDxfId="453" dataDxfId="452">
  <autoFilter ref="B16:AG27" xr:uid="{00000000-0009-0000-0100-000009000000}"/>
  <sortState xmlns:xlrd2="http://schemas.microsoft.com/office/spreadsheetml/2017/richdata2" ref="B17:AG27">
    <sortCondition descending="1" ref="D16:D27"/>
  </sortState>
  <tableColumns count="32">
    <tableColumn id="1" xr3:uid="{858B929A-2ECE-4C71-B826-FD2D74C7C29C}" name="Inst" dataDxfId="451"/>
    <tableColumn id="2" xr3:uid="{953F9AF4-FDE0-40DA-A873-4C31B8211867}" name="L/S" dataDxfId="450"/>
    <tableColumn id="3" xr3:uid="{241EFCFE-5673-44B6-A91B-5CB8A2D9BA91}" name="O/C" dataDxfId="449">
      <calculatedColumnFormula>IF(E17&lt;&gt;"",IF(K17&lt;&gt;"","C","O"),"")</calculatedColumnFormula>
    </tableColumn>
    <tableColumn id="4" xr3:uid="{4E1D303E-8351-4F72-921D-5D53BB530A99}" name="DATE" dataDxfId="448"/>
    <tableColumn id="5" xr3:uid="{163F4342-E6DA-4917-8787-9D2E343E5DD8}" name="INST." dataDxfId="447"/>
    <tableColumn id="6" xr3:uid="{5FCEF02C-0AB9-4F39-907A-6A4C74EC1AB5}" name="ENTRY " dataDxfId="446"/>
    <tableColumn id="7" xr3:uid="{0975BC57-F98B-47DA-8C23-3866F6E7125F}" name="STOP " dataDxfId="445"/>
    <tableColumn id="8" xr3:uid="{86C07F0D-3290-4459-A8D3-EF6FB74A7285}" name="TR_x000a_(in Pips)" dataDxfId="444">
      <calculatedColumnFormula>ABS(G17-H17)</calculatedColumnFormula>
    </tableColumn>
    <tableColumn id="9" xr3:uid="{CB2DD69F-700F-468E-86CD-1D5E7A906CB0}" name="TARGET" dataDxfId="443"/>
    <tableColumn id="10" xr3:uid="{C49D63D1-34AE-4BAE-94F2-C59DF3D928AF}" name="DATE2" dataDxfId="442"/>
    <tableColumn id="11" xr3:uid="{FC66C145-3358-45D7-9AD9-56C9A98C94A3}" name="EXIT" dataDxfId="441"/>
    <tableColumn id="12" xr3:uid="{B56E9FCD-1466-4066-985D-552663A1E03A}" name="RESULT" dataDxfId="440">
      <calculatedColumnFormula>ROUND(IF(C17="L",(L17-G17),(G17-L17)),4)</calculatedColumnFormula>
    </tableColumn>
    <tableColumn id="13" xr3:uid="{08FC2666-7AB9-4B9F-9A1E-0E31198A35BE}" name="No. of Rs" dataDxfId="439">
      <calculatedColumnFormula>IFERROR(ROUND((M17/I17),2),"")</calculatedColumnFormula>
    </tableColumn>
    <tableColumn id="14" xr3:uid="{6BE3C59F-D9BE-4A62-9D80-7261C8062DA4}" name="Heat" dataDxfId="438">
      <calculatedColumnFormula>IF(D17="O",IF(N17&lt;0,N17,0),0)</calculatedColumnFormula>
    </tableColumn>
    <tableColumn id="15" xr3:uid="{A4BD4CCD-24BE-461B-A686-EA026D1E05D0}" name=" TR WIN" dataDxfId="437">
      <calculatedColumnFormula>IF(N17&gt;= 0,N17,0)</calculatedColumnFormula>
    </tableColumn>
    <tableColumn id="16" xr3:uid="{FFFBAAF5-6C4F-440C-B822-95EC9A87BABF}" name=" TR LOSS" dataDxfId="436">
      <calculatedColumnFormula>IF(N17&lt;0,N17,0)</calculatedColumnFormula>
    </tableColumn>
    <tableColumn id="33" xr3:uid="{875B0417-04BA-41EF-B98E-AEF823F8B008}" name="Initial Losing Trade" dataDxfId="435">
      <calculatedColumnFormula>IF(AND(OFFSET(Tabla336106734820[[#This Row],[Equity]],1,0)="",Tabla336106734820[[#This Row],[No. of Rs]]&lt;0),"Yes",IF(AND(OFFSET(Tabla336106734820[[#This Row],[Initial Losing Trade]],1,0)="Yes",Tabla336106734820[[#This Row],[No. of Rs]]&lt;0),"Yes","No"))</calculatedColumnFormula>
    </tableColumn>
    <tableColumn id="30" xr3:uid="{DF8156E3-C75C-4133-8DD3-0519B464F2FB}" name="Equity" dataDxfId="434">
      <calculatedColumnFormula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calculatedColumnFormula>
    </tableColumn>
    <tableColumn id="32" xr3:uid="{84B15EB0-0F2F-4E62-8677-A413E9D2C030}" name="Equity Peak" dataDxfId="433">
      <calculatedColumnFormula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calculatedColumnFormula>
    </tableColumn>
    <tableColumn id="31" xr3:uid="{0212806E-941C-4CC0-8C67-4BFD658FBA56}" name="Drawdown" dataDxfId="432">
      <calculatedColumnFormula>IF(Tabla336106734820[[#This Row],[Equity]]&lt;Tabla336106734820[[#This Row],[Equity Peak]],(Tabla336106734820[[#This Row],[Equity Peak]]-Tabla336106734820[[#This Row],[Equity]])/Tabla336106734820[[#This Row],[Equity Peak]],"")</calculatedColumnFormula>
    </tableColumn>
    <tableColumn id="17" xr3:uid="{6245FE13-A7B3-4ED6-B560-8DFB84FDD70F}" name="Currency" dataDxfId="431">
      <calculatedColumnFormula>IF(B17="FX",N17,0)</calculatedColumnFormula>
    </tableColumn>
    <tableColumn id="18" xr3:uid="{F9D3199C-294A-45CF-923B-8ACB9BED9DE7}" name="Heat3" dataDxfId="430">
      <calculatedColumnFormula>IF(D17="O",IF(V17&lt;0,V17,0),0)</calculatedColumnFormula>
    </tableColumn>
    <tableColumn id="19" xr3:uid="{FE6EB8C2-7113-4966-A868-B538B16D5F7C}" name="Commodities" dataDxfId="429">
      <calculatedColumnFormula>IF(B17="COM",N17,0)</calculatedColumnFormula>
    </tableColumn>
    <tableColumn id="20" xr3:uid="{78DE7D1F-2446-450C-B155-47050E3A75DB}" name="Heat4" dataDxfId="428">
      <calculatedColumnFormula>IF(D17="O",IF(X17&lt;0,X17,0),0)</calculatedColumnFormula>
    </tableColumn>
    <tableColumn id="21" xr3:uid="{0F030171-2555-481A-A477-29DC4C86836E}" name="Index" dataDxfId="427">
      <calculatedColumnFormula>IF(B17="IND",N17,0)</calculatedColumnFormula>
    </tableColumn>
    <tableColumn id="22" xr3:uid="{56C944A0-7368-41FF-A503-A8402B42D61E}" name="Heat5" dataDxfId="426">
      <calculatedColumnFormula>IF(D17="O",IF(Z17&lt;0,Z17,0),0)</calculatedColumnFormula>
    </tableColumn>
    <tableColumn id="27" xr3:uid="{4B6276F4-3995-4F7F-9961-7B44A7C21D9C}" name="Cryptocurrency" dataDxfId="425">
      <calculatedColumnFormula>IF(B17="CRYPTO",N17,0)</calculatedColumnFormula>
    </tableColumn>
    <tableColumn id="28" xr3:uid="{D4235797-5BAE-4889-8EF8-709E06A020B8}" name="Heat6" dataDxfId="424">
      <calculatedColumnFormula>IF(D17="O",IF(AB17&lt;0,AB17,0),0)</calculatedColumnFormula>
    </tableColumn>
    <tableColumn id="23" xr3:uid="{83E98E5A-3A30-42EA-9901-01A8184FD4A7}" name="Length of _x000a_Trade" dataDxfId="423">
      <calculatedColumnFormula>IF(K17&lt;&gt;"",K17-E17,0)</calculatedColumnFormula>
    </tableColumn>
    <tableColumn id="24" xr3:uid="{13622C59-F1F6-4F56-8619-8D16FBBA1846}" name="Win" dataDxfId="422">
      <calculatedColumnFormula>IF(N17&gt;0,AD17,0)</calculatedColumnFormula>
    </tableColumn>
    <tableColumn id="25" xr3:uid="{295E6261-4D0B-4400-B4E3-F71DB39390A1}" name="Loss" dataDxfId="421">
      <calculatedColumnFormula>IF(N17&lt;0,AD17,0)</calculatedColumnFormula>
    </tableColumn>
    <tableColumn id="26" xr3:uid="{CEEFF8F1-3D26-4EC5-A38E-58DBD02A0816}" name="Breakeven" dataDxfId="42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7EED59-A505-4735-ABB7-55238989D4F5}" name="Tabla33610673489" displayName="Tabla33610673489" ref="B16:AG44" totalsRowShown="0" headerRowDxfId="411" dataDxfId="410">
  <autoFilter ref="B16:AG44" xr:uid="{00000000-0009-0000-0100-000009000000}"/>
  <sortState xmlns:xlrd2="http://schemas.microsoft.com/office/spreadsheetml/2017/richdata2" ref="B17:AG44">
    <sortCondition descending="1" ref="D16:D44"/>
  </sortState>
  <tableColumns count="32">
    <tableColumn id="1" xr3:uid="{D6C25AA8-4C9C-4374-9E33-30642C2592D5}" name="Inst" dataDxfId="409"/>
    <tableColumn id="2" xr3:uid="{ED0142E5-5212-44A6-AB08-8DB8F9E569C2}" name="L/S" dataDxfId="408"/>
    <tableColumn id="3" xr3:uid="{B2D2BA38-01D7-4AE3-B499-D3ECEF8B4725}" name="O/C" dataDxfId="407">
      <calculatedColumnFormula>IF(E17&lt;&gt;"",IF(K17&lt;&gt;"","C","O"),"")</calculatedColumnFormula>
    </tableColumn>
    <tableColumn id="4" xr3:uid="{B3743894-D648-4D35-A15B-9B9558E30DE8}" name="DATE" dataDxfId="406"/>
    <tableColumn id="5" xr3:uid="{F5454CEC-36C1-4976-8CD4-82D6A3D21894}" name="INST." dataDxfId="405"/>
    <tableColumn id="6" xr3:uid="{8C24A514-6246-496A-AF9D-4ACFB58E380D}" name="ENTRY " dataDxfId="404"/>
    <tableColumn id="7" xr3:uid="{7ADCA3AF-6271-4FB2-8A0E-9565700BACF7}" name="STOP " dataDxfId="403"/>
    <tableColumn id="8" xr3:uid="{4B3EA27F-7DB2-4FA7-AC7A-9EC9DED54ECE}" name="TR_x000a_(in Pips)" dataDxfId="402">
      <calculatedColumnFormula>ABS(G17-H17)</calculatedColumnFormula>
    </tableColumn>
    <tableColumn id="9" xr3:uid="{7E529C42-0136-4CCF-80BC-812B6A412B84}" name="TARGET" dataDxfId="401"/>
    <tableColumn id="10" xr3:uid="{2D05E442-A103-4F70-9FF7-A12076B5A877}" name="DATE2" dataDxfId="400"/>
    <tableColumn id="11" xr3:uid="{33B1B2DD-DFB8-427B-9E29-9858708E7862}" name="EXIT" dataDxfId="399"/>
    <tableColumn id="12" xr3:uid="{0051016F-AC27-4A25-A8E2-C73C38B918ED}" name="RESULT" dataDxfId="398">
      <calculatedColumnFormula>ROUND(IF(C17="L",(L17-G17),(G17-L17)),4)</calculatedColumnFormula>
    </tableColumn>
    <tableColumn id="13" xr3:uid="{8BD635E1-035F-4173-9FD7-BD23E9C2F1AB}" name="No. of Rs" dataDxfId="397">
      <calculatedColumnFormula>IFERROR(ROUND((M17/I17),2),"")</calculatedColumnFormula>
    </tableColumn>
    <tableColumn id="14" xr3:uid="{41F8303F-F3AF-4509-BF3E-D8DFC1D35C59}" name="Heat" dataDxfId="396">
      <calculatedColumnFormula>IF(D17="O",IF(N17&lt;0,N17,0),0)</calculatedColumnFormula>
    </tableColumn>
    <tableColumn id="15" xr3:uid="{C9A6FAF0-29D3-4F6E-B0B6-8089D415A43C}" name=" TR WIN" dataDxfId="395">
      <calculatedColumnFormula>IF(N17&gt;= 0,N17,0)</calculatedColumnFormula>
    </tableColumn>
    <tableColumn id="16" xr3:uid="{21FB96AB-3116-4163-A142-4B3A7B732970}" name=" TR LOSS" dataDxfId="394">
      <calculatedColumnFormula>IF(N17&lt;0,N17,0)</calculatedColumnFormula>
    </tableColumn>
    <tableColumn id="33" xr3:uid="{710B54AA-28A2-46DD-B18B-3A11B05559E0}" name="Initial Losing Trade" dataDxfId="393">
      <calculatedColumnFormula>IF(AND(OFFSET(Tabla33610673489[[#This Row],[Equity]],1,0)="",Tabla33610673489[[#This Row],[No. of Rs]]&lt;0),"Yes",IF(AND(OFFSET(Tabla33610673489[[#This Row],[Initial Losing Trade]],1,0)="Yes",Tabla33610673489[[#This Row],[No. of Rs]]&lt;0),"Yes","No"))</calculatedColumnFormula>
    </tableColumn>
    <tableColumn id="30" xr3:uid="{9CF8498F-CA42-4CB4-823C-E9DAFB509E90}" name="Equity" dataDxfId="392">
      <calculatedColumnFormula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calculatedColumnFormula>
    </tableColumn>
    <tableColumn id="32" xr3:uid="{DD95A26B-747B-4511-8324-73B665FF7B65}" name="Equity Peak" dataDxfId="391">
      <calculatedColumnFormula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calculatedColumnFormula>
    </tableColumn>
    <tableColumn id="31" xr3:uid="{BE167F1E-AEA0-4324-ADCC-D0B12EC35DF9}" name="Drawdown" dataDxfId="390">
      <calculatedColumnFormula>IF(Tabla33610673489[[#This Row],[Equity]]&lt;Tabla33610673489[[#This Row],[Equity Peak]],(Tabla33610673489[[#This Row],[Equity Peak]]-Tabla33610673489[[#This Row],[Equity]])/Tabla33610673489[[#This Row],[Equity Peak]],"")</calculatedColumnFormula>
    </tableColumn>
    <tableColumn id="17" xr3:uid="{6979F90E-6CF9-41AF-B1B1-ABA0FCB21631}" name="Currency" dataDxfId="389">
      <calculatedColumnFormula>IF(B17="FX",N17,0)</calculatedColumnFormula>
    </tableColumn>
    <tableColumn id="18" xr3:uid="{06658DD1-6520-4EC1-9CE6-95E06F64CC91}" name="Heat3" dataDxfId="388">
      <calculatedColumnFormula>IF(D17="O",IF(V17&lt;0,V17,0),0)</calculatedColumnFormula>
    </tableColumn>
    <tableColumn id="19" xr3:uid="{5FB277B2-386D-4402-837B-EA650E616424}" name="Commodities" dataDxfId="387">
      <calculatedColumnFormula>IF(B17="COM",N17,0)</calculatedColumnFormula>
    </tableColumn>
    <tableColumn id="20" xr3:uid="{5C7BE74E-F7F1-4315-A7B7-08E1162BD6D9}" name="Heat4" dataDxfId="386">
      <calculatedColumnFormula>IF(D17="O",IF(X17&lt;0,X17,0),0)</calculatedColumnFormula>
    </tableColumn>
    <tableColumn id="21" xr3:uid="{12D25617-2543-43E6-AE08-AA62CF873488}" name="Index" dataDxfId="385">
      <calculatedColumnFormula>IF(B17="IND",N17,0)</calculatedColumnFormula>
    </tableColumn>
    <tableColumn id="22" xr3:uid="{9ABEC3C0-DBA3-4935-B18C-BAEFD7201FC7}" name="Heat5" dataDxfId="384">
      <calculatedColumnFormula>IF(D17="O",IF(Z17&lt;0,Z17,0),0)</calculatedColumnFormula>
    </tableColumn>
    <tableColumn id="27" xr3:uid="{55418DE8-28F4-4F5B-AA7C-47249CE78957}" name="Cryptocurrency" dataDxfId="383">
      <calculatedColumnFormula>IF(B17="CRYPTO",N17,0)</calculatedColumnFormula>
    </tableColumn>
    <tableColumn id="28" xr3:uid="{CBE36B60-65F8-4EC6-872E-B967011C689F}" name="Heat6" dataDxfId="382">
      <calculatedColumnFormula>IF(D17="O",IF(AB17&lt;0,AB17,0),0)</calculatedColumnFormula>
    </tableColumn>
    <tableColumn id="23" xr3:uid="{7ACCB82F-9042-42B9-BCC3-FFF03C909595}" name="Length of _x000a_Trade" dataDxfId="381">
      <calculatedColumnFormula>IF(K17&lt;&gt;"",K17-E17,0)</calculatedColumnFormula>
    </tableColumn>
    <tableColumn id="24" xr3:uid="{F8BA6D8E-C951-4D69-BAF3-0DF90BD3EC5E}" name="Win" dataDxfId="380">
      <calculatedColumnFormula>IF(N17&gt;0,AD17,0)</calculatedColumnFormula>
    </tableColumn>
    <tableColumn id="25" xr3:uid="{282D384C-AB75-4CC3-B2B2-AC2D24FBD8B7}" name="Loss" dataDxfId="379">
      <calculatedColumnFormula>IF(N17&lt;0,AD17,0)</calculatedColumnFormula>
    </tableColumn>
    <tableColumn id="26" xr3:uid="{56EB4FBA-C987-48E0-A9B4-2E455009D843}" name="Breakeven" dataDxfId="37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CC8C6AD-D1E5-4844-AD94-4443A1184A63}" name="Tabla336106734821" displayName="Tabla336106734821" ref="B16:AG42" totalsRowShown="0" headerRowDxfId="369" dataDxfId="368">
  <autoFilter ref="B16:AG42" xr:uid="{00000000-0009-0000-0100-000009000000}"/>
  <sortState xmlns:xlrd2="http://schemas.microsoft.com/office/spreadsheetml/2017/richdata2" ref="B17:AG42">
    <sortCondition descending="1" ref="D16:D42"/>
  </sortState>
  <tableColumns count="32">
    <tableColumn id="1" xr3:uid="{3FBF67C7-4E04-471C-A975-DA96E5F7A08B}" name="Inst" dataDxfId="367"/>
    <tableColumn id="2" xr3:uid="{5137A883-ADE9-4CFB-AD76-68588BD29B5F}" name="L/S" dataDxfId="366"/>
    <tableColumn id="3" xr3:uid="{6BAF27B1-C264-4CA5-8163-772E96077465}" name="O/C" dataDxfId="365">
      <calculatedColumnFormula>IF(E17&lt;&gt;"",IF(K17&lt;&gt;"","C","O"),"")</calculatedColumnFormula>
    </tableColumn>
    <tableColumn id="4" xr3:uid="{C22704A5-01B5-480A-90BC-A4D680092E24}" name="DATE" dataDxfId="364"/>
    <tableColumn id="5" xr3:uid="{D8F8E754-52F4-41AA-9793-FE0A82DC1F6B}" name="INST." dataDxfId="363"/>
    <tableColumn id="6" xr3:uid="{242351F4-7937-4E4E-9031-155F32EAD725}" name="ENTRY " dataDxfId="362"/>
    <tableColumn id="7" xr3:uid="{E03B5EAB-2984-4503-857D-E8FF21B2B52D}" name="STOP " dataDxfId="361"/>
    <tableColumn id="8" xr3:uid="{2988A678-19ED-43B2-A0C8-7B075552B066}" name="TR_x000a_(in Pips)" dataDxfId="360">
      <calculatedColumnFormula>ABS(G17-H17)</calculatedColumnFormula>
    </tableColumn>
    <tableColumn id="9" xr3:uid="{45048CB5-9787-4D8C-95A9-08B3720972FF}" name="TARGET" dataDxfId="359"/>
    <tableColumn id="10" xr3:uid="{84AE38C6-F74B-4DBA-BFE3-826F47663CC1}" name="DATE2" dataDxfId="358"/>
    <tableColumn id="11" xr3:uid="{4D9BD64C-E3EA-4BFA-8B8E-9A270DB22947}" name="EXIT" dataDxfId="357"/>
    <tableColumn id="12" xr3:uid="{81CAA357-391B-46B7-9251-F2810F9A75C4}" name="RESULT" dataDxfId="356">
      <calculatedColumnFormula>ROUND(IF(C17="L",(L17-G17),(G17-L17)),4)</calculatedColumnFormula>
    </tableColumn>
    <tableColumn id="13" xr3:uid="{C48E48FA-2D8F-491A-941B-75EB4A7DC1DD}" name="No. of Rs" dataDxfId="355">
      <calculatedColumnFormula>IFERROR(ROUND((M17/I17),2),"")</calculatedColumnFormula>
    </tableColumn>
    <tableColumn id="14" xr3:uid="{A6AF1E0B-8F0A-43B9-AF76-4BE5D80AFBA5}" name="Heat" dataDxfId="354">
      <calculatedColumnFormula>IF(D17="O",IF(N17&lt;0,N17,0),0)</calculatedColumnFormula>
    </tableColumn>
    <tableColumn id="15" xr3:uid="{BBB8DD55-008B-4AD2-BB15-E898A094B856}" name=" TR WIN" dataDxfId="353">
      <calculatedColumnFormula>IF(N17&gt;= 0,N17,0)</calculatedColumnFormula>
    </tableColumn>
    <tableColumn id="16" xr3:uid="{EB332983-EB98-45BE-AA76-A4DAE237923E}" name=" TR LOSS" dataDxfId="352">
      <calculatedColumnFormula>IF(N17&lt;0,N17,0)</calculatedColumnFormula>
    </tableColumn>
    <tableColumn id="33" xr3:uid="{BF4689BA-5545-4643-A61A-CEFD9FA75D71}" name="Initial Losing Trade" dataDxfId="351">
      <calculatedColumnFormula>IF(AND(OFFSET(Tabla336106734821[[#This Row],[Equity]],1,0)="",Tabla336106734821[[#This Row],[No. of Rs]]&lt;0),"Yes",IF(AND(OFFSET(Tabla336106734821[[#This Row],[Initial Losing Trade]],1,0)="Yes",Tabla336106734821[[#This Row],[No. of Rs]]&lt;0),"Yes","No"))</calculatedColumnFormula>
    </tableColumn>
    <tableColumn id="30" xr3:uid="{4E861751-C979-466E-8C04-F63F0419C297}" name="Equity" dataDxfId="350">
      <calculatedColumnFormula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calculatedColumnFormula>
    </tableColumn>
    <tableColumn id="32" xr3:uid="{B83B9994-8120-4DE5-8E99-4857F5DED035}" name="Equity Peak" dataDxfId="349">
      <calculatedColumnFormula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calculatedColumnFormula>
    </tableColumn>
    <tableColumn id="31" xr3:uid="{815A20C6-8C68-422D-8009-08B288412650}" name="Drawdown" dataDxfId="348">
      <calculatedColumnFormula>IF(Tabla336106734821[[#This Row],[Equity]]&lt;Tabla336106734821[[#This Row],[Equity Peak]],(Tabla336106734821[[#This Row],[Equity Peak]]-Tabla336106734821[[#This Row],[Equity]])/Tabla336106734821[[#This Row],[Equity Peak]],"")</calculatedColumnFormula>
    </tableColumn>
    <tableColumn id="17" xr3:uid="{703AF3AE-4FF9-48A4-A8B7-46836C02F63A}" name="Currency" dataDxfId="347">
      <calculatedColumnFormula>IF(B17="FX",N17,0)</calculatedColumnFormula>
    </tableColumn>
    <tableColumn id="18" xr3:uid="{4A27A7F7-5A0C-4579-B012-9B622FD9A558}" name="Heat3" dataDxfId="346">
      <calculatedColumnFormula>IF(D17="O",IF(V17&lt;0,V17,0),0)</calculatedColumnFormula>
    </tableColumn>
    <tableColumn id="19" xr3:uid="{1BC1B91E-66F0-428F-9443-28AA2AFED178}" name="Commodities" dataDxfId="345">
      <calculatedColumnFormula>IF(B17="COM",N17,0)</calculatedColumnFormula>
    </tableColumn>
    <tableColumn id="20" xr3:uid="{A2C85671-3773-46D2-B539-B255F51AE9BF}" name="Heat4" dataDxfId="344">
      <calculatedColumnFormula>IF(D17="O",IF(X17&lt;0,X17,0),0)</calculatedColumnFormula>
    </tableColumn>
    <tableColumn id="21" xr3:uid="{9F41A49C-D9F9-4031-816D-BAC61AF58F97}" name="Index" dataDxfId="343">
      <calculatedColumnFormula>IF(B17="IND",N17,0)</calculatedColumnFormula>
    </tableColumn>
    <tableColumn id="22" xr3:uid="{1B96DD1E-8D70-4E26-913A-5A07656F04C6}" name="Heat5" dataDxfId="342">
      <calculatedColumnFormula>IF(D17="O",IF(Z17&lt;0,Z17,0),0)</calculatedColumnFormula>
    </tableColumn>
    <tableColumn id="27" xr3:uid="{71B9F141-E64F-4328-8C28-41CA95378FC7}" name="Cryptocurrency" dataDxfId="341">
      <calculatedColumnFormula>IF(B17="CRYPTO",N17,0)</calculatedColumnFormula>
    </tableColumn>
    <tableColumn id="28" xr3:uid="{402929B6-B3DB-494E-A25F-EF21F767C78A}" name="Heat6" dataDxfId="340">
      <calculatedColumnFormula>IF(D17="O",IF(AB17&lt;0,AB17,0),0)</calculatedColumnFormula>
    </tableColumn>
    <tableColumn id="23" xr3:uid="{1C4B9500-34A5-4D0A-AF18-C87BA0D9AA91}" name="Length of _x000a_Trade" dataDxfId="339">
      <calculatedColumnFormula>IF(K17&lt;&gt;"",K17-E17,0)</calculatedColumnFormula>
    </tableColumn>
    <tableColumn id="24" xr3:uid="{B6DD69A3-EC61-466D-B809-FB3BA6972DA8}" name="Win" dataDxfId="338">
      <calculatedColumnFormula>IF(N17&gt;0,AD17,0)</calculatedColumnFormula>
    </tableColumn>
    <tableColumn id="25" xr3:uid="{88377105-E046-44A6-B715-86D460078C1B}" name="Loss" dataDxfId="337">
      <calculatedColumnFormula>IF(N17&lt;0,AD17,0)</calculatedColumnFormula>
    </tableColumn>
    <tableColumn id="26" xr3:uid="{DC48B68A-B186-4E6F-8A08-4997BE86F0B1}" name="Breakeven" dataDxfId="33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00855CC-EEB5-4FC2-9FA5-63AD769B2CBE}" name="Tabla336106734822" displayName="Tabla336106734822" ref="B16:AG41" totalsRowShown="0" headerRowDxfId="327" dataDxfId="326">
  <autoFilter ref="B16:AG41" xr:uid="{00000000-0009-0000-0100-000009000000}"/>
  <sortState xmlns:xlrd2="http://schemas.microsoft.com/office/spreadsheetml/2017/richdata2" ref="B17:AG41">
    <sortCondition descending="1" ref="D16:D41"/>
  </sortState>
  <tableColumns count="32">
    <tableColumn id="1" xr3:uid="{1FE7D0F5-3BC8-435C-AA10-FB7481B3F28B}" name="Inst" dataDxfId="325"/>
    <tableColumn id="2" xr3:uid="{F14D403F-FDF0-48A0-89CC-AC9A4EC6BBEA}" name="L/S" dataDxfId="324"/>
    <tableColumn id="3" xr3:uid="{BABF426E-8996-4F93-98CF-405C11D11D5C}" name="O/C" dataDxfId="323">
      <calculatedColumnFormula>IF(E17&lt;&gt;"",IF(K17&lt;&gt;"","C","O"),"")</calculatedColumnFormula>
    </tableColumn>
    <tableColumn id="4" xr3:uid="{556729D9-07C4-42B2-8670-43D15AC8B7CB}" name="DATE" dataDxfId="322"/>
    <tableColumn id="5" xr3:uid="{04FCB49D-56F4-4409-83C4-13C654659D66}" name="INST." dataDxfId="321"/>
    <tableColumn id="6" xr3:uid="{705D341C-033E-42C6-B5C1-EA46AD716229}" name="ENTRY " dataDxfId="320"/>
    <tableColumn id="7" xr3:uid="{3F1BB6D0-D438-4E3E-ADC4-1D9A72BAAD25}" name="STOP " dataDxfId="319"/>
    <tableColumn id="8" xr3:uid="{74F159B2-4692-4B56-BDA4-FE372933EEA0}" name="TR_x000a_(in Pips)" dataDxfId="318">
      <calculatedColumnFormula>ABS(G17-H17)</calculatedColumnFormula>
    </tableColumn>
    <tableColumn id="9" xr3:uid="{C1938395-05B3-4066-915D-DA4C92C4ED58}" name="TARGET" dataDxfId="317"/>
    <tableColumn id="10" xr3:uid="{A415B6C8-EDF9-4C36-BD66-565B733B8D98}" name="DATE2" dataDxfId="316"/>
    <tableColumn id="11" xr3:uid="{0EC4D595-F438-47BC-9D5D-B4667FB4CA73}" name="EXIT" dataDxfId="315"/>
    <tableColumn id="12" xr3:uid="{3F86AFF9-F54A-4DC2-A40B-B58D59F03ACB}" name="RESULT" dataDxfId="314">
      <calculatedColumnFormula>ROUND(IF(C17="L",(L17-G17),(G17-L17)),4)</calculatedColumnFormula>
    </tableColumn>
    <tableColumn id="13" xr3:uid="{15938DD7-07D4-4653-BE15-3EBA8A9CFCAA}" name="No. of Rs" dataDxfId="313">
      <calculatedColumnFormula>IFERROR(ROUND((M17/I17),2),"")</calculatedColumnFormula>
    </tableColumn>
    <tableColumn id="14" xr3:uid="{7A933EB0-5C53-4732-893C-6D28A3A7EDD8}" name="Heat" dataDxfId="312">
      <calculatedColumnFormula>IF(D17="O",IF(N17&lt;0,N17,0),0)</calculatedColumnFormula>
    </tableColumn>
    <tableColumn id="15" xr3:uid="{FC97ACB5-5968-421E-82B6-63926C934D7D}" name=" TR WIN" dataDxfId="311">
      <calculatedColumnFormula>IF(N17&gt;= 0,N17,0)</calculatedColumnFormula>
    </tableColumn>
    <tableColumn id="16" xr3:uid="{4F82BFB5-DC62-4607-8641-AD1A61185BDA}" name=" TR LOSS" dataDxfId="310">
      <calculatedColumnFormula>IF(N17&lt;0,N17,0)</calculatedColumnFormula>
    </tableColumn>
    <tableColumn id="33" xr3:uid="{A1AFC65E-32D9-42AC-A777-AE2C961A7EE8}" name="Initial Losing Trade" dataDxfId="309">
      <calculatedColumnFormula>IF(AND(OFFSET(Tabla336106734822[[#This Row],[Equity]],1,0)="",Tabla336106734822[[#This Row],[No. of Rs]]&lt;0),"Yes",IF(AND(OFFSET(Tabla336106734822[[#This Row],[Initial Losing Trade]],1,0)="Yes",Tabla336106734822[[#This Row],[No. of Rs]]&lt;0),"Yes","No"))</calculatedColumnFormula>
    </tableColumn>
    <tableColumn id="30" xr3:uid="{72CCDF60-50F7-4472-B82E-653BDEE79660}" name="Equity" dataDxfId="308">
      <calculatedColumnFormula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calculatedColumnFormula>
    </tableColumn>
    <tableColumn id="32" xr3:uid="{4194D849-A4A9-416D-B48B-5CB2C341D5C7}" name="Equity Peak" dataDxfId="307">
      <calculatedColumnFormula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calculatedColumnFormula>
    </tableColumn>
    <tableColumn id="31" xr3:uid="{1E30D88E-B514-4B55-91D6-8C456AF5056C}" name="Drawdown" dataDxfId="306">
      <calculatedColumnFormula>IF(Tabla336106734822[[#This Row],[Equity]]&lt;Tabla336106734822[[#This Row],[Equity Peak]],(Tabla336106734822[[#This Row],[Equity Peak]]-Tabla336106734822[[#This Row],[Equity]])/Tabla336106734822[[#This Row],[Equity Peak]],"")</calculatedColumnFormula>
    </tableColumn>
    <tableColumn id="17" xr3:uid="{2A11015F-F975-4DE1-96F0-5FCBB24679C4}" name="Currency" dataDxfId="305">
      <calculatedColumnFormula>IF(B17="FX",N17,0)</calculatedColumnFormula>
    </tableColumn>
    <tableColumn id="18" xr3:uid="{9D949FE1-38B0-4493-89B3-3A33CCE76245}" name="Heat3" dataDxfId="304">
      <calculatedColumnFormula>IF(D17="O",IF(V17&lt;0,V17,0),0)</calculatedColumnFormula>
    </tableColumn>
    <tableColumn id="19" xr3:uid="{C9850E13-BA12-45DA-9453-5FD37631A22E}" name="Commodities" dataDxfId="303">
      <calculatedColumnFormula>IF(B17="COM",N17,0)</calculatedColumnFormula>
    </tableColumn>
    <tableColumn id="20" xr3:uid="{D43625F9-4CE5-413C-AD0B-BB32C384E088}" name="Heat4" dataDxfId="302">
      <calculatedColumnFormula>IF(D17="O",IF(X17&lt;0,X17,0),0)</calculatedColumnFormula>
    </tableColumn>
    <tableColumn id="21" xr3:uid="{982220ED-1820-4275-A448-CD3929243973}" name="Index" dataDxfId="301">
      <calculatedColumnFormula>IF(B17="IND",N17,0)</calculatedColumnFormula>
    </tableColumn>
    <tableColumn id="22" xr3:uid="{ECBC1292-FFAE-43B4-84AC-7D4025CBB69E}" name="Heat5" dataDxfId="300">
      <calculatedColumnFormula>IF(D17="O",IF(Z17&lt;0,Z17,0),0)</calculatedColumnFormula>
    </tableColumn>
    <tableColumn id="27" xr3:uid="{634DF477-B7B9-4A3C-8AAA-5B2B910E0993}" name="Cryptocurrency" dataDxfId="299">
      <calculatedColumnFormula>IF(B17="CRYPTO",N17,0)</calculatedColumnFormula>
    </tableColumn>
    <tableColumn id="28" xr3:uid="{57A40559-82FB-4C41-B5F0-1B6B5E48A69B}" name="Heat6" dataDxfId="298">
      <calculatedColumnFormula>IF(D17="O",IF(AB17&lt;0,AB17,0),0)</calculatedColumnFormula>
    </tableColumn>
    <tableColumn id="23" xr3:uid="{37E1C39D-DEBD-4DCF-A874-DB952341EE65}" name="Length of _x000a_Trade" dataDxfId="297">
      <calculatedColumnFormula>IF(K17&lt;&gt;"",K17-E17,0)</calculatedColumnFormula>
    </tableColumn>
    <tableColumn id="24" xr3:uid="{B51BD5C3-DF56-4F2F-8B67-D78D497269B2}" name="Win" dataDxfId="296">
      <calculatedColumnFormula>IF(N17&gt;0,AD17,0)</calculatedColumnFormula>
    </tableColumn>
    <tableColumn id="25" xr3:uid="{B5408AC8-4FD2-4E3A-96F4-7BB404E4FD6D}" name="Loss" dataDxfId="295">
      <calculatedColumnFormula>IF(N17&lt;0,AD17,0)</calculatedColumnFormula>
    </tableColumn>
    <tableColumn id="26" xr3:uid="{4FEBAC16-FDDE-4677-907B-1C14BFEE684E}" name="Breakeven" dataDxfId="29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8464C3-384A-4632-AD06-3E3BF4C9D76C}" name="Tabla336106734810" displayName="Tabla336106734810" ref="B16:AG26" totalsRowShown="0" headerRowDxfId="285" dataDxfId="284">
  <autoFilter ref="B16:AG26" xr:uid="{00000000-0009-0000-0100-000009000000}"/>
  <sortState xmlns:xlrd2="http://schemas.microsoft.com/office/spreadsheetml/2017/richdata2" ref="B17:AG26">
    <sortCondition descending="1" ref="D16:D26"/>
  </sortState>
  <tableColumns count="32">
    <tableColumn id="1" xr3:uid="{298990E8-D8BD-4720-A4C9-51EB7F96E208}" name="Inst" dataDxfId="283"/>
    <tableColumn id="2" xr3:uid="{6A51912E-7EF0-4F7A-9E9D-6E0917E07758}" name="L/S" dataDxfId="282"/>
    <tableColumn id="3" xr3:uid="{EA085394-568D-4EF7-A943-9A25D9349042}" name="O/C" dataDxfId="281">
      <calculatedColumnFormula>IF(E17&lt;&gt;"",IF(K17&lt;&gt;"","C","O"),"")</calculatedColumnFormula>
    </tableColumn>
    <tableColumn id="4" xr3:uid="{5D0D52E0-2786-4DD1-A3EF-1E91DE83EB9C}" name="DATE" dataDxfId="280"/>
    <tableColumn id="5" xr3:uid="{5E685B8B-61ED-45BC-A83E-2B6EEE8A56BA}" name="INST." dataDxfId="279"/>
    <tableColumn id="6" xr3:uid="{6CE941AA-890C-4278-9F76-D71B181D2179}" name="ENTRY " dataDxfId="278"/>
    <tableColumn id="7" xr3:uid="{24006556-A6D7-457F-8244-A8C60307A3B9}" name="STOP " dataDxfId="277"/>
    <tableColumn id="8" xr3:uid="{FF5475CF-43F9-4532-A8C7-30E19C55B2BC}" name="TR_x000a_(in Pips)" dataDxfId="276">
      <calculatedColumnFormula>ABS(G17-H17)</calculatedColumnFormula>
    </tableColumn>
    <tableColumn id="9" xr3:uid="{DFB04AC0-77FC-470C-B845-ED5FA1BEA83E}" name="TARGET" dataDxfId="275"/>
    <tableColumn id="10" xr3:uid="{684F1373-8CE2-47A0-B46D-F5164A05CCE5}" name="DATE2" dataDxfId="274"/>
    <tableColumn id="11" xr3:uid="{DB7EC1AC-2156-4FAA-AF98-7F331047E660}" name="EXIT" dataDxfId="273"/>
    <tableColumn id="12" xr3:uid="{6BF07722-2C56-4057-91E3-0ED790FA9103}" name="RESULT" dataDxfId="272">
      <calculatedColumnFormula>ROUND(IF(C17="L",(L17-G17),(G17-L17)),4)</calculatedColumnFormula>
    </tableColumn>
    <tableColumn id="13" xr3:uid="{AF978F4E-DA74-4B85-93A5-4BC294C97E8F}" name="No. of Rs" dataDxfId="271">
      <calculatedColumnFormula>IFERROR(ROUND((M17/I17),2),"")</calculatedColumnFormula>
    </tableColumn>
    <tableColumn id="14" xr3:uid="{42296D02-EE5F-4AEF-ABA7-31B4933FD0DB}" name="Heat" dataDxfId="270">
      <calculatedColumnFormula>IF(D17="O",IF(N17&lt;0,N17,0),0)</calculatedColumnFormula>
    </tableColumn>
    <tableColumn id="15" xr3:uid="{44AF871E-C29F-4F08-8B2A-D063011CA8F6}" name=" TR WIN" dataDxfId="269">
      <calculatedColumnFormula>IF(N17&gt;= 0,N17,0)</calculatedColumnFormula>
    </tableColumn>
    <tableColumn id="16" xr3:uid="{5A161A08-0860-4E32-A3F5-2AA346FD6261}" name=" TR LOSS" dataDxfId="268">
      <calculatedColumnFormula>IF(N17&lt;0,N17,0)</calculatedColumnFormula>
    </tableColumn>
    <tableColumn id="33" xr3:uid="{05F83F5D-73D1-459D-84E3-022DBCBE7CB0}" name="Initial Losing Trade" dataDxfId="267">
      <calculatedColumnFormula>IF(AND(OFFSET(Tabla336106734810[[#This Row],[Equity]],1,0)="",Tabla336106734810[[#This Row],[No. of Rs]]&lt;0),"Yes",IF(AND(OFFSET(Tabla336106734810[[#This Row],[Initial Losing Trade]],1,0)="Yes",Tabla336106734810[[#This Row],[No. of Rs]]&lt;0),"Yes","No"))</calculatedColumnFormula>
    </tableColumn>
    <tableColumn id="30" xr3:uid="{F9924444-10C7-487B-B02E-64F4A1D00375}" name="Equity" dataDxfId="266">
      <calculatedColumnFormula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calculatedColumnFormula>
    </tableColumn>
    <tableColumn id="32" xr3:uid="{14330FB8-B0DB-4EDA-8E44-4735D83A3F48}" name="Equity Peak" dataDxfId="265">
      <calculatedColumnFormula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calculatedColumnFormula>
    </tableColumn>
    <tableColumn id="31" xr3:uid="{DE73C393-DB7B-4221-8129-754DD53D0B52}" name="Drawdown" dataDxfId="264">
      <calculatedColumnFormula>IF(Tabla336106734810[[#This Row],[Equity]]&lt;Tabla336106734810[[#This Row],[Equity Peak]],(Tabla336106734810[[#This Row],[Equity Peak]]-Tabla336106734810[[#This Row],[Equity]])/Tabla336106734810[[#This Row],[Equity Peak]],"")</calculatedColumnFormula>
    </tableColumn>
    <tableColumn id="17" xr3:uid="{E832EA41-CCF7-4274-B7A7-F37B244136B2}" name="Currency" dataDxfId="263">
      <calculatedColumnFormula>IF(B17="FX",N17,0)</calculatedColumnFormula>
    </tableColumn>
    <tableColumn id="18" xr3:uid="{4D1D7E25-C875-40BA-AFA3-63B485D6CCAD}" name="Heat3" dataDxfId="262">
      <calculatedColumnFormula>IF(D17="O",IF(V17&lt;0,V17,0),0)</calculatedColumnFormula>
    </tableColumn>
    <tableColumn id="19" xr3:uid="{6AD69C0C-A236-4F46-BD44-1866540BE721}" name="Commodities" dataDxfId="261">
      <calculatedColumnFormula>IF(B17="COM",N17,0)</calculatedColumnFormula>
    </tableColumn>
    <tableColumn id="20" xr3:uid="{62440544-E31C-48F7-B0A6-4C90570A8695}" name="Heat4" dataDxfId="260">
      <calculatedColumnFormula>IF(D17="O",IF(X17&lt;0,X17,0),0)</calculatedColumnFormula>
    </tableColumn>
    <tableColumn id="21" xr3:uid="{7165CDF9-8F23-4F73-B840-9197731E888E}" name="Index" dataDxfId="259">
      <calculatedColumnFormula>IF(B17="IND",N17,0)</calculatedColumnFormula>
    </tableColumn>
    <tableColumn id="22" xr3:uid="{1ADDDF1C-22CB-449B-9B58-D23DB881D344}" name="Heat5" dataDxfId="258">
      <calculatedColumnFormula>IF(D17="O",IF(Z17&lt;0,Z17,0),0)</calculatedColumnFormula>
    </tableColumn>
    <tableColumn id="27" xr3:uid="{51AD1466-1544-4D4D-97AC-ABF2DB15718D}" name="Cryptocurrency" dataDxfId="257">
      <calculatedColumnFormula>IF(B17="CRYPTO",N17,0)</calculatedColumnFormula>
    </tableColumn>
    <tableColumn id="28" xr3:uid="{3C0EDA77-1466-4CD9-8804-9803E2B71356}" name="Heat6" dataDxfId="256">
      <calculatedColumnFormula>IF(D17="O",IF(AB17&lt;0,AB17,0),0)</calculatedColumnFormula>
    </tableColumn>
    <tableColumn id="23" xr3:uid="{2CD3BFE0-8262-4810-919E-F980DCC46BC8}" name="Length of _x000a_Trade" dataDxfId="255">
      <calculatedColumnFormula>IF(K17&lt;&gt;"",K17-E17,0)</calculatedColumnFormula>
    </tableColumn>
    <tableColumn id="24" xr3:uid="{8B33B193-6B1F-4787-BCD3-279A4B0DD8DC}" name="Win" dataDxfId="254">
      <calculatedColumnFormula>IF(N17&gt;0,AD17,0)</calculatedColumnFormula>
    </tableColumn>
    <tableColumn id="25" xr3:uid="{230DBCE2-03E1-467C-ABA8-54A3B568751B}" name="Loss" dataDxfId="253">
      <calculatedColumnFormula>IF(N17&lt;0,AD17,0)</calculatedColumnFormula>
    </tableColumn>
    <tableColumn id="26" xr3:uid="{4288B496-5D73-415A-B257-866325B914AF}" name="Breakeven" dataDxfId="25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7C6D2A-1FDB-41FD-AF1C-1963A7490F74}" name="Tabla336106734811" displayName="Tabla336106734811" ref="B16:AG31" totalsRowShown="0" headerRowDxfId="243" dataDxfId="242">
  <autoFilter ref="B16:AG31" xr:uid="{00000000-0009-0000-0100-000009000000}"/>
  <sortState xmlns:xlrd2="http://schemas.microsoft.com/office/spreadsheetml/2017/richdata2" ref="B17:AG31">
    <sortCondition descending="1" ref="D16:D31"/>
  </sortState>
  <tableColumns count="32">
    <tableColumn id="1" xr3:uid="{FF1E4D5D-EA8E-414A-9586-A4E0841AD60A}" name="Inst" dataDxfId="241"/>
    <tableColumn id="2" xr3:uid="{5FEF7A20-2C02-4C7B-819D-315126E706FA}" name="L/S" dataDxfId="240"/>
    <tableColumn id="3" xr3:uid="{9E32EB8B-F3B0-4D8A-872D-59D492AD9B83}" name="O/C" dataDxfId="239">
      <calculatedColumnFormula>IF(E17&lt;&gt;"",IF(K17&lt;&gt;"","C","O"),"")</calculatedColumnFormula>
    </tableColumn>
    <tableColumn id="4" xr3:uid="{2C2EB770-50EB-457D-B75F-FDFEA71CF28F}" name="DATE" dataDxfId="238"/>
    <tableColumn id="5" xr3:uid="{C788ACE4-6254-4F88-96FB-59066F6B2C1A}" name="INST." dataDxfId="237"/>
    <tableColumn id="6" xr3:uid="{07469194-375A-4E48-87A8-5636749F8782}" name="ENTRY " dataDxfId="236"/>
    <tableColumn id="7" xr3:uid="{EA2F072A-33BD-47D3-A2CA-CD7116B7361E}" name="STOP " dataDxfId="235"/>
    <tableColumn id="8" xr3:uid="{0BC93AD0-F67A-47C4-8DF0-44264358FEA6}" name="TR_x000a_(in Pips)" dataDxfId="234">
      <calculatedColumnFormula>ABS(G17-H17)</calculatedColumnFormula>
    </tableColumn>
    <tableColumn id="9" xr3:uid="{D4BE0477-9071-45AD-B62E-A259B8BD7600}" name="TARGET" dataDxfId="233"/>
    <tableColumn id="10" xr3:uid="{693B6F3C-D122-4CE6-A9A3-BC1838D89746}" name="DATE2" dataDxfId="232"/>
    <tableColumn id="11" xr3:uid="{2B4F6125-9E2C-44E4-8B66-EFF697F7CFD0}" name="EXIT" dataDxfId="231"/>
    <tableColumn id="12" xr3:uid="{DAB7F0CC-EF56-47C5-B7B1-BB6F814B78AD}" name="RESULT" dataDxfId="230">
      <calculatedColumnFormula>ROUND(IF(C17="L",(L17-G17),(G17-L17)),4)</calculatedColumnFormula>
    </tableColumn>
    <tableColumn id="13" xr3:uid="{28DB8BF7-9D3B-4BA9-9B50-64A598BAD451}" name="No. of Rs" dataDxfId="229">
      <calculatedColumnFormula>IFERROR(ROUND((M17/I17),2),"")</calculatedColumnFormula>
    </tableColumn>
    <tableColumn id="14" xr3:uid="{F3D66531-B53E-464F-A0B5-3BEA25466A35}" name="Heat" dataDxfId="228">
      <calculatedColumnFormula>IF(D17="O",IF(N17&lt;0,N17,0),0)</calculatedColumnFormula>
    </tableColumn>
    <tableColumn id="15" xr3:uid="{486CDF2E-CACB-44E1-AA0C-BF7E7D3E55CB}" name=" TR WIN" dataDxfId="227">
      <calculatedColumnFormula>IF(N17&gt;= 0,N17,0)</calculatedColumnFormula>
    </tableColumn>
    <tableColumn id="16" xr3:uid="{E08DBB0B-BBD8-40A2-968B-4A74EE33E028}" name=" TR LOSS" dataDxfId="226">
      <calculatedColumnFormula>IF(N17&lt;0,N17,0)</calculatedColumnFormula>
    </tableColumn>
    <tableColumn id="33" xr3:uid="{04AE0A89-43B3-4DA6-A953-0DAF9CD60527}" name="Initial Losing Trade" dataDxfId="225">
      <calculatedColumnFormula>IF(AND(OFFSET(Tabla336106734811[[#This Row],[Equity]],1,0)="",Tabla336106734811[[#This Row],[No. of Rs]]&lt;0),"Yes",IF(AND(OFFSET(Tabla336106734811[[#This Row],[Initial Losing Trade]],1,0)="Yes",Tabla336106734811[[#This Row],[No. of Rs]]&lt;0),"Yes","No"))</calculatedColumnFormula>
    </tableColumn>
    <tableColumn id="30" xr3:uid="{456A6795-EAFA-4469-AD48-D11105B7CDF4}" name="Equity" dataDxfId="224">
      <calculatedColumnFormula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calculatedColumnFormula>
    </tableColumn>
    <tableColumn id="32" xr3:uid="{F1F127AC-E396-46B3-83FF-4022821D67B3}" name="Equity Peak" dataDxfId="223">
      <calculatedColumnFormula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calculatedColumnFormula>
    </tableColumn>
    <tableColumn id="31" xr3:uid="{64D8F805-D9CD-48E2-BA81-6F3636097B00}" name="Drawdown" dataDxfId="222">
      <calculatedColumnFormula>IF(Tabla336106734811[[#This Row],[Equity]]&lt;Tabla336106734811[[#This Row],[Equity Peak]],(Tabla336106734811[[#This Row],[Equity Peak]]-Tabla336106734811[[#This Row],[Equity]])/Tabla336106734811[[#This Row],[Equity Peak]],"")</calculatedColumnFormula>
    </tableColumn>
    <tableColumn id="17" xr3:uid="{DBCEE32D-A82C-4493-B189-1095E1441A8B}" name="Currency" dataDxfId="221">
      <calculatedColumnFormula>IF(B17="FX",N17,0)</calculatedColumnFormula>
    </tableColumn>
    <tableColumn id="18" xr3:uid="{9A0ECD79-D65B-44D3-A525-974B1926374E}" name="Heat3" dataDxfId="220">
      <calculatedColumnFormula>IF(D17="O",IF(V17&lt;0,V17,0),0)</calculatedColumnFormula>
    </tableColumn>
    <tableColumn id="19" xr3:uid="{45F34A07-626A-4712-BF1A-A167EC7DA6B7}" name="Commodities" dataDxfId="219">
      <calculatedColumnFormula>IF(B17="COM",N17,0)</calculatedColumnFormula>
    </tableColumn>
    <tableColumn id="20" xr3:uid="{4DBA2330-364E-4CAC-9BF3-396A00AC3DBB}" name="Heat4" dataDxfId="218">
      <calculatedColumnFormula>IF(D17="O",IF(X17&lt;0,X17,0),0)</calculatedColumnFormula>
    </tableColumn>
    <tableColumn id="21" xr3:uid="{754809B7-83A4-4406-A130-3BD247541254}" name="Index" dataDxfId="217">
      <calculatedColumnFormula>IF(B17="IND",N17,0)</calculatedColumnFormula>
    </tableColumn>
    <tableColumn id="22" xr3:uid="{CFFB37D0-CC51-496A-BAD5-8D280D6723D9}" name="Heat5" dataDxfId="216">
      <calculatedColumnFormula>IF(D17="O",IF(Z17&lt;0,Z17,0),0)</calculatedColumnFormula>
    </tableColumn>
    <tableColumn id="27" xr3:uid="{C57EA122-F311-409B-9BA2-6EC200C69B24}" name="Cryptocurrency" dataDxfId="215">
      <calculatedColumnFormula>IF(B17="CRYPTO",N17,0)</calculatedColumnFormula>
    </tableColumn>
    <tableColumn id="28" xr3:uid="{FE8D8ACC-73FC-47C6-96B7-445D2EA4F08F}" name="Heat6" dataDxfId="214">
      <calculatedColumnFormula>IF(D17="O",IF(AB17&lt;0,AB17,0),0)</calculatedColumnFormula>
    </tableColumn>
    <tableColumn id="23" xr3:uid="{D56470F7-09E1-4F68-97AD-9369CA7C5DF4}" name="Length of _x000a_Trade" dataDxfId="213">
      <calculatedColumnFormula>IF(K17&lt;&gt;"",K17-E17,0)</calculatedColumnFormula>
    </tableColumn>
    <tableColumn id="24" xr3:uid="{789281FB-83F1-4DAA-96FD-B98D3DF787B8}" name="Win" dataDxfId="212">
      <calculatedColumnFormula>IF(N17&gt;0,AD17,0)</calculatedColumnFormula>
    </tableColumn>
    <tableColumn id="25" xr3:uid="{300EAEF3-513E-4EED-9356-F72C4E7B501C}" name="Loss" dataDxfId="211">
      <calculatedColumnFormula>IF(N17&lt;0,AD17,0)</calculatedColumnFormula>
    </tableColumn>
    <tableColumn id="26" xr3:uid="{469AEFE2-940B-4F5C-8749-FAC56C1E312B}" name="Breakeven" dataDxfId="21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E817CC-D324-4089-A4D3-70736BAFDBED}" name="Tabla336106734812" displayName="Tabla336106734812" ref="B16:AG38" totalsRowShown="0" headerRowDxfId="201" dataDxfId="200">
  <autoFilter ref="B16:AG38" xr:uid="{00000000-0009-0000-0100-000009000000}"/>
  <sortState xmlns:xlrd2="http://schemas.microsoft.com/office/spreadsheetml/2017/richdata2" ref="B17:AG38">
    <sortCondition descending="1" ref="D16:D38"/>
  </sortState>
  <tableColumns count="32">
    <tableColumn id="1" xr3:uid="{53A972DA-7383-49EE-84EA-858DC559D742}" name="Inst" dataDxfId="199"/>
    <tableColumn id="2" xr3:uid="{CB02D374-1F1E-4926-A81C-5B7FE8183078}" name="L/S" dataDxfId="198"/>
    <tableColumn id="3" xr3:uid="{FAE8484F-9320-4B8E-B715-15D1F9A9CBE2}" name="O/C" dataDxfId="197">
      <calculatedColumnFormula>IF(E17&lt;&gt;"",IF(K17&lt;&gt;"","C","O"),"")</calculatedColumnFormula>
    </tableColumn>
    <tableColumn id="4" xr3:uid="{F963E4A7-4FA7-444C-A44E-B85CEBAB164B}" name="DATE" dataDxfId="196"/>
    <tableColumn id="5" xr3:uid="{311CA312-A860-400B-A894-FCB33BA6C06C}" name="INST." dataDxfId="195"/>
    <tableColumn id="6" xr3:uid="{0F50911E-8AA0-46D2-A520-FA14D0425371}" name="ENTRY " dataDxfId="194"/>
    <tableColumn id="7" xr3:uid="{47B4BF33-B8E3-4FC6-BE42-A17F8566A7DC}" name="STOP " dataDxfId="193"/>
    <tableColumn id="8" xr3:uid="{A2DCF3E4-FF53-4661-A898-8347BD06BB33}" name="TR_x000a_(in Pips)" dataDxfId="192">
      <calculatedColumnFormula>ABS(G17-H17)</calculatedColumnFormula>
    </tableColumn>
    <tableColumn id="9" xr3:uid="{E49B9930-BB18-46DD-B899-94A8A6AC8908}" name="TARGET" dataDxfId="191"/>
    <tableColumn id="10" xr3:uid="{3E6C6DA6-9D96-44CD-8EFE-952EE68B20E0}" name="DATE2" dataDxfId="190"/>
    <tableColumn id="11" xr3:uid="{FF9754C7-EFF1-4FF5-BC0D-5CFB5DE3E015}" name="EXIT" dataDxfId="189"/>
    <tableColumn id="12" xr3:uid="{32A8C413-A8D3-41B4-BFFB-C86378094E18}" name="RESULT" dataDxfId="188">
      <calculatedColumnFormula>ROUND(IF(C17="L",(L17-G17),(G17-L17)),4)</calculatedColumnFormula>
    </tableColumn>
    <tableColumn id="13" xr3:uid="{5E472420-A60E-42F0-9E7A-1B27F3F0901A}" name="No. of Rs" dataDxfId="187">
      <calculatedColumnFormula>IFERROR(ROUND((M17/I17),2),"")</calculatedColumnFormula>
    </tableColumn>
    <tableColumn id="14" xr3:uid="{BE9FE3F6-5D17-406E-82E6-33867DB59770}" name="Heat" dataDxfId="186">
      <calculatedColumnFormula>IF(D17="O",IF(N17&lt;0,N17,0),0)</calculatedColumnFormula>
    </tableColumn>
    <tableColumn id="15" xr3:uid="{D2FDBC9C-C1EA-40D0-867A-3BB05819BE16}" name=" TR WIN" dataDxfId="185">
      <calculatedColumnFormula>IF(N17&gt;= 0,N17,0)</calculatedColumnFormula>
    </tableColumn>
    <tableColumn id="16" xr3:uid="{B4587BD9-50D7-4093-B1E3-7EF934A589F1}" name=" TR LOSS" dataDxfId="184">
      <calculatedColumnFormula>IF(N17&lt;0,N17,0)</calculatedColumnFormula>
    </tableColumn>
    <tableColumn id="33" xr3:uid="{DC329D3D-8B88-4763-B5C8-58D1A0177D16}" name="Initial Losing Trade" dataDxfId="183">
      <calculatedColumnFormula>IF(AND(OFFSET(Tabla336106734812[[#This Row],[Equity]],1,0)="",Tabla336106734812[[#This Row],[No. of Rs]]&lt;0),"Yes",IF(AND(OFFSET(Tabla336106734812[[#This Row],[Initial Losing Trade]],1,0)="Yes",Tabla336106734812[[#This Row],[No. of Rs]]&lt;0),"Yes","No"))</calculatedColumnFormula>
    </tableColumn>
    <tableColumn id="30" xr3:uid="{3BDB2B29-2471-4DF7-B0AE-00BE70501A99}" name="Equity" dataDxfId="182">
      <calculatedColumnFormula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calculatedColumnFormula>
    </tableColumn>
    <tableColumn id="32" xr3:uid="{84E24910-D7F4-49BE-A6D5-3CE907036A5F}" name="Equity Peak" dataDxfId="181">
      <calculatedColumnFormula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calculatedColumnFormula>
    </tableColumn>
    <tableColumn id="31" xr3:uid="{CD81295E-4CCD-4A3C-A4CE-0E91FBD415DA}" name="Drawdown" dataDxfId="180">
      <calculatedColumnFormula>IF(Tabla336106734812[[#This Row],[Equity]]&lt;Tabla336106734812[[#This Row],[Equity Peak]],(Tabla336106734812[[#This Row],[Equity Peak]]-Tabla336106734812[[#This Row],[Equity]])/Tabla336106734812[[#This Row],[Equity Peak]],"")</calculatedColumnFormula>
    </tableColumn>
    <tableColumn id="17" xr3:uid="{CEC67D3F-EA1C-49E3-93F2-DC8033E500A9}" name="Currency" dataDxfId="179">
      <calculatedColumnFormula>IF(B17="FX",N17,0)</calculatedColumnFormula>
    </tableColumn>
    <tableColumn id="18" xr3:uid="{C2FEBD76-7980-48D2-9401-70A3A37CD167}" name="Heat3" dataDxfId="178">
      <calculatedColumnFormula>IF(D17="O",IF(V17&lt;0,V17,0),0)</calculatedColumnFormula>
    </tableColumn>
    <tableColumn id="19" xr3:uid="{C1358CE8-457E-4BAB-A3EA-72D8F9DE0EDD}" name="Commodities" dataDxfId="177">
      <calculatedColumnFormula>IF(B17="COM",N17,0)</calculatedColumnFormula>
    </tableColumn>
    <tableColumn id="20" xr3:uid="{EA29754C-BEA1-49D0-8007-A1345A1F4E5E}" name="Heat4" dataDxfId="176">
      <calculatedColumnFormula>IF(D17="O",IF(X17&lt;0,X17,0),0)</calculatedColumnFormula>
    </tableColumn>
    <tableColumn id="21" xr3:uid="{77779734-1687-4949-BBE2-FC716C6D282A}" name="Index" dataDxfId="175">
      <calculatedColumnFormula>IF(B17="IND",N17,0)</calculatedColumnFormula>
    </tableColumn>
    <tableColumn id="22" xr3:uid="{5191A4A2-3172-435F-81BB-3CAB9AD645A9}" name="Heat5" dataDxfId="174">
      <calculatedColumnFormula>IF(D17="O",IF(Z17&lt;0,Z17,0),0)</calculatedColumnFormula>
    </tableColumn>
    <tableColumn id="27" xr3:uid="{3BC0364D-B57E-4968-A828-B676E1271C08}" name="Cryptocurrency" dataDxfId="173">
      <calculatedColumnFormula>IF(B17="CRYPTO",N17,0)</calculatedColumnFormula>
    </tableColumn>
    <tableColumn id="28" xr3:uid="{34E7642A-D014-4D90-855D-A3532FB0B2F5}" name="Heat6" dataDxfId="172">
      <calculatedColumnFormula>IF(D17="O",IF(AB17&lt;0,AB17,0),0)</calculatedColumnFormula>
    </tableColumn>
    <tableColumn id="23" xr3:uid="{07D34815-28C7-4171-9B9D-DBDB27D1F75A}" name="Length of _x000a_Trade" dataDxfId="171">
      <calculatedColumnFormula>IF(K17&lt;&gt;"",K17-E17,0)</calculatedColumnFormula>
    </tableColumn>
    <tableColumn id="24" xr3:uid="{5AC12D34-9D0C-4F9A-81DD-FF818C82681B}" name="Win" dataDxfId="170">
      <calculatedColumnFormula>IF(N17&gt;0,AD17,0)</calculatedColumnFormula>
    </tableColumn>
    <tableColumn id="25" xr3:uid="{5FBB941C-4CAA-461D-A7F6-58C8493F5889}" name="Loss" dataDxfId="169">
      <calculatedColumnFormula>IF(N17&lt;0,AD17,0)</calculatedColumnFormula>
    </tableColumn>
    <tableColumn id="26" xr3:uid="{723FEC19-3F43-4741-B9F0-40D6062E787A}" name="Breakeven" dataDxfId="16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7EE516-3E7D-411C-B264-DA072B755767}" name="Tabla336106734823" displayName="Tabla336106734823" ref="B16:AG68" totalsRowShown="0" headerRowDxfId="159" dataDxfId="158">
  <autoFilter ref="B16:AG68" xr:uid="{00000000-0009-0000-0100-000009000000}"/>
  <sortState xmlns:xlrd2="http://schemas.microsoft.com/office/spreadsheetml/2017/richdata2" ref="B17:AG68">
    <sortCondition descending="1" ref="D16:D68"/>
  </sortState>
  <tableColumns count="32">
    <tableColumn id="1" xr3:uid="{76547B86-8B82-4139-A272-84D40083C674}" name="Inst" dataDxfId="157"/>
    <tableColumn id="2" xr3:uid="{EF3C0211-8C94-4D3F-A7A9-6B6786AF07B6}" name="L/S" dataDxfId="156"/>
    <tableColumn id="3" xr3:uid="{98B3DEBF-14C4-424C-A552-56332E225821}" name="O/C" dataDxfId="155">
      <calculatedColumnFormula>IF(E17&lt;&gt;"",IF(K17&lt;&gt;"","C","O"),"")</calculatedColumnFormula>
    </tableColumn>
    <tableColumn id="4" xr3:uid="{3BB4D282-6F26-4734-8042-58150D31E919}" name="DATE" dataDxfId="154"/>
    <tableColumn id="5" xr3:uid="{D805E331-08D3-4614-9652-14B91DAF1EFE}" name="INST." dataDxfId="153"/>
    <tableColumn id="6" xr3:uid="{D930B11B-0EBD-4409-BB41-86E49D5A4379}" name="ENTRY " dataDxfId="152"/>
    <tableColumn id="7" xr3:uid="{D4944D65-1837-4B76-9A48-50F496FF367B}" name="STOP " dataDxfId="151"/>
    <tableColumn id="8" xr3:uid="{1BA7C81F-402D-4736-A27F-8EDA5BAAC93E}" name="TR_x000a_(in Pips)" dataDxfId="150">
      <calculatedColumnFormula>ABS(G17-H17)</calculatedColumnFormula>
    </tableColumn>
    <tableColumn id="9" xr3:uid="{12F90881-8E05-45DF-A9DF-897C85F6F210}" name="TARGET" dataDxfId="149"/>
    <tableColumn id="10" xr3:uid="{708AAB9B-F6BE-48D1-AC45-6BAEF9F5C095}" name="DATE2" dataDxfId="148"/>
    <tableColumn id="11" xr3:uid="{72B62C3C-007D-4946-8D7A-6C477351ED97}" name="EXIT" dataDxfId="147"/>
    <tableColumn id="12" xr3:uid="{2CE2F469-70EF-4770-966B-D1A42DD74EE6}" name="RESULT" dataDxfId="146">
      <calculatedColumnFormula>ROUND(IF(C17="L",(L17-G17),(G17-L17)),4)</calculatedColumnFormula>
    </tableColumn>
    <tableColumn id="13" xr3:uid="{13CFD89D-9A10-42E4-B627-3664FAC3C084}" name="No. of Rs" dataDxfId="145">
      <calculatedColumnFormula>IFERROR(ROUND((M17/I17),2),"")</calculatedColumnFormula>
    </tableColumn>
    <tableColumn id="14" xr3:uid="{1A465676-2EEF-435F-B3BD-FECCE21AF7E8}" name="Heat" dataDxfId="144">
      <calculatedColumnFormula>IF(D17="O",IF(N17&lt;0,N17,0),0)</calculatedColumnFormula>
    </tableColumn>
    <tableColumn id="15" xr3:uid="{3360C281-219D-4A3A-AF53-27DE1A5BE960}" name=" TR WIN" dataDxfId="143">
      <calculatedColumnFormula>IF(N17&gt;= 0,N17,0)</calculatedColumnFormula>
    </tableColumn>
    <tableColumn id="16" xr3:uid="{D9D68F5C-97EF-4D1C-805C-86764D7E2C21}" name=" TR LOSS" dataDxfId="142">
      <calculatedColumnFormula>IF(N17&lt;0,N17,0)</calculatedColumnFormula>
    </tableColumn>
    <tableColumn id="33" xr3:uid="{78D601E9-48B8-4215-924B-04E9B987BD1E}" name="Initial Losing Trade" dataDxfId="141">
      <calculatedColumnFormula>IF(AND(OFFSET(Tabla336106734823[[#This Row],[Equity]],1,0)="",Tabla336106734823[[#This Row],[No. of Rs]]&lt;0),"Yes",IF(AND(OFFSET(Tabla336106734823[[#This Row],[Initial Losing Trade]],1,0)="Yes",Tabla336106734823[[#This Row],[No. of Rs]]&lt;0),"Yes","No"))</calculatedColumnFormula>
    </tableColumn>
    <tableColumn id="30" xr3:uid="{875C3017-CBDF-4DC8-A533-56FE042F0372}" name="Equity" dataDxfId="140">
      <calculatedColumnFormula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calculatedColumnFormula>
    </tableColumn>
    <tableColumn id="32" xr3:uid="{7949FFA7-A834-4341-91B8-671F3B261065}" name="Equity Peak" dataDxfId="139">
      <calculatedColumnFormula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calculatedColumnFormula>
    </tableColumn>
    <tableColumn id="31" xr3:uid="{8EBAC2FE-AC0F-474E-ADC7-DE0FF7B7E06A}" name="Drawdown" dataDxfId="138">
      <calculatedColumnFormula>IF(Tabla336106734823[[#This Row],[Equity]]&lt;Tabla336106734823[[#This Row],[Equity Peak]],(Tabla336106734823[[#This Row],[Equity Peak]]-Tabla336106734823[[#This Row],[Equity]])/Tabla336106734823[[#This Row],[Equity Peak]],"")</calculatedColumnFormula>
    </tableColumn>
    <tableColumn id="17" xr3:uid="{A2797E93-605C-4D79-8DF1-0C1668B24DF5}" name="Currency" dataDxfId="137">
      <calculatedColumnFormula>IF(B17="FX",N17,0)</calculatedColumnFormula>
    </tableColumn>
    <tableColumn id="18" xr3:uid="{FF3F1874-93C5-4CFC-9A3E-A8EF6DBF1105}" name="Heat3" dataDxfId="136">
      <calculatedColumnFormula>IF(D17="O",IF(V17&lt;0,V17,0),0)</calculatedColumnFormula>
    </tableColumn>
    <tableColumn id="19" xr3:uid="{D42FBBFC-D1B1-4A6F-A943-CE5B85665DE3}" name="Commodities" dataDxfId="135">
      <calculatedColumnFormula>IF(B17="COM",N17,0)</calculatedColumnFormula>
    </tableColumn>
    <tableColumn id="20" xr3:uid="{A63EF359-9694-4B42-8984-1FF3C0DA167F}" name="Heat4" dataDxfId="134">
      <calculatedColumnFormula>IF(D17="O",IF(X17&lt;0,X17,0),0)</calculatedColumnFormula>
    </tableColumn>
    <tableColumn id="21" xr3:uid="{E43C750C-ACEE-4971-8DBD-FFFD7E5612E1}" name="Index" dataDxfId="133">
      <calculatedColumnFormula>IF(B17="IND",N17,0)</calculatedColumnFormula>
    </tableColumn>
    <tableColumn id="22" xr3:uid="{DFBEF69C-D9FB-4D05-9F50-825B07F12FB3}" name="Heat5" dataDxfId="132">
      <calculatedColumnFormula>IF(D17="O",IF(Z17&lt;0,Z17,0),0)</calculatedColumnFormula>
    </tableColumn>
    <tableColumn id="27" xr3:uid="{175B2D50-E74D-470A-9325-EDBB57E86675}" name="Cryptocurrency" dataDxfId="131">
      <calculatedColumnFormula>IF(B17="CRYPTO",N17,0)</calculatedColumnFormula>
    </tableColumn>
    <tableColumn id="28" xr3:uid="{A2910574-945A-43B3-8E4F-DE91EFA981BA}" name="Heat6" dataDxfId="130">
      <calculatedColumnFormula>IF(D17="O",IF(AB17&lt;0,AB17,0),0)</calculatedColumnFormula>
    </tableColumn>
    <tableColumn id="23" xr3:uid="{71BC585F-9FA3-4B74-A39A-8FCC0CCD841F}" name="Length of _x000a_Trade" dataDxfId="129">
      <calculatedColumnFormula>IF(K17&lt;&gt;"",K17-E17,0)</calculatedColumnFormula>
    </tableColumn>
    <tableColumn id="24" xr3:uid="{7ED24035-6855-4C58-9D07-E39AD72E24C9}" name="Win" dataDxfId="128">
      <calculatedColumnFormula>IF(N17&gt;0,AD17,0)</calculatedColumnFormula>
    </tableColumn>
    <tableColumn id="25" xr3:uid="{17E670D4-CFE5-4109-B331-4AF4D68ABD01}" name="Loss" dataDxfId="127">
      <calculatedColumnFormula>IF(N17&lt;0,AD17,0)</calculatedColumnFormula>
    </tableColumn>
    <tableColumn id="26" xr3:uid="{0098ED18-867B-4764-8FA8-F1DFF0F18172}" name="Breakeven" dataDxfId="12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AD5AB27-989F-4E9B-9CE8-E641DAC31FC2}" name="Tabla336106734824" displayName="Tabla336106734824" ref="B16:AG42" totalsRowShown="0" headerRowDxfId="117" dataDxfId="116">
  <autoFilter ref="B16:AG42" xr:uid="{00000000-0009-0000-0100-000009000000}"/>
  <sortState xmlns:xlrd2="http://schemas.microsoft.com/office/spreadsheetml/2017/richdata2" ref="B17:AG42">
    <sortCondition descending="1" ref="D16:D42"/>
  </sortState>
  <tableColumns count="32">
    <tableColumn id="1" xr3:uid="{C5C11191-6405-4135-8385-938F1542C481}" name="Inst" dataDxfId="115"/>
    <tableColumn id="2" xr3:uid="{C17223AB-8D05-41B1-8A12-B55DE3F6A669}" name="L/S" dataDxfId="114"/>
    <tableColumn id="3" xr3:uid="{B2F14288-BA83-4244-9546-ACED6B565884}" name="O/C" dataDxfId="113">
      <calculatedColumnFormula>IF(E17&lt;&gt;"",IF(K17&lt;&gt;"","C","O"),"")</calculatedColumnFormula>
    </tableColumn>
    <tableColumn id="4" xr3:uid="{FF75CF6E-46DE-4D6E-BC14-3C61C1567D76}" name="DATE" dataDxfId="112"/>
    <tableColumn id="5" xr3:uid="{EDD560DA-BF4E-4980-8C1B-B8A059AC74DA}" name="INST." dataDxfId="111"/>
    <tableColumn id="6" xr3:uid="{EC999E7C-6734-470F-B6E7-1A3B2A9F8DEA}" name="ENTRY " dataDxfId="110"/>
    <tableColumn id="7" xr3:uid="{01171BA4-2E95-4980-B294-09538E9DCC50}" name="STOP " dataDxfId="109"/>
    <tableColumn id="8" xr3:uid="{1D940ED3-9195-4C70-ADB7-6B0CFA6B3DCE}" name="TR_x000a_(in Pips)" dataDxfId="108">
      <calculatedColumnFormula>ABS(G17-H17)</calculatedColumnFormula>
    </tableColumn>
    <tableColumn id="9" xr3:uid="{3CDE5D4D-7661-419E-8B05-02C871380264}" name="TARGET" dataDxfId="107"/>
    <tableColumn id="10" xr3:uid="{3F67EE85-329F-4A5D-8674-67FB7BE1C95E}" name="DATE2" dataDxfId="106"/>
    <tableColumn id="11" xr3:uid="{C3E29A01-E1DA-4768-8062-45674C78BA0B}" name="EXIT" dataDxfId="105"/>
    <tableColumn id="12" xr3:uid="{EC45313F-A1C3-4887-BEEA-9FD88A2915B7}" name="RESULT" dataDxfId="104">
      <calculatedColumnFormula>ROUND(IF(C17="L",(L17-G17),(G17-L17)),4)</calculatedColumnFormula>
    </tableColumn>
    <tableColumn id="13" xr3:uid="{B9D938EC-3A13-4A08-A462-C8A514AD6B55}" name="No. of Rs" dataDxfId="103">
      <calculatedColumnFormula>IFERROR(ROUND((M17/I17),2),"")</calculatedColumnFormula>
    </tableColumn>
    <tableColumn id="14" xr3:uid="{8BF4FC87-DF1D-4F86-8146-56569B0D4E57}" name="Heat" dataDxfId="102">
      <calculatedColumnFormula>IF(D17="O",IF(N17&lt;0,N17,0),0)</calculatedColumnFormula>
    </tableColumn>
    <tableColumn id="15" xr3:uid="{E7E3E0C5-7965-460F-ABF6-F0C48B4AB607}" name=" TR WIN" dataDxfId="101">
      <calculatedColumnFormula>IF(N17&gt;= 0,N17,0)</calculatedColumnFormula>
    </tableColumn>
    <tableColumn id="16" xr3:uid="{7A2CA8A2-2A56-4D07-ABC0-2BCB402CAF33}" name=" TR LOSS" dataDxfId="100">
      <calculatedColumnFormula>IF(N17&lt;0,N17,0)</calculatedColumnFormula>
    </tableColumn>
    <tableColumn id="33" xr3:uid="{4749C452-4CC0-4ADD-BE5E-DEAD7F399C36}" name="Initial Losing Trade" dataDxfId="99">
      <calculatedColumnFormula>IF(AND(OFFSET(Tabla336106734824[[#This Row],[Equity]],1,0)="",Tabla336106734824[[#This Row],[No. of Rs]]&lt;0),"Yes",IF(AND(OFFSET(Tabla336106734824[[#This Row],[Initial Losing Trade]],1,0)="Yes",Tabla336106734824[[#This Row],[No. of Rs]]&lt;0),"Yes","No"))</calculatedColumnFormula>
    </tableColumn>
    <tableColumn id="30" xr3:uid="{9FD46813-5577-4060-A1DE-052B121DC70A}" name="Equity" dataDxfId="98">
      <calculatedColumnFormula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calculatedColumnFormula>
    </tableColumn>
    <tableColumn id="32" xr3:uid="{CBF19844-C9BA-4B05-A1CE-EA1AC6327F6E}" name="Equity Peak" dataDxfId="97">
      <calculatedColumnFormula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calculatedColumnFormula>
    </tableColumn>
    <tableColumn id="31" xr3:uid="{6E0A3756-BADE-439C-912C-418354DBE9B6}" name="Drawdown" dataDxfId="96">
      <calculatedColumnFormula>IF(Tabla336106734824[[#This Row],[Equity]]&lt;Tabla336106734824[[#This Row],[Equity Peak]],(Tabla336106734824[[#This Row],[Equity Peak]]-Tabla336106734824[[#This Row],[Equity]])/Tabla336106734824[[#This Row],[Equity Peak]],"")</calculatedColumnFormula>
    </tableColumn>
    <tableColumn id="17" xr3:uid="{7FC9E447-5902-4E17-A89F-EC8222263A4A}" name="Currency" dataDxfId="95">
      <calculatedColumnFormula>IF(B17="FX",N17,0)</calculatedColumnFormula>
    </tableColumn>
    <tableColumn id="18" xr3:uid="{05433508-6178-4E29-A089-02842400EBBB}" name="Heat3" dataDxfId="94">
      <calculatedColumnFormula>IF(D17="O",IF(V17&lt;0,V17,0),0)</calculatedColumnFormula>
    </tableColumn>
    <tableColumn id="19" xr3:uid="{678A3C8D-0B2F-4FF1-85EC-CF7B583A57DF}" name="Commodities" dataDxfId="93">
      <calculatedColumnFormula>IF(B17="COM",N17,0)</calculatedColumnFormula>
    </tableColumn>
    <tableColumn id="20" xr3:uid="{D63DE512-ED37-45B8-93BF-7513B44226BF}" name="Heat4" dataDxfId="92">
      <calculatedColumnFormula>IF(D17="O",IF(X17&lt;0,X17,0),0)</calculatedColumnFormula>
    </tableColumn>
    <tableColumn id="21" xr3:uid="{2EF044BC-E7E4-4CB0-85E0-6599D50829DB}" name="Index" dataDxfId="91">
      <calculatedColumnFormula>IF(B17="IND",N17,0)</calculatedColumnFormula>
    </tableColumn>
    <tableColumn id="22" xr3:uid="{362703DB-C285-40C0-AB0A-D11469754A7D}" name="Heat5" dataDxfId="90">
      <calculatedColumnFormula>IF(D17="O",IF(Z17&lt;0,Z17,0),0)</calculatedColumnFormula>
    </tableColumn>
    <tableColumn id="27" xr3:uid="{96838E9E-FED0-49DD-BA5D-2113A7969C4A}" name="Cryptocurrency" dataDxfId="89">
      <calculatedColumnFormula>IF(B17="CRYPTO",N17,0)</calculatedColumnFormula>
    </tableColumn>
    <tableColumn id="28" xr3:uid="{BA6C4D5F-440B-4B45-9236-1594069B0FCC}" name="Heat6" dataDxfId="88">
      <calculatedColumnFormula>IF(D17="O",IF(AB17&lt;0,AB17,0),0)</calculatedColumnFormula>
    </tableColumn>
    <tableColumn id="23" xr3:uid="{FEFA5700-F78C-4631-B6CA-90BFB1B9878D}" name="Length of _x000a_Trade" dataDxfId="87">
      <calculatedColumnFormula>IF(K17&lt;&gt;"",K17-E17,0)</calculatedColumnFormula>
    </tableColumn>
    <tableColumn id="24" xr3:uid="{EFEAF37B-AED9-439C-83CE-74B25E75B301}" name="Win" dataDxfId="86">
      <calculatedColumnFormula>IF(N17&gt;0,AD17,0)</calculatedColumnFormula>
    </tableColumn>
    <tableColumn id="25" xr3:uid="{DC4FE53D-1E6F-4398-BB69-5227140EEBA8}" name="Loss" dataDxfId="85">
      <calculatedColumnFormula>IF(N17&lt;0,AD17,0)</calculatedColumnFormula>
    </tableColumn>
    <tableColumn id="26" xr3:uid="{B411D3C7-EE1C-4942-AE2D-DA5205501CD1}" name="Breakeven" dataDxfId="8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FDAE18-0679-438E-8302-EAFA99962F52}" name="Tabla336106734825" displayName="Tabla336106734825" ref="B16:AG70" totalsRowShown="0" headerRowDxfId="75" dataDxfId="74">
  <autoFilter ref="B16:AG70" xr:uid="{00000000-0009-0000-0100-000009000000}"/>
  <sortState xmlns:xlrd2="http://schemas.microsoft.com/office/spreadsheetml/2017/richdata2" ref="B17:AG70">
    <sortCondition descending="1" ref="D16:D70"/>
  </sortState>
  <tableColumns count="32">
    <tableColumn id="1" xr3:uid="{BB33AFC9-1408-4470-B075-2826642090BD}" name="Inst" dataDxfId="73"/>
    <tableColumn id="2" xr3:uid="{12C1D6A0-0D6A-4063-AD0F-C02D9A7E5BB3}" name="L/S" dataDxfId="72"/>
    <tableColumn id="3" xr3:uid="{A579BB4E-3D0E-4016-9D25-4BF85ADE6B99}" name="O/C" dataDxfId="71">
      <calculatedColumnFormula>IF(E17&lt;&gt;"",IF(K17&lt;&gt;"","C","O"),"")</calculatedColumnFormula>
    </tableColumn>
    <tableColumn id="4" xr3:uid="{DF595538-2B59-4E26-9D9D-DD0CC2BB7783}" name="DATE" dataDxfId="70"/>
    <tableColumn id="5" xr3:uid="{EED7CFC2-E365-4A2A-9498-F1395FB4E2BD}" name="INST." dataDxfId="69"/>
    <tableColumn id="6" xr3:uid="{1D7EE1BD-7399-4D21-A5E2-F4C837AEE4E3}" name="ENTRY " dataDxfId="68"/>
    <tableColumn id="7" xr3:uid="{23758C06-6B13-42F2-B30F-77369D83A88C}" name="STOP " dataDxfId="67"/>
    <tableColumn id="8" xr3:uid="{2923D513-70A9-42D1-AC68-0D6F4554F1F8}" name="TR_x000a_(in Pips)" dataDxfId="66">
      <calculatedColumnFormula>ABS(G17-H17)</calculatedColumnFormula>
    </tableColumn>
    <tableColumn id="9" xr3:uid="{20002B95-F261-442B-819B-8C5689D9645D}" name="TARGET" dataDxfId="65"/>
    <tableColumn id="10" xr3:uid="{607E4C9C-F8A6-4ACC-88C8-6D6A339FA117}" name="DATE2" dataDxfId="64"/>
    <tableColumn id="11" xr3:uid="{D12693D9-9E2D-4DC9-82C7-24B17C9709C9}" name="EXIT" dataDxfId="63"/>
    <tableColumn id="12" xr3:uid="{493619C7-865C-448F-AF58-9F7FC651D20E}" name="RESULT" dataDxfId="62">
      <calculatedColumnFormula>ROUND(IF(C17="L",(L17-G17),(G17-L17)),4)</calculatedColumnFormula>
    </tableColumn>
    <tableColumn id="13" xr3:uid="{020E316D-77BF-488F-A967-A341E8C1B3E6}" name="No. of Rs" dataDxfId="61">
      <calculatedColumnFormula>IFERROR(ROUND((M17/I17),2),"")</calculatedColumnFormula>
    </tableColumn>
    <tableColumn id="14" xr3:uid="{81A30D7B-A71E-4305-AF4E-B7BA1B93C5ED}" name="Heat" dataDxfId="60">
      <calculatedColumnFormula>IF(D17="O",IF(N17&lt;0,N17,0),0)</calculatedColumnFormula>
    </tableColumn>
    <tableColumn id="15" xr3:uid="{3585B8B1-DA74-49E1-BC81-3A9FD6DB8462}" name=" TR WIN" dataDxfId="59">
      <calculatedColumnFormula>IF(N17&gt;= 0,N17,0)</calculatedColumnFormula>
    </tableColumn>
    <tableColumn id="16" xr3:uid="{45880575-EB8B-4E5A-B427-79FBE802EA42}" name=" TR LOSS" dataDxfId="58">
      <calculatedColumnFormula>IF(N17&lt;0,N17,0)</calculatedColumnFormula>
    </tableColumn>
    <tableColumn id="33" xr3:uid="{38D298B0-A085-48CC-BE58-3EA9D823D076}" name="Initial Losing Trade" dataDxfId="57">
      <calculatedColumnFormula>IF(AND(OFFSET(Tabla336106734825[[#This Row],[Equity]],1,0)="",Tabla336106734825[[#This Row],[No. of Rs]]&lt;0),"Yes",IF(AND(OFFSET(Tabla336106734825[[#This Row],[Initial Losing Trade]],1,0)="Yes",Tabla336106734825[[#This Row],[No. of Rs]]&lt;0),"Yes","No"))</calculatedColumnFormula>
    </tableColumn>
    <tableColumn id="30" xr3:uid="{0F5DEF2A-AD69-4B60-B84E-89DDF924A5FD}" name="Equity" dataDxfId="56">
      <calculatedColumnFormula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calculatedColumnFormula>
    </tableColumn>
    <tableColumn id="32" xr3:uid="{BEB2E456-5A0F-424A-AD3D-43323B308047}" name="Equity Peak" dataDxfId="55">
      <calculatedColumnFormula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calculatedColumnFormula>
    </tableColumn>
    <tableColumn id="31" xr3:uid="{B5F2A43F-B9A9-433B-9BF9-632EFF8F0335}" name="Drawdown" dataDxfId="54">
      <calculatedColumnFormula>IF(Tabla336106734825[[#This Row],[Equity]]&lt;Tabla336106734825[[#This Row],[Equity Peak]],(Tabla336106734825[[#This Row],[Equity Peak]]-Tabla336106734825[[#This Row],[Equity]])/Tabla336106734825[[#This Row],[Equity Peak]],"")</calculatedColumnFormula>
    </tableColumn>
    <tableColumn id="17" xr3:uid="{4F8774C1-B48C-4AC2-BD59-D9D8021EDB89}" name="Currency" dataDxfId="53">
      <calculatedColumnFormula>IF(B17="FX",N17,0)</calculatedColumnFormula>
    </tableColumn>
    <tableColumn id="18" xr3:uid="{7A9EB237-55D0-4502-A148-9F33E0065F99}" name="Heat3" dataDxfId="52">
      <calculatedColumnFormula>IF(D17="O",IF(V17&lt;0,V17,0),0)</calculatedColumnFormula>
    </tableColumn>
    <tableColumn id="19" xr3:uid="{61C52FDA-CA78-4950-85F3-F7295C6E14FA}" name="Commodities" dataDxfId="51">
      <calculatedColumnFormula>IF(B17="COM",N17,0)</calculatedColumnFormula>
    </tableColumn>
    <tableColumn id="20" xr3:uid="{32A84976-BDDB-471E-BEB8-B4B75E784F64}" name="Heat4" dataDxfId="50">
      <calculatedColumnFormula>IF(D17="O",IF(X17&lt;0,X17,0),0)</calculatedColumnFormula>
    </tableColumn>
    <tableColumn id="21" xr3:uid="{05BFE00E-944C-46AD-BBD3-150A5A51295B}" name="Index" dataDxfId="49">
      <calculatedColumnFormula>IF(B17="IND",N17,0)</calculatedColumnFormula>
    </tableColumn>
    <tableColumn id="22" xr3:uid="{34AE811A-26C4-46B7-B969-D4047174E644}" name="Heat5" dataDxfId="48">
      <calculatedColumnFormula>IF(D17="O",IF(Z17&lt;0,Z17,0),0)</calculatedColumnFormula>
    </tableColumn>
    <tableColumn id="27" xr3:uid="{5E24A57F-FEAF-42CA-A269-1B5A5A73A6B8}" name="Cryptocurrency" dataDxfId="47">
      <calculatedColumnFormula>IF(B17="CRYPTO",N17,0)</calculatedColumnFormula>
    </tableColumn>
    <tableColumn id="28" xr3:uid="{2CD98406-47A7-44C9-919E-376BB4EFB283}" name="Heat6" dataDxfId="46">
      <calculatedColumnFormula>IF(D17="O",IF(AB17&lt;0,AB17,0),0)</calculatedColumnFormula>
    </tableColumn>
    <tableColumn id="23" xr3:uid="{CDBB51B1-4A4E-47C0-9F3B-CA61C32D3CF8}" name="Length of _x000a_Trade" dataDxfId="45">
      <calculatedColumnFormula>IF(K17&lt;&gt;"",K17-E17,0)</calculatedColumnFormula>
    </tableColumn>
    <tableColumn id="24" xr3:uid="{1FCA95BC-531E-436E-A355-25FA66493CE2}" name="Win" dataDxfId="44">
      <calculatedColumnFormula>IF(N17&gt;0,AD17,0)</calculatedColumnFormula>
    </tableColumn>
    <tableColumn id="25" xr3:uid="{8C0647AF-190A-453D-B2AE-184BA5CE6783}" name="Loss" dataDxfId="43">
      <calculatedColumnFormula>IF(N17&lt;0,AD17,0)</calculatedColumnFormula>
    </tableColumn>
    <tableColumn id="26" xr3:uid="{A0B7E2D9-1E3D-44E4-AC90-FE5FF65BB429}" name="Breakeven" dataDxfId="4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D5CB1E6-9D23-49BE-83E1-2DE5D3BD92B0}" name="Tabla336106734826" displayName="Tabla336106734826" ref="B16:AG39" totalsRowShown="0" headerRowDxfId="33" dataDxfId="32">
  <autoFilter ref="B16:AG39" xr:uid="{00000000-0009-0000-0100-000009000000}"/>
  <sortState xmlns:xlrd2="http://schemas.microsoft.com/office/spreadsheetml/2017/richdata2" ref="B17:AG39">
    <sortCondition descending="1" ref="D16:D39"/>
  </sortState>
  <tableColumns count="32">
    <tableColumn id="1" xr3:uid="{295F7D1C-3E33-4BC7-8510-78230FECDA72}" name="Inst" dataDxfId="31"/>
    <tableColumn id="2" xr3:uid="{90DF6F2C-E3A5-4E61-8D27-1548EAFCD8DC}" name="L/S" dataDxfId="30"/>
    <tableColumn id="3" xr3:uid="{75AD0E6F-2440-4A01-97F5-204C4D565BBB}" name="O/C" dataDxfId="29">
      <calculatedColumnFormula>IF(E17&lt;&gt;"",IF(K17&lt;&gt;"","C","O"),"")</calculatedColumnFormula>
    </tableColumn>
    <tableColumn id="4" xr3:uid="{BC481DA4-D86C-4EEB-88F2-BE0F9CD76F3E}" name="DATE" dataDxfId="28"/>
    <tableColumn id="5" xr3:uid="{44406608-85E8-4677-BC6B-2180EABAE4E5}" name="INST." dataDxfId="27"/>
    <tableColumn id="6" xr3:uid="{ED245E6F-E85E-455F-BE7B-2FBC31918A9F}" name="ENTRY " dataDxfId="26"/>
    <tableColumn id="7" xr3:uid="{0BEC6482-7329-4B75-91AF-7C34B1254711}" name="STOP " dataDxfId="25"/>
    <tableColumn id="8" xr3:uid="{94B1EF3E-5957-4A13-9536-40597E3BD6B7}" name="TR_x000a_(in Pips)" dataDxfId="24">
      <calculatedColumnFormula>ABS(G17-H17)</calculatedColumnFormula>
    </tableColumn>
    <tableColumn id="9" xr3:uid="{E3AA3C98-B8B0-4F13-854E-136086910F65}" name="TARGET" dataDxfId="23"/>
    <tableColumn id="10" xr3:uid="{9684D0D0-3A7E-4D34-B802-2BE8D8E189A8}" name="DATE2" dataDxfId="22"/>
    <tableColumn id="11" xr3:uid="{EBC47998-63F1-41CE-B23E-2B618D09CE84}" name="EXIT" dataDxfId="21"/>
    <tableColumn id="12" xr3:uid="{AB24A352-A2B3-455F-B6FB-4A3E0DB922CC}" name="RESULT" dataDxfId="20">
      <calculatedColumnFormula>ROUND(IF(C17="L",(L17-G17),(G17-L17)),4)</calculatedColumnFormula>
    </tableColumn>
    <tableColumn id="13" xr3:uid="{01B58812-28B0-4489-A199-5C73479AB4BD}" name="No. of Rs" dataDxfId="19">
      <calculatedColumnFormula>IFERROR(ROUND((M17/I17),2),"")</calculatedColumnFormula>
    </tableColumn>
    <tableColumn id="14" xr3:uid="{505307BC-95FF-41DE-A99A-99752774AA0D}" name="Heat" dataDxfId="18">
      <calculatedColumnFormula>IF(D17="O",IF(N17&lt;0,N17,0),0)</calculatedColumnFormula>
    </tableColumn>
    <tableColumn id="15" xr3:uid="{23C67F6D-6002-4444-B11D-AFD44ED4F258}" name=" TR WIN" dataDxfId="17">
      <calculatedColumnFormula>IF(N17&gt;= 0,N17,0)</calculatedColumnFormula>
    </tableColumn>
    <tableColumn id="16" xr3:uid="{65038E08-5D1B-4FD2-A53B-FC7AE018195B}" name=" TR LOSS" dataDxfId="16">
      <calculatedColumnFormula>IF(N17&lt;0,N17,0)</calculatedColumnFormula>
    </tableColumn>
    <tableColumn id="33" xr3:uid="{A840F398-B77A-42AE-A1DF-DC4668F77FD3}" name="Initial Losing Trade" dataDxfId="15">
      <calculatedColumnFormula>IF(AND(OFFSET(Tabla336106734826[[#This Row],[Equity]],1,0)="",Tabla336106734826[[#This Row],[No. of Rs]]&lt;0),"Yes",IF(AND(OFFSET(Tabla336106734826[[#This Row],[Initial Losing Trade]],1,0)="Yes",Tabla336106734826[[#This Row],[No. of Rs]]&lt;0),"Yes","No"))</calculatedColumnFormula>
    </tableColumn>
    <tableColumn id="30" xr3:uid="{DD907129-CC1D-4982-84FA-6F0BD590BD15}" name="Equity" dataDxfId="14">
      <calculatedColumnFormula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calculatedColumnFormula>
    </tableColumn>
    <tableColumn id="32" xr3:uid="{B1791C2B-993B-450B-AEC6-B3A6DCCF77EE}" name="Equity Peak" dataDxfId="13">
      <calculatedColumnFormula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calculatedColumnFormula>
    </tableColumn>
    <tableColumn id="31" xr3:uid="{4042E923-D7B4-44D6-94C4-2328CD2E62A2}" name="Drawdown" dataDxfId="12">
      <calculatedColumnFormula>IF(Tabla336106734826[[#This Row],[Equity]]&lt;Tabla336106734826[[#This Row],[Equity Peak]],(Tabla336106734826[[#This Row],[Equity Peak]]-Tabla336106734826[[#This Row],[Equity]])/Tabla336106734826[[#This Row],[Equity Peak]],"")</calculatedColumnFormula>
    </tableColumn>
    <tableColumn id="17" xr3:uid="{992DE1F9-3F07-4D03-A9E4-CA8014A5FABF}" name="Currency" dataDxfId="11">
      <calculatedColumnFormula>IF(B17="FX",N17,0)</calculatedColumnFormula>
    </tableColumn>
    <tableColumn id="18" xr3:uid="{1DB880FB-924F-443E-9EEF-051E328265BE}" name="Heat3" dataDxfId="10">
      <calculatedColumnFormula>IF(D17="O",IF(V17&lt;0,V17,0),0)</calculatedColumnFormula>
    </tableColumn>
    <tableColumn id="19" xr3:uid="{E088D639-EFA5-43E2-9957-30EB46002E80}" name="Commodities" dataDxfId="9">
      <calculatedColumnFormula>IF(B17="COM",N17,0)</calculatedColumnFormula>
    </tableColumn>
    <tableColumn id="20" xr3:uid="{5FE80C2F-B1C9-460B-8279-DDD49552A361}" name="Heat4" dataDxfId="8">
      <calculatedColumnFormula>IF(D17="O",IF(X17&lt;0,X17,0),0)</calculatedColumnFormula>
    </tableColumn>
    <tableColumn id="21" xr3:uid="{C338248F-155D-49D7-B286-76B366670A69}" name="Index" dataDxfId="7">
      <calculatedColumnFormula>IF(B17="IND",N17,0)</calculatedColumnFormula>
    </tableColumn>
    <tableColumn id="22" xr3:uid="{EDED54AD-5239-4601-960C-39CC4CB6C605}" name="Heat5" dataDxfId="6">
      <calculatedColumnFormula>IF(D17="O",IF(Z17&lt;0,Z17,0),0)</calculatedColumnFormula>
    </tableColumn>
    <tableColumn id="27" xr3:uid="{D6542A1F-CDC0-404F-A8AD-2F2B23ADA684}" name="Cryptocurrency" dataDxfId="5">
      <calculatedColumnFormula>IF(B17="CRYPTO",N17,0)</calculatedColumnFormula>
    </tableColumn>
    <tableColumn id="28" xr3:uid="{1F1DEACE-C8FA-4BAD-9D46-E1F850A2AAF8}" name="Heat6" dataDxfId="4">
      <calculatedColumnFormula>IF(D17="O",IF(AB17&lt;0,AB17,0),0)</calculatedColumnFormula>
    </tableColumn>
    <tableColumn id="23" xr3:uid="{206F048B-3B9B-4D70-B174-0B50FE503E19}" name="Length of _x000a_Trade" dataDxfId="3">
      <calculatedColumnFormula>IF(K17&lt;&gt;"",K17-E17,0)</calculatedColumnFormula>
    </tableColumn>
    <tableColumn id="24" xr3:uid="{92623D2D-5C37-4E45-9996-B7701CF0B33B}" name="Win" dataDxfId="2">
      <calculatedColumnFormula>IF(N17&gt;0,AD17,0)</calculatedColumnFormula>
    </tableColumn>
    <tableColumn id="25" xr3:uid="{BF999D67-6714-4032-9CB3-093370C56128}" name="Loss" dataDxfId="1">
      <calculatedColumnFormula>IF(N17&lt;0,AD17,0)</calculatedColumnFormula>
    </tableColumn>
    <tableColumn id="26" xr3:uid="{3A62F536-C591-47E5-831B-C53C91638E36}" name="Breakeven" dataDxfId="0">
      <calculatedColumnFormula>IF(N17=0,AD17,0)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13C3-47FF-4FE9-8595-476BF59175BE}">
  <sheetPr codeName="Hoja8">
    <pageSetUpPr fitToPage="1"/>
  </sheetPr>
  <dimension ref="A1:AX551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J34" sqref="J34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COUNTA(Tabla33610673[Inst])</f>
        <v>535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180.60000000000005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54.409999999999975</v>
      </c>
      <c r="W6" s="18"/>
      <c r="X6" s="17">
        <f>+X13</f>
        <v>28.31</v>
      </c>
      <c r="Y6" s="19"/>
      <c r="Z6" s="17">
        <f>+Z13</f>
        <v>13.689999999999994</v>
      </c>
      <c r="AA6" s="19"/>
      <c r="AB6" s="17">
        <f>+AB13</f>
        <v>84.190000000000012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COUNTIF(Tabla33610673[No. of Rs],"&gt;0")</f>
        <v>160</v>
      </c>
      <c r="G7" s="24">
        <f>IFERROR((F7/$F$6),"")</f>
        <v>0.29906542056074764</v>
      </c>
      <c r="H7" s="78">
        <f>IFERROR((+P13/F7),"")</f>
        <v>2.4343125000000003</v>
      </c>
      <c r="I7" s="227">
        <f>H7/H9</f>
        <v>4.3351249461439059</v>
      </c>
      <c r="J7" s="227">
        <f>AVERAGE(Tabla33610673[No. of Rs])</f>
        <v>0.33757009345794403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0.30127353266888129</v>
      </c>
      <c r="W7" s="27"/>
      <c r="X7" s="26">
        <f>IFERROR((X6/N6),"")</f>
        <v>0.15675526024363229</v>
      </c>
      <c r="Y7" s="28"/>
      <c r="Z7" s="26">
        <f>IFERROR((Z6/N6),"")</f>
        <v>7.5802879291251332E-2</v>
      </c>
      <c r="AA7" s="28"/>
      <c r="AB7" s="26">
        <f>IFERROR((AB6/N6),"")</f>
        <v>0.46616832779623468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COUNTIF(Tabla33610673[No. of Rs],"=0")</f>
        <v>3</v>
      </c>
      <c r="G8" s="24">
        <f>IFERROR((F8/$F$6),"")</f>
        <v>5.6074766355140183E-3</v>
      </c>
      <c r="H8" s="78"/>
      <c r="I8" s="228"/>
      <c r="J8" s="228"/>
      <c r="K8" s="163"/>
      <c r="L8" s="212" t="s">
        <v>112</v>
      </c>
      <c r="M8" s="213"/>
      <c r="N8" s="195">
        <f ca="1">OFFSET(Tabla33610673[[#Headers],[Equity]],1,0)</f>
        <v>280600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COUNTIF(Tabla33610673[No. of Rs],"&lt;0")</f>
        <v>372</v>
      </c>
      <c r="G9" s="32">
        <f>IFERROR((F9/$F$6),"")</f>
        <v>0.69532710280373833</v>
      </c>
      <c r="H9" s="79">
        <f>IFERROR((-Q13/F9),"")</f>
        <v>0.5615322580645159</v>
      </c>
      <c r="I9" s="229"/>
      <c r="J9" s="229"/>
      <c r="K9" s="149"/>
      <c r="L9" s="230" t="s">
        <v>106</v>
      </c>
      <c r="M9" s="231"/>
      <c r="N9" s="125">
        <f ca="1">MAX(Tabla33610673[Drawdown])</f>
        <v>0.13319856244384545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OFFSET(Tabla33610673[[#Headers],[Drawdown]],1,0)</f>
        <v>1.7850892544627232E-2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IF(COUNTIFS(Tabla33610673[O/C],"O")&lt;1,"None",COUNTIFS(Tabla33610673[O/C],"O"))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SUM(Tabla33610673[No. of Rs])</f>
        <v>180.60000000000005</v>
      </c>
      <c r="O13" s="42">
        <f>SUM(Tabla33610673[Heat])</f>
        <v>0</v>
      </c>
      <c r="P13" s="43">
        <f>SUM(Tabla33610673[[ TR WIN]])</f>
        <v>389.49000000000007</v>
      </c>
      <c r="Q13" s="43">
        <f>SUM(Tabla33610673[[ TR LOSS]])</f>
        <v>-208.88999999999993</v>
      </c>
      <c r="R13" s="114"/>
      <c r="S13" s="115"/>
      <c r="T13" s="115"/>
      <c r="U13" s="121"/>
      <c r="V13" s="44">
        <f>SUM(Tabla33610673[Currency])</f>
        <v>54.409999999999975</v>
      </c>
      <c r="W13" s="44">
        <f>SUM(Tabla33610673[Heat3])</f>
        <v>0</v>
      </c>
      <c r="X13" s="44">
        <f>SUM(Tabla33610673[Commodities])</f>
        <v>28.31</v>
      </c>
      <c r="Y13" s="44">
        <f>SUM(Tabla33610673[Heat4])</f>
        <v>0</v>
      </c>
      <c r="Z13" s="44">
        <f>SUM(Tabla33610673[Index])</f>
        <v>13.689999999999994</v>
      </c>
      <c r="AA13" s="44">
        <f>SUM(Tabla33610673[Heat5])</f>
        <v>0</v>
      </c>
      <c r="AB13" s="44">
        <f>SUM(Tabla33610673[Cryptocurrency])</f>
        <v>84.190000000000012</v>
      </c>
      <c r="AC13" s="44">
        <f>SUM(Tabla33610673[Heat6])</f>
        <v>0</v>
      </c>
      <c r="AD13" s="75">
        <f>AVERAGEIF(Tabla33610673[Length of 
Trade],"&lt;&gt;0")</f>
        <v>5.2349363966772353</v>
      </c>
      <c r="AE13" s="75">
        <f>AVERAGEIF(Tabla33610673[Win],"&lt;&gt;0")</f>
        <v>11.390959201389114</v>
      </c>
      <c r="AF13" s="75">
        <f>AVERAGEIF(Tabla33610673[Loss],"&lt;&gt;0")</f>
        <v>2.5323066009559723</v>
      </c>
      <c r="AG13" s="76">
        <f>AVERAGEIF(Tabla33610673[Breakeven],"&lt;&gt;0")</f>
        <v>12.03981481481363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96" t="s">
        <v>5</v>
      </c>
      <c r="C17" s="197" t="s">
        <v>15</v>
      </c>
      <c r="D17" s="198" t="str">
        <f t="shared" ref="D17:D80" si="0">IF(E17&lt;&gt;"",IF(K17&lt;&gt;"","C","O"),"")</f>
        <v>C</v>
      </c>
      <c r="E17" s="199">
        <v>44552.840277777781</v>
      </c>
      <c r="F17" s="200" t="s">
        <v>90</v>
      </c>
      <c r="G17" s="201">
        <v>7396.24</v>
      </c>
      <c r="H17" s="201">
        <v>7344.41</v>
      </c>
      <c r="I17" s="202">
        <f t="shared" ref="I17:I80" si="1">ABS(G17-H17)</f>
        <v>51.829999999999927</v>
      </c>
      <c r="J17" s="201">
        <v>8087.27</v>
      </c>
      <c r="K17" s="199">
        <v>44561.209722222222</v>
      </c>
      <c r="L17" s="201">
        <v>7447.88</v>
      </c>
      <c r="M17" s="203">
        <f t="shared" ref="M17:M80" si="2">ROUND(IF(C17="L",(L17-G17),(G17-L17)),4)</f>
        <v>51.64</v>
      </c>
      <c r="N17" s="204">
        <f t="shared" ref="N17:N80" si="3">IFERROR(ROUND((M17/I17),2),"")</f>
        <v>1</v>
      </c>
      <c r="O17" s="205">
        <f t="shared" ref="O17:O80" si="4">IF(D17="O",IF(N17&lt;0,N17,0),0)</f>
        <v>0</v>
      </c>
      <c r="P17" s="206">
        <f t="shared" ref="P17:P80" si="5">IF(N17&gt;= 0,N17,0)</f>
        <v>1</v>
      </c>
      <c r="Q17" s="206">
        <f t="shared" ref="Q17:Q80" si="6">IF(N17&lt;0,N17,0)</f>
        <v>0</v>
      </c>
      <c r="R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280600</v>
      </c>
      <c r="T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17" s="208">
        <f ca="1">IF(Tabla33610673[[#This Row],[Equity]]&lt;Tabla33610673[[#This Row],[Equity Peak]],(Tabla33610673[[#This Row],[Equity Peak]]-Tabla33610673[[#This Row],[Equity]])/Tabla33610673[[#This Row],[Equity Peak]],"")</f>
        <v>1.7850892544627232E-2</v>
      </c>
      <c r="V17" s="209">
        <f t="shared" ref="V17:V80" si="7">IF(B17="FX",N17,0)</f>
        <v>0</v>
      </c>
      <c r="W17" s="209">
        <f t="shared" ref="W17:W80" si="8">IF(D17="O",IF(V17&lt;0,V17,0),0)</f>
        <v>0</v>
      </c>
      <c r="X17" s="209">
        <f t="shared" ref="X17:X80" si="9">IF(B17="COM",N17,0)</f>
        <v>0</v>
      </c>
      <c r="Y17" s="209">
        <f t="shared" ref="Y17:Y80" si="10">IF(D17="O",IF(X17&lt;0,X17,0),0)</f>
        <v>0</v>
      </c>
      <c r="Z17" s="209">
        <f t="shared" ref="Z17:Z80" si="11">IF(B17="IND",N17,0)</f>
        <v>1</v>
      </c>
      <c r="AA17" s="205">
        <f t="shared" ref="AA17:AA80" si="12">IF(D17="O",IF(Z17&lt;0,Z17,0),0)</f>
        <v>0</v>
      </c>
      <c r="AB17" s="209">
        <f t="shared" ref="AB17:AB80" si="13">IF(B17="CRYPTO",N17,0)</f>
        <v>0</v>
      </c>
      <c r="AC17" s="205">
        <f t="shared" ref="AC17:AC80" si="14">IF(D17="O",IF(AB17&lt;0,AB17,0),0)</f>
        <v>0</v>
      </c>
      <c r="AD17" s="210">
        <f t="shared" ref="AD17:AD80" si="15">IF(K17&lt;&gt;"",K17-E17,0)</f>
        <v>8.3694444444408873</v>
      </c>
      <c r="AE17" s="210">
        <f t="shared" ref="AE17:AE80" si="16">IF(N17&gt;0,AD17,0)</f>
        <v>8.3694444444408873</v>
      </c>
      <c r="AF17" s="210">
        <f t="shared" ref="AF17:AF80" si="17">IF(N17&lt;0,AD17,0)</f>
        <v>0</v>
      </c>
      <c r="AG17" s="210">
        <f t="shared" ref="AG17:AG80" si="18">IF(N17=0,AD17,0)</f>
        <v>0</v>
      </c>
      <c r="AH17" s="176"/>
      <c r="AI17" s="109"/>
    </row>
    <row r="18" spans="1:35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44551.458333333336</v>
      </c>
      <c r="F18" s="200" t="s">
        <v>94</v>
      </c>
      <c r="G18" s="201">
        <v>7273.01</v>
      </c>
      <c r="H18" s="201">
        <v>7173.3</v>
      </c>
      <c r="I18" s="202">
        <f t="shared" si="1"/>
        <v>99.710000000000036</v>
      </c>
      <c r="J18" s="201">
        <v>7771.57</v>
      </c>
      <c r="K18" s="199">
        <v>44561.125</v>
      </c>
      <c r="L18" s="201">
        <v>7386.36</v>
      </c>
      <c r="M18" s="203">
        <f t="shared" si="2"/>
        <v>113.35</v>
      </c>
      <c r="N18" s="204">
        <f t="shared" si="3"/>
        <v>1.1399999999999999</v>
      </c>
      <c r="O18" s="205">
        <f t="shared" si="4"/>
        <v>0</v>
      </c>
      <c r="P18" s="206">
        <f t="shared" si="5"/>
        <v>1.1399999999999999</v>
      </c>
      <c r="Q18" s="206">
        <f t="shared" si="6"/>
        <v>0</v>
      </c>
      <c r="R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279600</v>
      </c>
      <c r="T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18" s="208">
        <f ca="1">IF(Tabla33610673[[#This Row],[Equity]]&lt;Tabla33610673[[#This Row],[Equity Peak]],(Tabla33610673[[#This Row],[Equity Peak]]-Tabla33610673[[#This Row],[Equity]])/Tabla33610673[[#This Row],[Equity Peak]],"")</f>
        <v>2.1351067553377668E-2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1.1399999999999999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9.6666666666642413</v>
      </c>
      <c r="AE18" s="210">
        <f t="shared" si="16"/>
        <v>9.6666666666642413</v>
      </c>
      <c r="AF18" s="210">
        <f t="shared" si="17"/>
        <v>0</v>
      </c>
      <c r="AG18" s="210">
        <f t="shared" si="18"/>
        <v>0</v>
      </c>
    </row>
    <row r="19" spans="1:35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44551.666666666664</v>
      </c>
      <c r="F19" s="200" t="s">
        <v>114</v>
      </c>
      <c r="G19" s="201">
        <v>113.767</v>
      </c>
      <c r="H19" s="201">
        <v>113.181</v>
      </c>
      <c r="I19" s="202">
        <f t="shared" si="1"/>
        <v>0.58599999999999852</v>
      </c>
      <c r="J19" s="201">
        <v>116.503</v>
      </c>
      <c r="K19" s="199">
        <v>44559.719444444447</v>
      </c>
      <c r="L19" s="201">
        <v>114.709</v>
      </c>
      <c r="M19" s="203">
        <f t="shared" si="2"/>
        <v>0.94199999999999995</v>
      </c>
      <c r="N19" s="204">
        <f t="shared" si="3"/>
        <v>1.61</v>
      </c>
      <c r="O19" s="205">
        <f t="shared" si="4"/>
        <v>0</v>
      </c>
      <c r="P19" s="206">
        <f t="shared" si="5"/>
        <v>1.61</v>
      </c>
      <c r="Q19" s="206">
        <f t="shared" si="6"/>
        <v>0</v>
      </c>
      <c r="R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278460</v>
      </c>
      <c r="T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19" s="208">
        <f ca="1">IF(Tabla33610673[[#This Row],[Equity]]&lt;Tabla33610673[[#This Row],[Equity Peak]],(Tabla33610673[[#This Row],[Equity Peak]]-Tabla33610673[[#This Row],[Equity]])/Tabla33610673[[#This Row],[Equity Peak]],"")</f>
        <v>2.5341267063353167E-2</v>
      </c>
      <c r="V19" s="209">
        <f t="shared" si="7"/>
        <v>1.61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8.0527777777824667</v>
      </c>
      <c r="AE19" s="210">
        <f t="shared" si="16"/>
        <v>8.0527777777824667</v>
      </c>
      <c r="AF19" s="210">
        <f t="shared" si="17"/>
        <v>0</v>
      </c>
      <c r="AG19" s="210">
        <f t="shared" si="18"/>
        <v>0</v>
      </c>
    </row>
    <row r="20" spans="1:35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44553.208333333336</v>
      </c>
      <c r="F20" s="200" t="s">
        <v>92</v>
      </c>
      <c r="G20" s="201">
        <v>16183.34</v>
      </c>
      <c r="H20" s="201">
        <v>15876.31</v>
      </c>
      <c r="I20" s="202">
        <f t="shared" si="1"/>
        <v>307.03000000000065</v>
      </c>
      <c r="J20" s="201">
        <v>18230.23</v>
      </c>
      <c r="K20" s="199">
        <v>44559.717361111114</v>
      </c>
      <c r="L20" s="201">
        <v>16444.84</v>
      </c>
      <c r="M20" s="203">
        <f t="shared" si="2"/>
        <v>261.5</v>
      </c>
      <c r="N20" s="204">
        <f t="shared" si="3"/>
        <v>0.85</v>
      </c>
      <c r="O20" s="205">
        <f t="shared" si="4"/>
        <v>0</v>
      </c>
      <c r="P20" s="206">
        <f t="shared" si="5"/>
        <v>0.85</v>
      </c>
      <c r="Q20" s="206">
        <f t="shared" si="6"/>
        <v>0</v>
      </c>
      <c r="R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276850</v>
      </c>
      <c r="T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0" s="208">
        <f ca="1">IF(Tabla33610673[[#This Row],[Equity]]&lt;Tabla33610673[[#This Row],[Equity Peak]],(Tabla33610673[[#This Row],[Equity Peak]]-Tabla33610673[[#This Row],[Equity]])/Tabla33610673[[#This Row],[Equity Peak]],"")</f>
        <v>3.0976548827441372E-2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0.85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6.5090277777781012</v>
      </c>
      <c r="AE20" s="210">
        <f t="shared" si="16"/>
        <v>6.5090277777781012</v>
      </c>
      <c r="AF20" s="210">
        <f t="shared" si="17"/>
        <v>0</v>
      </c>
      <c r="AG20" s="210">
        <f t="shared" si="18"/>
        <v>0</v>
      </c>
    </row>
    <row r="21" spans="1:35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44559.5</v>
      </c>
      <c r="F21" s="200" t="s">
        <v>118</v>
      </c>
      <c r="G21" s="201">
        <v>1.1279699999999999</v>
      </c>
      <c r="H21" s="201">
        <v>1.1324099999999999</v>
      </c>
      <c r="I21" s="202">
        <f t="shared" si="1"/>
        <v>4.4399999999999995E-3</v>
      </c>
      <c r="J21" s="201">
        <v>1.0995200000000001</v>
      </c>
      <c r="K21" s="199">
        <v>44559.681944444441</v>
      </c>
      <c r="L21" s="201">
        <v>1.1324099999999999</v>
      </c>
      <c r="M21" s="203">
        <f t="shared" si="2"/>
        <v>-4.4000000000000003E-3</v>
      </c>
      <c r="N21" s="204">
        <f t="shared" si="3"/>
        <v>-0.99</v>
      </c>
      <c r="O21" s="205">
        <f t="shared" si="4"/>
        <v>0</v>
      </c>
      <c r="P21" s="206">
        <f t="shared" si="5"/>
        <v>0</v>
      </c>
      <c r="Q21" s="206">
        <f t="shared" si="6"/>
        <v>-0.99</v>
      </c>
      <c r="R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276000</v>
      </c>
      <c r="T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1" s="208">
        <f ca="1">IF(Tabla33610673[[#This Row],[Equity]]&lt;Tabla33610673[[#This Row],[Equity Peak]],(Tabla33610673[[#This Row],[Equity Peak]]-Tabla33610673[[#This Row],[Equity]])/Tabla33610673[[#This Row],[Equity Peak]],"")</f>
        <v>3.3951697584879245E-2</v>
      </c>
      <c r="V21" s="209">
        <f t="shared" si="7"/>
        <v>-0.99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0.18194444444088731</v>
      </c>
      <c r="AE21" s="210">
        <f t="shared" si="16"/>
        <v>0</v>
      </c>
      <c r="AF21" s="210">
        <f t="shared" si="17"/>
        <v>0.18194444444088731</v>
      </c>
      <c r="AG21" s="210">
        <f t="shared" si="18"/>
        <v>0</v>
      </c>
    </row>
    <row r="22" spans="1:35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44552.5</v>
      </c>
      <c r="F22" s="200" t="s">
        <v>119</v>
      </c>
      <c r="G22" s="201">
        <v>128.965</v>
      </c>
      <c r="H22" s="201">
        <v>128.21700000000001</v>
      </c>
      <c r="I22" s="202">
        <f t="shared" si="1"/>
        <v>0.74799999999999045</v>
      </c>
      <c r="J22" s="201">
        <v>131.95500000000001</v>
      </c>
      <c r="K22" s="199">
        <v>44558.734722222223</v>
      </c>
      <c r="L22" s="201">
        <v>129.64500000000001</v>
      </c>
      <c r="M22" s="203">
        <f t="shared" si="2"/>
        <v>0.68</v>
      </c>
      <c r="N22" s="204">
        <f t="shared" si="3"/>
        <v>0.91</v>
      </c>
      <c r="O22" s="205">
        <f t="shared" si="4"/>
        <v>0</v>
      </c>
      <c r="P22" s="206">
        <f t="shared" si="5"/>
        <v>0.91</v>
      </c>
      <c r="Q22" s="206">
        <f t="shared" si="6"/>
        <v>0</v>
      </c>
      <c r="R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276990</v>
      </c>
      <c r="T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2" s="208">
        <f ca="1">IF(Tabla33610673[[#This Row],[Equity]]&lt;Tabla33610673[[#This Row],[Equity Peak]],(Tabla33610673[[#This Row],[Equity Peak]]-Tabla33610673[[#This Row],[Equity]])/Tabla33610673[[#This Row],[Equity Peak]],"")</f>
        <v>3.0486524326216312E-2</v>
      </c>
      <c r="V22" s="209">
        <f t="shared" si="7"/>
        <v>0.91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6.234722222223354</v>
      </c>
      <c r="AE22" s="210">
        <f t="shared" si="16"/>
        <v>6.234722222223354</v>
      </c>
      <c r="AF22" s="210">
        <f t="shared" si="17"/>
        <v>0</v>
      </c>
      <c r="AG22" s="210">
        <f t="shared" si="18"/>
        <v>0</v>
      </c>
    </row>
    <row r="23" spans="1:35" ht="15" customHeight="1" x14ac:dyDescent="0.3">
      <c r="B23" s="196" t="s">
        <v>84</v>
      </c>
      <c r="C23" s="197" t="s">
        <v>15</v>
      </c>
      <c r="D23" s="198" t="str">
        <f t="shared" si="0"/>
        <v>C</v>
      </c>
      <c r="E23" s="199">
        <v>44551.666666666664</v>
      </c>
      <c r="F23" s="200" t="s">
        <v>80</v>
      </c>
      <c r="G23" s="201">
        <v>48989.5</v>
      </c>
      <c r="H23" s="201">
        <v>47070.66</v>
      </c>
      <c r="I23" s="202">
        <f t="shared" si="1"/>
        <v>1918.8399999999965</v>
      </c>
      <c r="J23" s="201">
        <v>77772.100000000006</v>
      </c>
      <c r="K23" s="199">
        <v>44558.150694444441</v>
      </c>
      <c r="L23" s="201">
        <v>49806.48</v>
      </c>
      <c r="M23" s="203">
        <f t="shared" si="2"/>
        <v>816.98</v>
      </c>
      <c r="N23" s="204">
        <f t="shared" si="3"/>
        <v>0.43</v>
      </c>
      <c r="O23" s="205">
        <f t="shared" si="4"/>
        <v>0</v>
      </c>
      <c r="P23" s="206">
        <f t="shared" si="5"/>
        <v>0.43</v>
      </c>
      <c r="Q23" s="206">
        <f t="shared" si="6"/>
        <v>0</v>
      </c>
      <c r="R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276080</v>
      </c>
      <c r="T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3" s="208">
        <f ca="1">IF(Tabla33610673[[#This Row],[Equity]]&lt;Tabla33610673[[#This Row],[Equity Peak]],(Tabla33610673[[#This Row],[Equity Peak]]-Tabla33610673[[#This Row],[Equity]])/Tabla33610673[[#This Row],[Equity Peak]],"")</f>
        <v>3.3671683584179206E-2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0.43</v>
      </c>
      <c r="AC23" s="205">
        <f t="shared" si="14"/>
        <v>0</v>
      </c>
      <c r="AD23" s="210">
        <f t="shared" si="15"/>
        <v>6.484027777776646</v>
      </c>
      <c r="AE23" s="210">
        <f t="shared" si="16"/>
        <v>6.484027777776646</v>
      </c>
      <c r="AF23" s="210">
        <f t="shared" si="17"/>
        <v>0</v>
      </c>
      <c r="AG23" s="210">
        <f t="shared" si="18"/>
        <v>0</v>
      </c>
    </row>
    <row r="24" spans="1:35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44553.375</v>
      </c>
      <c r="F24" s="200" t="s">
        <v>93</v>
      </c>
      <c r="G24" s="201">
        <v>4699.96</v>
      </c>
      <c r="H24" s="201">
        <v>4666.18</v>
      </c>
      <c r="I24" s="202">
        <f t="shared" si="1"/>
        <v>33.779999999999745</v>
      </c>
      <c r="J24" s="201">
        <v>4790.05</v>
      </c>
      <c r="K24" s="199">
        <v>44557.956944444442</v>
      </c>
      <c r="L24" s="201">
        <v>4790.05</v>
      </c>
      <c r="M24" s="203">
        <f t="shared" si="2"/>
        <v>90.09</v>
      </c>
      <c r="N24" s="204">
        <f t="shared" si="3"/>
        <v>2.67</v>
      </c>
      <c r="O24" s="205">
        <f t="shared" si="4"/>
        <v>0</v>
      </c>
      <c r="P24" s="206">
        <f t="shared" si="5"/>
        <v>2.67</v>
      </c>
      <c r="Q24" s="206">
        <f t="shared" si="6"/>
        <v>0</v>
      </c>
      <c r="R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275650</v>
      </c>
      <c r="T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4" s="208">
        <f ca="1">IF(Tabla33610673[[#This Row],[Equity]]&lt;Tabla33610673[[#This Row],[Equity Peak]],(Tabla33610673[[#This Row],[Equity Peak]]-Tabla33610673[[#This Row],[Equity]])/Tabla33610673[[#This Row],[Equity Peak]],"")</f>
        <v>3.5176758837941899E-2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2.67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4.5819444444423425</v>
      </c>
      <c r="AE24" s="210">
        <f t="shared" si="16"/>
        <v>4.5819444444423425</v>
      </c>
      <c r="AF24" s="210">
        <f t="shared" si="17"/>
        <v>0</v>
      </c>
      <c r="AG24" s="210">
        <f t="shared" si="18"/>
        <v>0</v>
      </c>
    </row>
    <row r="25" spans="1:35" ht="15" customHeight="1" x14ac:dyDescent="0.3">
      <c r="B25" s="196" t="s">
        <v>84</v>
      </c>
      <c r="C25" s="197" t="s">
        <v>15</v>
      </c>
      <c r="D25" s="198" t="str">
        <f t="shared" si="0"/>
        <v>C</v>
      </c>
      <c r="E25" s="199">
        <v>44554.017361111109</v>
      </c>
      <c r="F25" s="200" t="s">
        <v>82</v>
      </c>
      <c r="G25" s="201">
        <v>4122.26</v>
      </c>
      <c r="H25" s="201">
        <v>4008.27</v>
      </c>
      <c r="I25" s="202">
        <f t="shared" si="1"/>
        <v>113.99000000000024</v>
      </c>
      <c r="J25" s="201">
        <v>6250.16</v>
      </c>
      <c r="K25" s="199">
        <v>44556.242361111108</v>
      </c>
      <c r="L25" s="201">
        <v>4020.63</v>
      </c>
      <c r="M25" s="203">
        <f t="shared" si="2"/>
        <v>-101.63</v>
      </c>
      <c r="N25" s="204">
        <f t="shared" si="3"/>
        <v>-0.89</v>
      </c>
      <c r="O25" s="205">
        <f t="shared" si="4"/>
        <v>0</v>
      </c>
      <c r="P25" s="206">
        <f t="shared" si="5"/>
        <v>0</v>
      </c>
      <c r="Q25" s="206">
        <f t="shared" si="6"/>
        <v>-0.89</v>
      </c>
      <c r="R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272980</v>
      </c>
      <c r="T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5" s="208">
        <f ca="1">IF(Tabla33610673[[#This Row],[Equity]]&lt;Tabla33610673[[#This Row],[Equity Peak]],(Tabla33610673[[#This Row],[Equity Peak]]-Tabla33610673[[#This Row],[Equity]])/Tabla33610673[[#This Row],[Equity Peak]],"")</f>
        <v>4.4522226111305567E-2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-0.89</v>
      </c>
      <c r="AC25" s="205">
        <f t="shared" si="14"/>
        <v>0</v>
      </c>
      <c r="AD25" s="210">
        <f t="shared" si="15"/>
        <v>2.2249999999985448</v>
      </c>
      <c r="AE25" s="210">
        <f t="shared" si="16"/>
        <v>0</v>
      </c>
      <c r="AF25" s="210">
        <f t="shared" si="17"/>
        <v>2.2249999999985448</v>
      </c>
      <c r="AG25" s="210">
        <f t="shared" si="18"/>
        <v>0</v>
      </c>
    </row>
    <row r="26" spans="1:35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44553.017361111109</v>
      </c>
      <c r="F26" s="200" t="s">
        <v>120</v>
      </c>
      <c r="G26" s="201">
        <v>0.84794999999999998</v>
      </c>
      <c r="H26" s="201">
        <v>0.85019</v>
      </c>
      <c r="I26" s="202">
        <f t="shared" si="1"/>
        <v>2.2400000000000198E-3</v>
      </c>
      <c r="J26" s="201">
        <v>0.84197999999999995</v>
      </c>
      <c r="K26" s="199">
        <v>44553.612500000003</v>
      </c>
      <c r="L26" s="201">
        <v>0.84197999999999995</v>
      </c>
      <c r="M26" s="203">
        <f t="shared" si="2"/>
        <v>6.0000000000000001E-3</v>
      </c>
      <c r="N26" s="204">
        <f t="shared" si="3"/>
        <v>2.68</v>
      </c>
      <c r="O26" s="205">
        <f t="shared" si="4"/>
        <v>0</v>
      </c>
      <c r="P26" s="206">
        <f t="shared" si="5"/>
        <v>2.68</v>
      </c>
      <c r="Q26" s="206">
        <f t="shared" si="6"/>
        <v>0</v>
      </c>
      <c r="R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273870</v>
      </c>
      <c r="T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6" s="208">
        <f ca="1">IF(Tabla33610673[[#This Row],[Equity]]&lt;Tabla33610673[[#This Row],[Equity Peak]],(Tabla33610673[[#This Row],[Equity Peak]]-Tabla33610673[[#This Row],[Equity]])/Tabla33610673[[#This Row],[Equity Peak]],"")</f>
        <v>4.1407070353517678E-2</v>
      </c>
      <c r="V26" s="209">
        <f t="shared" si="7"/>
        <v>2.68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0.59513888889341615</v>
      </c>
      <c r="AE26" s="210">
        <f t="shared" si="16"/>
        <v>0.59513888889341615</v>
      </c>
      <c r="AF26" s="210">
        <f t="shared" si="17"/>
        <v>0</v>
      </c>
      <c r="AG26" s="210">
        <f t="shared" si="18"/>
        <v>0</v>
      </c>
    </row>
    <row r="27" spans="1:35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44552.333333333336</v>
      </c>
      <c r="F27" s="200" t="s">
        <v>117</v>
      </c>
      <c r="G27" s="201">
        <v>1.8589800000000001</v>
      </c>
      <c r="H27" s="201">
        <v>1.8425100000000001</v>
      </c>
      <c r="I27" s="202">
        <f t="shared" si="1"/>
        <v>1.6469999999999985E-2</v>
      </c>
      <c r="J27" s="201">
        <v>1.91388</v>
      </c>
      <c r="K27" s="199">
        <v>44552.722222222219</v>
      </c>
      <c r="L27" s="201">
        <v>1.8506499999999999</v>
      </c>
      <c r="M27" s="203">
        <f t="shared" si="2"/>
        <v>-8.3000000000000001E-3</v>
      </c>
      <c r="N27" s="204">
        <f t="shared" si="3"/>
        <v>-0.5</v>
      </c>
      <c r="O27" s="205">
        <f t="shared" si="4"/>
        <v>0</v>
      </c>
      <c r="P27" s="206">
        <f t="shared" si="5"/>
        <v>0</v>
      </c>
      <c r="Q27" s="206">
        <f t="shared" si="6"/>
        <v>-0.5</v>
      </c>
      <c r="R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271190</v>
      </c>
      <c r="T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7" s="208">
        <f ca="1">IF(Tabla33610673[[#This Row],[Equity]]&lt;Tabla33610673[[#This Row],[Equity Peak]],(Tabla33610673[[#This Row],[Equity Peak]]-Tabla33610673[[#This Row],[Equity]])/Tabla33610673[[#This Row],[Equity Peak]],"")</f>
        <v>5.0787539376968852E-2</v>
      </c>
      <c r="V27" s="209">
        <f t="shared" si="7"/>
        <v>-0.5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0.38888888888322981</v>
      </c>
      <c r="AE27" s="210">
        <f t="shared" si="16"/>
        <v>0</v>
      </c>
      <c r="AF27" s="210">
        <f t="shared" si="17"/>
        <v>0.38888888888322981</v>
      </c>
      <c r="AG27" s="210">
        <f t="shared" si="18"/>
        <v>0</v>
      </c>
    </row>
    <row r="28" spans="1:35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44550.833333333336</v>
      </c>
      <c r="F28" s="200" t="s">
        <v>115</v>
      </c>
      <c r="G28" s="201">
        <v>1.3210299999999999</v>
      </c>
      <c r="H28" s="201">
        <v>1.3310900000000001</v>
      </c>
      <c r="I28" s="202">
        <f t="shared" si="1"/>
        <v>1.006000000000018E-2</v>
      </c>
      <c r="J28" s="201">
        <v>1.28081</v>
      </c>
      <c r="K28" s="199">
        <v>44552.531944444447</v>
      </c>
      <c r="L28" s="201">
        <v>1.3310900000000001</v>
      </c>
      <c r="M28" s="203">
        <f t="shared" si="2"/>
        <v>-1.01E-2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271690</v>
      </c>
      <c r="T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8" s="208">
        <f ca="1">IF(Tabla33610673[[#This Row],[Equity]]&lt;Tabla33610673[[#This Row],[Equity Peak]],(Tabla33610673[[#This Row],[Equity Peak]]-Tabla33610673[[#This Row],[Equity]])/Tabla33610673[[#This Row],[Equity Peak]],"")</f>
        <v>4.9037451872593632E-2</v>
      </c>
      <c r="V28" s="209">
        <f t="shared" si="7"/>
        <v>-1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1.6986111111109494</v>
      </c>
      <c r="AE28" s="210">
        <f t="shared" si="16"/>
        <v>0</v>
      </c>
      <c r="AF28" s="210">
        <f t="shared" si="17"/>
        <v>1.6986111111109494</v>
      </c>
      <c r="AG28" s="210">
        <f t="shared" si="18"/>
        <v>0</v>
      </c>
    </row>
    <row r="29" spans="1:35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44550.666666666664</v>
      </c>
      <c r="F29" s="200" t="s">
        <v>122</v>
      </c>
      <c r="G29" s="201">
        <v>0.71179000000000003</v>
      </c>
      <c r="H29" s="201">
        <v>0.71575</v>
      </c>
      <c r="I29" s="202">
        <f t="shared" si="1"/>
        <v>3.9599999999999635E-3</v>
      </c>
      <c r="J29" s="201">
        <v>0.69064999999999999</v>
      </c>
      <c r="K29" s="199">
        <v>44552.504861111112</v>
      </c>
      <c r="L29" s="201">
        <v>0.71575</v>
      </c>
      <c r="M29" s="203">
        <f t="shared" si="2"/>
        <v>-4.0000000000000001E-3</v>
      </c>
      <c r="N29" s="204">
        <f t="shared" si="3"/>
        <v>-1.01</v>
      </c>
      <c r="O29" s="205">
        <f t="shared" si="4"/>
        <v>0</v>
      </c>
      <c r="P29" s="206">
        <f t="shared" si="5"/>
        <v>0</v>
      </c>
      <c r="Q29" s="206">
        <f t="shared" si="6"/>
        <v>-1.01</v>
      </c>
      <c r="R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272690</v>
      </c>
      <c r="T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29" s="208">
        <f ca="1">IF(Tabla33610673[[#This Row],[Equity]]&lt;Tabla33610673[[#This Row],[Equity Peak]],(Tabla33610673[[#This Row],[Equity Peak]]-Tabla33610673[[#This Row],[Equity]])/Tabla33610673[[#This Row],[Equity Peak]],"")</f>
        <v>4.5537276863843193E-2</v>
      </c>
      <c r="V29" s="209">
        <f t="shared" si="7"/>
        <v>-1.01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1.8381944444481633</v>
      </c>
      <c r="AE29" s="210">
        <f t="shared" si="16"/>
        <v>0</v>
      </c>
      <c r="AF29" s="210">
        <f t="shared" si="17"/>
        <v>1.8381944444481633</v>
      </c>
      <c r="AG29" s="210">
        <f t="shared" si="18"/>
        <v>0</v>
      </c>
    </row>
    <row r="30" spans="1:35" ht="15" customHeight="1" x14ac:dyDescent="0.3">
      <c r="B30" s="196" t="s">
        <v>7</v>
      </c>
      <c r="C30" s="197" t="s">
        <v>13</v>
      </c>
      <c r="D30" s="198" t="str">
        <f t="shared" si="0"/>
        <v>C</v>
      </c>
      <c r="E30" s="199">
        <v>44552.020833333336</v>
      </c>
      <c r="F30" s="200" t="s">
        <v>117</v>
      </c>
      <c r="G30" s="201">
        <v>1.8534600000000001</v>
      </c>
      <c r="H30" s="201">
        <v>1.86992</v>
      </c>
      <c r="I30" s="202">
        <f t="shared" si="1"/>
        <v>1.6459999999999919E-2</v>
      </c>
      <c r="J30" s="201">
        <v>1.7985899999999999</v>
      </c>
      <c r="K30" s="199">
        <v>44552.333333333336</v>
      </c>
      <c r="L30" s="201">
        <v>1.8589800000000001</v>
      </c>
      <c r="M30" s="203">
        <f t="shared" si="2"/>
        <v>-5.4999999999999997E-3</v>
      </c>
      <c r="N30" s="204">
        <f t="shared" si="3"/>
        <v>-0.33</v>
      </c>
      <c r="O30" s="205">
        <f t="shared" si="4"/>
        <v>0</v>
      </c>
      <c r="P30" s="206">
        <f t="shared" si="5"/>
        <v>0</v>
      </c>
      <c r="Q30" s="206">
        <f t="shared" si="6"/>
        <v>-0.33</v>
      </c>
      <c r="R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273700</v>
      </c>
      <c r="T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0" s="208">
        <f ca="1">IF(Tabla33610673[[#This Row],[Equity]]&lt;Tabla33610673[[#This Row],[Equity Peak]],(Tabla33610673[[#This Row],[Equity Peak]]-Tabla33610673[[#This Row],[Equity]])/Tabla33610673[[#This Row],[Equity Peak]],"")</f>
        <v>4.2002100105005248E-2</v>
      </c>
      <c r="V30" s="209">
        <f t="shared" si="7"/>
        <v>-0.33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0.3125</v>
      </c>
      <c r="AE30" s="210">
        <f t="shared" si="16"/>
        <v>0</v>
      </c>
      <c r="AF30" s="210">
        <f t="shared" si="17"/>
        <v>0.3125</v>
      </c>
      <c r="AG30" s="210">
        <f t="shared" si="18"/>
        <v>0</v>
      </c>
    </row>
    <row r="31" spans="1:35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44552.017361111109</v>
      </c>
      <c r="F31" s="200" t="s">
        <v>121</v>
      </c>
      <c r="G31" s="201">
        <v>1.5763400000000001</v>
      </c>
      <c r="H31" s="201">
        <v>1.58324</v>
      </c>
      <c r="I31" s="202">
        <f t="shared" si="1"/>
        <v>6.8999999999999062E-3</v>
      </c>
      <c r="J31" s="201">
        <v>1.50271</v>
      </c>
      <c r="K31" s="199">
        <v>44552.304166666669</v>
      </c>
      <c r="L31" s="201">
        <v>1.5828599999999999</v>
      </c>
      <c r="M31" s="203">
        <f t="shared" si="2"/>
        <v>-6.4999999999999997E-3</v>
      </c>
      <c r="N31" s="204">
        <f t="shared" si="3"/>
        <v>-0.94</v>
      </c>
      <c r="O31" s="205">
        <f t="shared" si="4"/>
        <v>0</v>
      </c>
      <c r="P31" s="206">
        <f t="shared" si="5"/>
        <v>0</v>
      </c>
      <c r="Q31" s="206">
        <f t="shared" si="6"/>
        <v>-0.94</v>
      </c>
      <c r="R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274030</v>
      </c>
      <c r="T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1" s="208">
        <f ca="1">IF(Tabla33610673[[#This Row],[Equity]]&lt;Tabla33610673[[#This Row],[Equity Peak]],(Tabla33610673[[#This Row],[Equity Peak]]-Tabla33610673[[#This Row],[Equity]])/Tabla33610673[[#This Row],[Equity Peak]],"")</f>
        <v>4.0847042352117606E-2</v>
      </c>
      <c r="V31" s="209">
        <f t="shared" si="7"/>
        <v>-0.94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0.28680555555911269</v>
      </c>
      <c r="AE31" s="210">
        <f t="shared" si="16"/>
        <v>0</v>
      </c>
      <c r="AF31" s="210">
        <f t="shared" si="17"/>
        <v>0.28680555555911269</v>
      </c>
      <c r="AG31" s="210">
        <f t="shared" si="18"/>
        <v>0</v>
      </c>
    </row>
    <row r="32" spans="1:35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44550.5</v>
      </c>
      <c r="F32" s="200" t="s">
        <v>117</v>
      </c>
      <c r="G32" s="201">
        <v>1.85904</v>
      </c>
      <c r="H32" s="201">
        <v>1.8427199999999999</v>
      </c>
      <c r="I32" s="202">
        <f t="shared" si="1"/>
        <v>1.6320000000000112E-2</v>
      </c>
      <c r="J32" s="201">
        <v>1.91343</v>
      </c>
      <c r="K32" s="199">
        <v>44552.020833333336</v>
      </c>
      <c r="L32" s="201">
        <v>1.8534600000000001</v>
      </c>
      <c r="M32" s="203">
        <f t="shared" si="2"/>
        <v>-5.5999999999999999E-3</v>
      </c>
      <c r="N32" s="204">
        <f t="shared" si="3"/>
        <v>-0.34</v>
      </c>
      <c r="O32" s="205">
        <f t="shared" si="4"/>
        <v>0</v>
      </c>
      <c r="P32" s="206">
        <f t="shared" si="5"/>
        <v>0</v>
      </c>
      <c r="Q32" s="206">
        <f t="shared" si="6"/>
        <v>-0.34</v>
      </c>
      <c r="R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274970</v>
      </c>
      <c r="T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2" s="208">
        <f ca="1">IF(Tabla33610673[[#This Row],[Equity]]&lt;Tabla33610673[[#This Row],[Equity Peak]],(Tabla33610673[[#This Row],[Equity Peak]]-Tabla33610673[[#This Row],[Equity]])/Tabla33610673[[#This Row],[Equity Peak]],"")</f>
        <v>3.7556877843892195E-2</v>
      </c>
      <c r="V32" s="209">
        <f t="shared" si="7"/>
        <v>-0.34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1.5208333333357587</v>
      </c>
      <c r="AE32" s="210">
        <f t="shared" si="16"/>
        <v>0</v>
      </c>
      <c r="AF32" s="210">
        <f t="shared" si="17"/>
        <v>1.5208333333357587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44547.666666666664</v>
      </c>
      <c r="F33" s="200" t="s">
        <v>119</v>
      </c>
      <c r="G33" s="201">
        <v>128.154</v>
      </c>
      <c r="H33" s="201">
        <v>129.232</v>
      </c>
      <c r="I33" s="202">
        <f t="shared" si="1"/>
        <v>1.078000000000003</v>
      </c>
      <c r="J33" s="201">
        <v>123.843</v>
      </c>
      <c r="K33" s="199">
        <v>44551.804166666669</v>
      </c>
      <c r="L33" s="201">
        <v>128.68899999999999</v>
      </c>
      <c r="M33" s="203">
        <f t="shared" si="2"/>
        <v>-0.53500000000000003</v>
      </c>
      <c r="N33" s="204">
        <f t="shared" si="3"/>
        <v>-0.5</v>
      </c>
      <c r="O33" s="205">
        <f t="shared" si="4"/>
        <v>0</v>
      </c>
      <c r="P33" s="206">
        <f t="shared" si="5"/>
        <v>0</v>
      </c>
      <c r="Q33" s="206">
        <f t="shared" si="6"/>
        <v>-0.5</v>
      </c>
      <c r="R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275310</v>
      </c>
      <c r="T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3" s="208">
        <f ca="1">IF(Tabla33610673[[#This Row],[Equity]]&lt;Tabla33610673[[#This Row],[Equity Peak]],(Tabla33610673[[#This Row],[Equity Peak]]-Tabla33610673[[#This Row],[Equity]])/Tabla33610673[[#This Row],[Equity Peak]],"")</f>
        <v>3.6366818340917047E-2</v>
      </c>
      <c r="V33" s="209">
        <f t="shared" si="7"/>
        <v>-0.5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4.1375000000043656</v>
      </c>
      <c r="AE33" s="210">
        <f t="shared" si="16"/>
        <v>0</v>
      </c>
      <c r="AF33" s="210">
        <f t="shared" si="17"/>
        <v>4.1375000000043656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0"/>
        <v>C</v>
      </c>
      <c r="E34" s="199">
        <v>44550.017361111109</v>
      </c>
      <c r="F34" s="200" t="s">
        <v>123</v>
      </c>
      <c r="G34" s="201">
        <v>81.015000000000001</v>
      </c>
      <c r="H34" s="201">
        <v>81.650000000000006</v>
      </c>
      <c r="I34" s="202">
        <f t="shared" si="1"/>
        <v>0.63500000000000512</v>
      </c>
      <c r="J34" s="201">
        <v>70.013000000000005</v>
      </c>
      <c r="K34" s="199">
        <v>44551.753472222219</v>
      </c>
      <c r="L34" s="201">
        <v>81.441999999999993</v>
      </c>
      <c r="M34" s="203">
        <f t="shared" si="2"/>
        <v>-0.42699999999999999</v>
      </c>
      <c r="N34" s="204">
        <f t="shared" si="3"/>
        <v>-0.67</v>
      </c>
      <c r="O34" s="205">
        <f t="shared" si="4"/>
        <v>0</v>
      </c>
      <c r="P34" s="206">
        <f t="shared" si="5"/>
        <v>0</v>
      </c>
      <c r="Q34" s="206">
        <f t="shared" si="6"/>
        <v>-0.67</v>
      </c>
      <c r="R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275810</v>
      </c>
      <c r="T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4" s="208">
        <f ca="1">IF(Tabla33610673[[#This Row],[Equity]]&lt;Tabla33610673[[#This Row],[Equity Peak]],(Tabla33610673[[#This Row],[Equity Peak]]-Tabla33610673[[#This Row],[Equity]])/Tabla33610673[[#This Row],[Equity Peak]],"")</f>
        <v>3.4616730836541827E-2</v>
      </c>
      <c r="V34" s="209">
        <f t="shared" si="7"/>
        <v>-0.67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1.7361111111094942</v>
      </c>
      <c r="AE34" s="210">
        <f t="shared" si="16"/>
        <v>0</v>
      </c>
      <c r="AF34" s="210">
        <f t="shared" si="17"/>
        <v>1.7361111111094942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0"/>
        <v>C</v>
      </c>
      <c r="E35" s="199">
        <v>44550.5</v>
      </c>
      <c r="F35" s="200" t="s">
        <v>121</v>
      </c>
      <c r="G35" s="201">
        <v>1.5879700000000001</v>
      </c>
      <c r="H35" s="201">
        <v>1.5797000000000001</v>
      </c>
      <c r="I35" s="202">
        <f t="shared" si="1"/>
        <v>8.2699999999999996E-3</v>
      </c>
      <c r="J35" s="201">
        <v>1.6762300000000001</v>
      </c>
      <c r="K35" s="199">
        <v>44551.709722222222</v>
      </c>
      <c r="L35" s="201">
        <v>1.5797000000000001</v>
      </c>
      <c r="M35" s="203">
        <f t="shared" si="2"/>
        <v>-8.3000000000000001E-3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276480</v>
      </c>
      <c r="T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5" s="208">
        <f ca="1">IF(Tabla33610673[[#This Row],[Equity]]&lt;Tabla33610673[[#This Row],[Equity Peak]],(Tabla33610673[[#This Row],[Equity Peak]]-Tabla33610673[[#This Row],[Equity]])/Tabla33610673[[#This Row],[Equity Peak]],"")</f>
        <v>3.2271613580679037E-2</v>
      </c>
      <c r="V35" s="209">
        <f t="shared" si="7"/>
        <v>-1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1.2097222222218988</v>
      </c>
      <c r="AE35" s="210">
        <f t="shared" si="16"/>
        <v>0</v>
      </c>
      <c r="AF35" s="210">
        <f t="shared" si="17"/>
        <v>1.2097222222218988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13</v>
      </c>
      <c r="D36" s="198" t="str">
        <f t="shared" si="0"/>
        <v>C</v>
      </c>
      <c r="E36" s="199">
        <v>44550.208333333336</v>
      </c>
      <c r="F36" s="200" t="s">
        <v>95</v>
      </c>
      <c r="G36" s="201">
        <v>35057.839999999997</v>
      </c>
      <c r="H36" s="201">
        <v>35317.86</v>
      </c>
      <c r="I36" s="202">
        <f t="shared" si="1"/>
        <v>260.02000000000407</v>
      </c>
      <c r="J36" s="201">
        <v>34017.74</v>
      </c>
      <c r="K36" s="199">
        <v>44551.693055555559</v>
      </c>
      <c r="L36" s="201">
        <v>35317.86</v>
      </c>
      <c r="M36" s="203">
        <f t="shared" si="2"/>
        <v>-260.02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277480</v>
      </c>
      <c r="T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6" s="208">
        <f ca="1">IF(Tabla33610673[[#This Row],[Equity]]&lt;Tabla33610673[[#This Row],[Equity Peak]],(Tabla33610673[[#This Row],[Equity Peak]]-Tabla33610673[[#This Row],[Equity]])/Tabla33610673[[#This Row],[Equity Peak]],"")</f>
        <v>2.8771438571928598E-2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-1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1.484722222223354</v>
      </c>
      <c r="AE36" s="210">
        <f t="shared" si="16"/>
        <v>0</v>
      </c>
      <c r="AF36" s="210">
        <f t="shared" si="17"/>
        <v>1.484722222223354</v>
      </c>
      <c r="AG36" s="210">
        <f t="shared" si="18"/>
        <v>0</v>
      </c>
    </row>
    <row r="37" spans="2:33" ht="15" customHeight="1" x14ac:dyDescent="0.3">
      <c r="B37" s="196" t="s">
        <v>84</v>
      </c>
      <c r="C37" s="197" t="s">
        <v>13</v>
      </c>
      <c r="D37" s="198" t="str">
        <f t="shared" si="0"/>
        <v>C</v>
      </c>
      <c r="E37" s="199">
        <v>44532.333333333336</v>
      </c>
      <c r="F37" s="200" t="s">
        <v>80</v>
      </c>
      <c r="G37" s="201">
        <v>56941</v>
      </c>
      <c r="H37" s="201">
        <v>59712.74</v>
      </c>
      <c r="I37" s="202">
        <f t="shared" si="1"/>
        <v>2771.739999999998</v>
      </c>
      <c r="J37" s="201">
        <v>15364.96</v>
      </c>
      <c r="K37" s="199">
        <v>44551.256249999999</v>
      </c>
      <c r="L37" s="201">
        <v>48325.599999999999</v>
      </c>
      <c r="M37" s="203">
        <f t="shared" si="2"/>
        <v>8615.4</v>
      </c>
      <c r="N37" s="204">
        <f t="shared" si="3"/>
        <v>3.11</v>
      </c>
      <c r="O37" s="205">
        <f t="shared" si="4"/>
        <v>0</v>
      </c>
      <c r="P37" s="206">
        <f t="shared" si="5"/>
        <v>3.11</v>
      </c>
      <c r="Q37" s="206">
        <f t="shared" si="6"/>
        <v>0</v>
      </c>
      <c r="R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278480</v>
      </c>
      <c r="T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7" s="208">
        <f ca="1">IF(Tabla33610673[[#This Row],[Equity]]&lt;Tabla33610673[[#This Row],[Equity Peak]],(Tabla33610673[[#This Row],[Equity Peak]]-Tabla33610673[[#This Row],[Equity]])/Tabla33610673[[#This Row],[Equity Peak]],"")</f>
        <v>2.5271263563178159E-2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3.11</v>
      </c>
      <c r="AC37" s="205">
        <f t="shared" si="14"/>
        <v>0</v>
      </c>
      <c r="AD37" s="210">
        <f t="shared" si="15"/>
        <v>18.922916666662786</v>
      </c>
      <c r="AE37" s="210">
        <f t="shared" si="16"/>
        <v>18.922916666662786</v>
      </c>
      <c r="AF37" s="210">
        <f t="shared" si="17"/>
        <v>0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13</v>
      </c>
      <c r="D38" s="198" t="str">
        <f t="shared" si="0"/>
        <v>C</v>
      </c>
      <c r="E38" s="199">
        <v>44550.291666666664</v>
      </c>
      <c r="F38" s="200" t="s">
        <v>94</v>
      </c>
      <c r="G38" s="201">
        <v>7170.89</v>
      </c>
      <c r="H38" s="201">
        <v>7259.81</v>
      </c>
      <c r="I38" s="202">
        <f t="shared" si="1"/>
        <v>88.920000000000073</v>
      </c>
      <c r="J38" s="201">
        <v>6726.27</v>
      </c>
      <c r="K38" s="199">
        <v>44550.581250000003</v>
      </c>
      <c r="L38" s="201">
        <v>7199.81</v>
      </c>
      <c r="M38" s="203">
        <f t="shared" si="2"/>
        <v>-28.92</v>
      </c>
      <c r="N38" s="204">
        <f t="shared" si="3"/>
        <v>-0.33</v>
      </c>
      <c r="O38" s="205">
        <f t="shared" si="4"/>
        <v>0</v>
      </c>
      <c r="P38" s="206">
        <f t="shared" si="5"/>
        <v>0</v>
      </c>
      <c r="Q38" s="206">
        <f t="shared" si="6"/>
        <v>-0.33</v>
      </c>
      <c r="R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275370</v>
      </c>
      <c r="T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8" s="208">
        <f ca="1">IF(Tabla33610673[[#This Row],[Equity]]&lt;Tabla33610673[[#This Row],[Equity Peak]],(Tabla33610673[[#This Row],[Equity Peak]]-Tabla33610673[[#This Row],[Equity]])/Tabla33610673[[#This Row],[Equity Peak]],"")</f>
        <v>3.6156807840392019E-2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-0.33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0.28958333333866904</v>
      </c>
      <c r="AE38" s="210">
        <f t="shared" si="16"/>
        <v>0</v>
      </c>
      <c r="AF38" s="210">
        <f t="shared" si="17"/>
        <v>0.28958333333866904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0"/>
        <v>C</v>
      </c>
      <c r="E39" s="199">
        <v>44547.125</v>
      </c>
      <c r="F39" s="200" t="s">
        <v>94</v>
      </c>
      <c r="G39" s="201">
        <v>7257.48</v>
      </c>
      <c r="H39" s="201">
        <v>7182.13</v>
      </c>
      <c r="I39" s="202">
        <f t="shared" si="1"/>
        <v>75.349999999999454</v>
      </c>
      <c r="J39" s="201">
        <v>7634.22</v>
      </c>
      <c r="K39" s="199">
        <v>44550.125</v>
      </c>
      <c r="L39" s="201">
        <v>7219.45</v>
      </c>
      <c r="M39" s="203">
        <f t="shared" si="2"/>
        <v>-38.03</v>
      </c>
      <c r="N39" s="204">
        <f t="shared" si="3"/>
        <v>-0.5</v>
      </c>
      <c r="O39" s="205">
        <f t="shared" si="4"/>
        <v>0</v>
      </c>
      <c r="P39" s="206">
        <f t="shared" si="5"/>
        <v>0</v>
      </c>
      <c r="Q39" s="206">
        <f t="shared" si="6"/>
        <v>-0.5</v>
      </c>
      <c r="R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275700</v>
      </c>
      <c r="T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39" s="208">
        <f ca="1">IF(Tabla33610673[[#This Row],[Equity]]&lt;Tabla33610673[[#This Row],[Equity Peak]],(Tabla33610673[[#This Row],[Equity Peak]]-Tabla33610673[[#This Row],[Equity]])/Tabla33610673[[#This Row],[Equity Peak]],"")</f>
        <v>3.5001750087504377E-2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-0.5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3</v>
      </c>
      <c r="AE39" s="210">
        <f t="shared" si="16"/>
        <v>0</v>
      </c>
      <c r="AF39" s="210">
        <f t="shared" si="17"/>
        <v>3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0"/>
        <v>C</v>
      </c>
      <c r="E40" s="199">
        <v>44545.666666666664</v>
      </c>
      <c r="F40" s="200" t="s">
        <v>121</v>
      </c>
      <c r="G40" s="201">
        <v>1.5771599999999999</v>
      </c>
      <c r="H40" s="201">
        <v>1.5845400000000001</v>
      </c>
      <c r="I40" s="202">
        <f t="shared" si="1"/>
        <v>7.3800000000001642E-3</v>
      </c>
      <c r="J40" s="201">
        <v>1.49847</v>
      </c>
      <c r="K40" s="199">
        <v>44546.911805555559</v>
      </c>
      <c r="L40" s="201">
        <v>1.57925</v>
      </c>
      <c r="M40" s="203">
        <f t="shared" si="2"/>
        <v>-2.0999999999999999E-3</v>
      </c>
      <c r="N40" s="204">
        <f t="shared" si="3"/>
        <v>-0.28000000000000003</v>
      </c>
      <c r="O40" s="205">
        <f t="shared" si="4"/>
        <v>0</v>
      </c>
      <c r="P40" s="206">
        <f t="shared" si="5"/>
        <v>0</v>
      </c>
      <c r="Q40" s="206">
        <f t="shared" si="6"/>
        <v>-0.28000000000000003</v>
      </c>
      <c r="R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276200</v>
      </c>
      <c r="T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0" s="208">
        <f ca="1">IF(Tabla33610673[[#This Row],[Equity]]&lt;Tabla33610673[[#This Row],[Equity Peak]],(Tabla33610673[[#This Row],[Equity Peak]]-Tabla33610673[[#This Row],[Equity]])/Tabla33610673[[#This Row],[Equity Peak]],"")</f>
        <v>3.3251662583129157E-2</v>
      </c>
      <c r="V40" s="209">
        <f t="shared" si="7"/>
        <v>-0.28000000000000003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1.2451388888948713</v>
      </c>
      <c r="AE40" s="210">
        <f t="shared" si="16"/>
        <v>0</v>
      </c>
      <c r="AF40" s="210">
        <f t="shared" si="17"/>
        <v>1.2451388888948713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15</v>
      </c>
      <c r="D41" s="198" t="str">
        <f t="shared" si="0"/>
        <v>C</v>
      </c>
      <c r="E41" s="199">
        <v>44546.541666666664</v>
      </c>
      <c r="F41" s="200" t="s">
        <v>95</v>
      </c>
      <c r="G41" s="201">
        <v>36142.43</v>
      </c>
      <c r="H41" s="201">
        <v>35887.54</v>
      </c>
      <c r="I41" s="202">
        <f t="shared" si="1"/>
        <v>254.88999999999942</v>
      </c>
      <c r="J41" s="201">
        <v>37162</v>
      </c>
      <c r="K41" s="199">
        <v>44546.90625</v>
      </c>
      <c r="L41" s="201">
        <v>35887.54</v>
      </c>
      <c r="M41" s="203">
        <f t="shared" si="2"/>
        <v>-254.89</v>
      </c>
      <c r="N41" s="204">
        <f t="shared" si="3"/>
        <v>-1</v>
      </c>
      <c r="O41" s="205">
        <f t="shared" si="4"/>
        <v>0</v>
      </c>
      <c r="P41" s="206">
        <f t="shared" si="5"/>
        <v>0</v>
      </c>
      <c r="Q41" s="206">
        <f t="shared" si="6"/>
        <v>-1</v>
      </c>
      <c r="R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276480</v>
      </c>
      <c r="T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1" s="208">
        <f ca="1">IF(Tabla33610673[[#This Row],[Equity]]&lt;Tabla33610673[[#This Row],[Equity Peak]],(Tabla33610673[[#This Row],[Equity Peak]]-Tabla33610673[[#This Row],[Equity]])/Tabla33610673[[#This Row],[Equity Peak]],"")</f>
        <v>3.2271613580679037E-2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-1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0.36458333333575865</v>
      </c>
      <c r="AE41" s="210">
        <f t="shared" si="16"/>
        <v>0</v>
      </c>
      <c r="AF41" s="210">
        <f t="shared" si="17"/>
        <v>0.36458333333575865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15</v>
      </c>
      <c r="D42" s="198" t="str">
        <f t="shared" si="0"/>
        <v>C</v>
      </c>
      <c r="E42" s="199">
        <v>44546.541666666664</v>
      </c>
      <c r="F42" s="200" t="s">
        <v>93</v>
      </c>
      <c r="G42" s="201">
        <v>4743.09</v>
      </c>
      <c r="H42" s="201">
        <v>4700.26</v>
      </c>
      <c r="I42" s="202">
        <f t="shared" si="1"/>
        <v>42.829999999999927</v>
      </c>
      <c r="J42" s="201">
        <v>4857.3100000000004</v>
      </c>
      <c r="K42" s="199">
        <v>44546.783333333333</v>
      </c>
      <c r="L42" s="201">
        <v>4700.26</v>
      </c>
      <c r="M42" s="203">
        <f t="shared" si="2"/>
        <v>-42.83</v>
      </c>
      <c r="N42" s="204">
        <f t="shared" si="3"/>
        <v>-1</v>
      </c>
      <c r="O42" s="205">
        <f t="shared" si="4"/>
        <v>0</v>
      </c>
      <c r="P42" s="206">
        <f t="shared" si="5"/>
        <v>0</v>
      </c>
      <c r="Q42" s="206">
        <f t="shared" si="6"/>
        <v>-1</v>
      </c>
      <c r="R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277480</v>
      </c>
      <c r="T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2" s="208">
        <f ca="1">IF(Tabla33610673[[#This Row],[Equity]]&lt;Tabla33610673[[#This Row],[Equity Peak]],(Tabla33610673[[#This Row],[Equity Peak]]-Tabla33610673[[#This Row],[Equity]])/Tabla33610673[[#This Row],[Equity Peak]],"")</f>
        <v>2.8771438571928598E-2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-1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0.24166666666860692</v>
      </c>
      <c r="AE42" s="210">
        <f t="shared" si="16"/>
        <v>0</v>
      </c>
      <c r="AF42" s="210">
        <f t="shared" si="17"/>
        <v>0.24166666666860692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13</v>
      </c>
      <c r="D43" s="198" t="str">
        <f t="shared" si="0"/>
        <v>C</v>
      </c>
      <c r="E43" s="199">
        <v>44546.201388888891</v>
      </c>
      <c r="F43" s="200" t="s">
        <v>90</v>
      </c>
      <c r="G43" s="201">
        <v>7291.33</v>
      </c>
      <c r="H43" s="201">
        <v>7343.94</v>
      </c>
      <c r="I43" s="202">
        <f t="shared" si="1"/>
        <v>52.609999999999673</v>
      </c>
      <c r="J43" s="201">
        <v>6589.9</v>
      </c>
      <c r="K43" s="199">
        <v>44546.740972222222</v>
      </c>
      <c r="L43" s="201">
        <v>7343.94</v>
      </c>
      <c r="M43" s="203">
        <f t="shared" si="2"/>
        <v>-52.61</v>
      </c>
      <c r="N43" s="204">
        <f t="shared" si="3"/>
        <v>-1</v>
      </c>
      <c r="O43" s="205">
        <f t="shared" si="4"/>
        <v>0</v>
      </c>
      <c r="P43" s="206">
        <f t="shared" si="5"/>
        <v>0</v>
      </c>
      <c r="Q43" s="206">
        <f t="shared" si="6"/>
        <v>-1</v>
      </c>
      <c r="R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278480</v>
      </c>
      <c r="T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3" s="208">
        <f ca="1">IF(Tabla33610673[[#This Row],[Equity]]&lt;Tabla33610673[[#This Row],[Equity Peak]],(Tabla33610673[[#This Row],[Equity Peak]]-Tabla33610673[[#This Row],[Equity]])/Tabla33610673[[#This Row],[Equity Peak]],"")</f>
        <v>2.5271263563178159E-2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-1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0.53958333333139308</v>
      </c>
      <c r="AE43" s="210">
        <f t="shared" si="16"/>
        <v>0</v>
      </c>
      <c r="AF43" s="210">
        <f t="shared" si="17"/>
        <v>0.53958333333139308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0"/>
        <v>C</v>
      </c>
      <c r="E44" s="199">
        <v>44546.5</v>
      </c>
      <c r="F44" s="200" t="s">
        <v>123</v>
      </c>
      <c r="G44" s="201">
        <v>82.198999999999998</v>
      </c>
      <c r="H44" s="201">
        <v>81.641000000000005</v>
      </c>
      <c r="I44" s="202">
        <f t="shared" si="1"/>
        <v>0.55799999999999272</v>
      </c>
      <c r="J44" s="201">
        <v>91.870999999999995</v>
      </c>
      <c r="K44" s="199">
        <v>44546.713888888888</v>
      </c>
      <c r="L44" s="201">
        <v>81.641000000000005</v>
      </c>
      <c r="M44" s="203">
        <f t="shared" si="2"/>
        <v>-0.55800000000000005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279480</v>
      </c>
      <c r="T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4" s="208">
        <f ca="1">IF(Tabla33610673[[#This Row],[Equity]]&lt;Tabla33610673[[#This Row],[Equity Peak]],(Tabla33610673[[#This Row],[Equity Peak]]-Tabla33610673[[#This Row],[Equity]])/Tabla33610673[[#This Row],[Equity Peak]],"")</f>
        <v>2.177108855442772E-2</v>
      </c>
      <c r="V44" s="209">
        <f t="shared" si="7"/>
        <v>-1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0.21388888888759539</v>
      </c>
      <c r="AE44" s="210">
        <f t="shared" si="16"/>
        <v>0</v>
      </c>
      <c r="AF44" s="210">
        <f t="shared" si="17"/>
        <v>0.21388888888759539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15</v>
      </c>
      <c r="D45" s="198" t="str">
        <f t="shared" si="0"/>
        <v>C</v>
      </c>
      <c r="E45" s="199">
        <v>44546.541666666664</v>
      </c>
      <c r="F45" s="200" t="s">
        <v>92</v>
      </c>
      <c r="G45" s="201">
        <v>16415.080000000002</v>
      </c>
      <c r="H45" s="201">
        <v>16122.63</v>
      </c>
      <c r="I45" s="202">
        <f t="shared" si="1"/>
        <v>292.45000000000255</v>
      </c>
      <c r="J45" s="201">
        <v>18364.73</v>
      </c>
      <c r="K45" s="199">
        <v>44546.710416666669</v>
      </c>
      <c r="L45" s="201">
        <v>16122.63</v>
      </c>
      <c r="M45" s="203">
        <f t="shared" si="2"/>
        <v>-292.45</v>
      </c>
      <c r="N45" s="204">
        <f t="shared" si="3"/>
        <v>-1</v>
      </c>
      <c r="O45" s="205">
        <f t="shared" si="4"/>
        <v>0</v>
      </c>
      <c r="P45" s="206">
        <f t="shared" si="5"/>
        <v>0</v>
      </c>
      <c r="Q45" s="206">
        <f t="shared" si="6"/>
        <v>-1</v>
      </c>
      <c r="R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280480</v>
      </c>
      <c r="T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5" s="208">
        <f ca="1">IF(Tabla33610673[[#This Row],[Equity]]&lt;Tabla33610673[[#This Row],[Equity Peak]],(Tabla33610673[[#This Row],[Equity Peak]]-Tabla33610673[[#This Row],[Equity]])/Tabla33610673[[#This Row],[Equity Peak]],"")</f>
        <v>1.8270913545677284E-2</v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-1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0.16875000000436557</v>
      </c>
      <c r="AE45" s="210">
        <f t="shared" si="16"/>
        <v>0</v>
      </c>
      <c r="AF45" s="210">
        <f t="shared" si="17"/>
        <v>0.16875000000436557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0"/>
        <v>C</v>
      </c>
      <c r="E46" s="199">
        <v>44546.5</v>
      </c>
      <c r="F46" s="200" t="s">
        <v>119</v>
      </c>
      <c r="G46" s="201">
        <v>129.143</v>
      </c>
      <c r="H46" s="201">
        <v>128.38</v>
      </c>
      <c r="I46" s="202">
        <f t="shared" si="1"/>
        <v>0.76300000000000523</v>
      </c>
      <c r="J46" s="201">
        <v>132.19499999999999</v>
      </c>
      <c r="K46" s="199">
        <v>44546.705555555556</v>
      </c>
      <c r="L46" s="201">
        <v>128.78100000000001</v>
      </c>
      <c r="M46" s="203">
        <f t="shared" si="2"/>
        <v>-0.36199999999999999</v>
      </c>
      <c r="N46" s="204">
        <f t="shared" si="3"/>
        <v>-0.47</v>
      </c>
      <c r="O46" s="205">
        <f t="shared" si="4"/>
        <v>0</v>
      </c>
      <c r="P46" s="206">
        <f t="shared" si="5"/>
        <v>0</v>
      </c>
      <c r="Q46" s="206">
        <f t="shared" si="6"/>
        <v>-0.47</v>
      </c>
      <c r="R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281480</v>
      </c>
      <c r="T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6" s="208">
        <f ca="1">IF(Tabla33610673[[#This Row],[Equity]]&lt;Tabla33610673[[#This Row],[Equity Peak]],(Tabla33610673[[#This Row],[Equity Peak]]-Tabla33610673[[#This Row],[Equity]])/Tabla33610673[[#This Row],[Equity Peak]],"")</f>
        <v>1.4770738536926847E-2</v>
      </c>
      <c r="V46" s="209">
        <f t="shared" si="7"/>
        <v>-0.47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0.20555555555620231</v>
      </c>
      <c r="AE46" s="210">
        <f t="shared" si="16"/>
        <v>0</v>
      </c>
      <c r="AF46" s="210">
        <f t="shared" si="17"/>
        <v>0.20555555555620231</v>
      </c>
      <c r="AG46" s="210">
        <f t="shared" si="18"/>
        <v>0</v>
      </c>
    </row>
    <row r="47" spans="2:33" ht="15" customHeight="1" x14ac:dyDescent="0.3">
      <c r="B47" s="196" t="s">
        <v>7</v>
      </c>
      <c r="C47" s="197" t="s">
        <v>15</v>
      </c>
      <c r="D47" s="198" t="str">
        <f t="shared" si="0"/>
        <v>C</v>
      </c>
      <c r="E47" s="199">
        <v>44544.833333333336</v>
      </c>
      <c r="F47" s="200" t="s">
        <v>114</v>
      </c>
      <c r="G47" s="201">
        <v>113.664</v>
      </c>
      <c r="H47" s="201">
        <v>113.066</v>
      </c>
      <c r="I47" s="202">
        <f t="shared" si="1"/>
        <v>0.59799999999999898</v>
      </c>
      <c r="J47" s="201">
        <v>116.45399999999999</v>
      </c>
      <c r="K47" s="199">
        <v>44546.695833333331</v>
      </c>
      <c r="L47" s="201">
        <v>113.75</v>
      </c>
      <c r="M47" s="203">
        <f t="shared" si="2"/>
        <v>8.5999999999999993E-2</v>
      </c>
      <c r="N47" s="204">
        <f t="shared" si="3"/>
        <v>0.14000000000000001</v>
      </c>
      <c r="O47" s="205">
        <f t="shared" si="4"/>
        <v>0</v>
      </c>
      <c r="P47" s="206">
        <f t="shared" si="5"/>
        <v>0.14000000000000001</v>
      </c>
      <c r="Q47" s="206">
        <f t="shared" si="6"/>
        <v>0</v>
      </c>
      <c r="R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281950</v>
      </c>
      <c r="T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7" s="208">
        <f ca="1">IF(Tabla33610673[[#This Row],[Equity]]&lt;Tabla33610673[[#This Row],[Equity Peak]],(Tabla33610673[[#This Row],[Equity Peak]]-Tabla33610673[[#This Row],[Equity]])/Tabla33610673[[#This Row],[Equity Peak]],"")</f>
        <v>1.3125656282814141E-2</v>
      </c>
      <c r="V47" s="209">
        <f t="shared" si="7"/>
        <v>0.14000000000000001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1.8624999999956344</v>
      </c>
      <c r="AE47" s="210">
        <f t="shared" si="16"/>
        <v>1.8624999999956344</v>
      </c>
      <c r="AF47" s="210">
        <f t="shared" si="17"/>
        <v>0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0"/>
        <v>C</v>
      </c>
      <c r="E48" s="199">
        <v>44544.791666666664</v>
      </c>
      <c r="F48" s="200" t="s">
        <v>94</v>
      </c>
      <c r="G48" s="201">
        <v>7215.06</v>
      </c>
      <c r="H48" s="201">
        <v>7284.21</v>
      </c>
      <c r="I48" s="202">
        <f t="shared" si="1"/>
        <v>69.149999999999636</v>
      </c>
      <c r="J48" s="201">
        <v>6869.3</v>
      </c>
      <c r="K48" s="199">
        <v>44545.956250000003</v>
      </c>
      <c r="L48" s="201">
        <v>7239.01</v>
      </c>
      <c r="M48" s="203">
        <f t="shared" si="2"/>
        <v>-23.95</v>
      </c>
      <c r="N48" s="204">
        <f t="shared" si="3"/>
        <v>-0.35</v>
      </c>
      <c r="O48" s="205">
        <f t="shared" si="4"/>
        <v>0</v>
      </c>
      <c r="P48" s="206">
        <f t="shared" si="5"/>
        <v>0</v>
      </c>
      <c r="Q48" s="206">
        <f t="shared" si="6"/>
        <v>-0.35</v>
      </c>
      <c r="R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281810</v>
      </c>
      <c r="T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8" s="208">
        <f ca="1">IF(Tabla33610673[[#This Row],[Equity]]&lt;Tabla33610673[[#This Row],[Equity Peak]],(Tabla33610673[[#This Row],[Equity Peak]]-Tabla33610673[[#This Row],[Equity]])/Tabla33610673[[#This Row],[Equity Peak]],"")</f>
        <v>1.3615680784039201E-2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-0.35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1.164583333338669</v>
      </c>
      <c r="AE48" s="210">
        <f t="shared" si="16"/>
        <v>0</v>
      </c>
      <c r="AF48" s="210">
        <f t="shared" si="17"/>
        <v>1.164583333338669</v>
      </c>
      <c r="AG48" s="210">
        <f t="shared" si="18"/>
        <v>0</v>
      </c>
    </row>
    <row r="49" spans="2:33" ht="15" customHeight="1" x14ac:dyDescent="0.3">
      <c r="B49" s="196" t="s">
        <v>19</v>
      </c>
      <c r="C49" s="197" t="s">
        <v>13</v>
      </c>
      <c r="D49" s="198" t="str">
        <f t="shared" si="0"/>
        <v>C</v>
      </c>
      <c r="E49" s="199">
        <v>44544.708333333336</v>
      </c>
      <c r="F49" s="200" t="s">
        <v>88</v>
      </c>
      <c r="G49" s="201">
        <v>1775.86</v>
      </c>
      <c r="H49" s="201">
        <v>1792.9</v>
      </c>
      <c r="I49" s="202">
        <f t="shared" si="1"/>
        <v>17.040000000000191</v>
      </c>
      <c r="J49" s="201">
        <v>1666.79</v>
      </c>
      <c r="K49" s="199">
        <v>44545.936111111114</v>
      </c>
      <c r="L49" s="201">
        <v>1778.83</v>
      </c>
      <c r="M49" s="203">
        <f t="shared" si="2"/>
        <v>-2.97</v>
      </c>
      <c r="N49" s="204">
        <f t="shared" si="3"/>
        <v>-0.17</v>
      </c>
      <c r="O49" s="205">
        <f t="shared" si="4"/>
        <v>0</v>
      </c>
      <c r="P49" s="206">
        <f t="shared" si="5"/>
        <v>0</v>
      </c>
      <c r="Q49" s="206">
        <f t="shared" si="6"/>
        <v>-0.17</v>
      </c>
      <c r="R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282160</v>
      </c>
      <c r="T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49" s="208">
        <f ca="1">IF(Tabla33610673[[#This Row],[Equity]]&lt;Tabla33610673[[#This Row],[Equity Peak]],(Tabla33610673[[#This Row],[Equity Peak]]-Tabla33610673[[#This Row],[Equity]])/Tabla33610673[[#This Row],[Equity Peak]],"")</f>
        <v>1.2390619530976549E-2</v>
      </c>
      <c r="V49" s="209">
        <f t="shared" si="7"/>
        <v>0</v>
      </c>
      <c r="W49" s="209">
        <f t="shared" si="8"/>
        <v>0</v>
      </c>
      <c r="X49" s="209">
        <f t="shared" si="9"/>
        <v>-0.17</v>
      </c>
      <c r="Y49" s="209">
        <f t="shared" si="10"/>
        <v>0</v>
      </c>
      <c r="Z49" s="209">
        <f t="shared" si="11"/>
        <v>0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1.2277777777781012</v>
      </c>
      <c r="AE49" s="210">
        <f t="shared" si="16"/>
        <v>0</v>
      </c>
      <c r="AF49" s="210">
        <f t="shared" si="17"/>
        <v>1.2277777777781012</v>
      </c>
      <c r="AG49" s="210">
        <f t="shared" si="18"/>
        <v>0</v>
      </c>
    </row>
    <row r="50" spans="2:33" ht="15" customHeight="1" x14ac:dyDescent="0.3">
      <c r="B50" s="196" t="s">
        <v>7</v>
      </c>
      <c r="C50" s="197" t="s">
        <v>13</v>
      </c>
      <c r="D50" s="198" t="str">
        <f t="shared" si="0"/>
        <v>C</v>
      </c>
      <c r="E50" s="199">
        <v>44544.333333333336</v>
      </c>
      <c r="F50" s="200" t="s">
        <v>122</v>
      </c>
      <c r="G50" s="201">
        <v>0.71060000000000001</v>
      </c>
      <c r="H50" s="201">
        <v>0.71406000000000003</v>
      </c>
      <c r="I50" s="202">
        <f t="shared" si="1"/>
        <v>3.4600000000000186E-3</v>
      </c>
      <c r="J50" s="201">
        <v>0.69216999999999995</v>
      </c>
      <c r="K50" s="199">
        <v>44545.62222222222</v>
      </c>
      <c r="L50" s="201">
        <v>0.71406000000000003</v>
      </c>
      <c r="M50" s="203">
        <f t="shared" si="2"/>
        <v>-3.5000000000000001E-3</v>
      </c>
      <c r="N50" s="204">
        <f t="shared" si="3"/>
        <v>-1.01</v>
      </c>
      <c r="O50" s="205">
        <f t="shared" si="4"/>
        <v>0</v>
      </c>
      <c r="P50" s="206">
        <f t="shared" si="5"/>
        <v>0</v>
      </c>
      <c r="Q50" s="206">
        <f t="shared" si="6"/>
        <v>-1.01</v>
      </c>
      <c r="R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282330</v>
      </c>
      <c r="T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0" s="208">
        <f ca="1">IF(Tabla33610673[[#This Row],[Equity]]&lt;Tabla33610673[[#This Row],[Equity Peak]],(Tabla33610673[[#This Row],[Equity Peak]]-Tabla33610673[[#This Row],[Equity]])/Tabla33610673[[#This Row],[Equity Peak]],"")</f>
        <v>1.1795589779488974E-2</v>
      </c>
      <c r="V50" s="209">
        <f t="shared" si="7"/>
        <v>-1.01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0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1.288888888884685</v>
      </c>
      <c r="AE50" s="210">
        <f t="shared" si="16"/>
        <v>0</v>
      </c>
      <c r="AF50" s="210">
        <f t="shared" si="17"/>
        <v>1.288888888884685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15</v>
      </c>
      <c r="D51" s="198" t="str">
        <f t="shared" si="0"/>
        <v>C</v>
      </c>
      <c r="E51" s="199">
        <v>44537.541666666664</v>
      </c>
      <c r="F51" s="200" t="s">
        <v>95</v>
      </c>
      <c r="G51" s="201">
        <v>35588.28</v>
      </c>
      <c r="H51" s="201">
        <v>35334.74</v>
      </c>
      <c r="I51" s="202">
        <f t="shared" si="1"/>
        <v>253.54000000000087</v>
      </c>
      <c r="J51" s="201">
        <v>36602.42</v>
      </c>
      <c r="K51" s="199">
        <v>44544.745833333334</v>
      </c>
      <c r="L51" s="201">
        <v>35505.58</v>
      </c>
      <c r="M51" s="203">
        <f t="shared" si="2"/>
        <v>-82.7</v>
      </c>
      <c r="N51" s="204">
        <f t="shared" si="3"/>
        <v>-0.33</v>
      </c>
      <c r="O51" s="205">
        <f t="shared" si="4"/>
        <v>0</v>
      </c>
      <c r="P51" s="206">
        <f t="shared" si="5"/>
        <v>0</v>
      </c>
      <c r="Q51" s="206">
        <f t="shared" si="6"/>
        <v>-0.33</v>
      </c>
      <c r="R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283340</v>
      </c>
      <c r="T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1" s="208">
        <f ca="1">IF(Tabla33610673[[#This Row],[Equity]]&lt;Tabla33610673[[#This Row],[Equity Peak]],(Tabla33610673[[#This Row],[Equity Peak]]-Tabla33610673[[#This Row],[Equity]])/Tabla33610673[[#This Row],[Equity Peak]],"")</f>
        <v>8.2604130206510324E-3</v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-0.33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7.2041666666700621</v>
      </c>
      <c r="AE51" s="210">
        <f t="shared" si="16"/>
        <v>0</v>
      </c>
      <c r="AF51" s="210">
        <f t="shared" si="17"/>
        <v>7.2041666666700621</v>
      </c>
      <c r="AG51" s="210">
        <f t="shared" si="18"/>
        <v>0</v>
      </c>
    </row>
    <row r="52" spans="2:33" ht="15" customHeight="1" x14ac:dyDescent="0.3">
      <c r="B52" s="196" t="s">
        <v>5</v>
      </c>
      <c r="C52" s="197" t="s">
        <v>15</v>
      </c>
      <c r="D52" s="198" t="str">
        <f t="shared" si="0"/>
        <v>C</v>
      </c>
      <c r="E52" s="199">
        <v>44538.708333333336</v>
      </c>
      <c r="F52" s="200" t="s">
        <v>93</v>
      </c>
      <c r="G52" s="201">
        <v>4686.42</v>
      </c>
      <c r="H52" s="201">
        <v>4643.1899999999996</v>
      </c>
      <c r="I52" s="202">
        <f t="shared" si="1"/>
        <v>43.230000000000473</v>
      </c>
      <c r="J52" s="201">
        <v>4801.71</v>
      </c>
      <c r="K52" s="199">
        <v>44544.494444444441</v>
      </c>
      <c r="L52" s="201">
        <v>4664.3599999999997</v>
      </c>
      <c r="M52" s="203">
        <f t="shared" si="2"/>
        <v>-22.06</v>
      </c>
      <c r="N52" s="204">
        <f t="shared" si="3"/>
        <v>-0.51</v>
      </c>
      <c r="O52" s="205">
        <f t="shared" si="4"/>
        <v>0</v>
      </c>
      <c r="P52" s="206">
        <f t="shared" si="5"/>
        <v>0</v>
      </c>
      <c r="Q52" s="206">
        <f t="shared" si="6"/>
        <v>-0.51</v>
      </c>
      <c r="R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283670</v>
      </c>
      <c r="T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2" s="208">
        <f ca="1">IF(Tabla33610673[[#This Row],[Equity]]&lt;Tabla33610673[[#This Row],[Equity Peak]],(Tabla33610673[[#This Row],[Equity Peak]]-Tabla33610673[[#This Row],[Equity]])/Tabla33610673[[#This Row],[Equity Peak]],"")</f>
        <v>7.1053552677633885E-3</v>
      </c>
      <c r="V52" s="209">
        <f t="shared" si="7"/>
        <v>0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-0.51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5.7861111111051287</v>
      </c>
      <c r="AE52" s="210">
        <f t="shared" si="16"/>
        <v>0</v>
      </c>
      <c r="AF52" s="210">
        <f t="shared" si="17"/>
        <v>5.7861111111051287</v>
      </c>
      <c r="AG52" s="210">
        <f t="shared" si="18"/>
        <v>0</v>
      </c>
    </row>
    <row r="53" spans="2:33" ht="15" customHeight="1" x14ac:dyDescent="0.3">
      <c r="B53" s="196" t="s">
        <v>7</v>
      </c>
      <c r="C53" s="197" t="s">
        <v>15</v>
      </c>
      <c r="D53" s="198" t="str">
        <f t="shared" si="0"/>
        <v>C</v>
      </c>
      <c r="E53" s="199">
        <v>44544.166666666664</v>
      </c>
      <c r="F53" s="200" t="s">
        <v>121</v>
      </c>
      <c r="G53" s="201">
        <v>1.5863799999999999</v>
      </c>
      <c r="H53" s="201">
        <v>1.5797099999999999</v>
      </c>
      <c r="I53" s="202">
        <f t="shared" si="1"/>
        <v>6.6699999999999537E-3</v>
      </c>
      <c r="J53" s="201">
        <v>1.6574899999999999</v>
      </c>
      <c r="K53" s="199">
        <v>44544.424305555556</v>
      </c>
      <c r="L53" s="201">
        <v>1.58016</v>
      </c>
      <c r="M53" s="203">
        <f t="shared" si="2"/>
        <v>-6.1999999999999998E-3</v>
      </c>
      <c r="N53" s="204">
        <f t="shared" si="3"/>
        <v>-0.93</v>
      </c>
      <c r="O53" s="205">
        <f t="shared" si="4"/>
        <v>0</v>
      </c>
      <c r="P53" s="206">
        <f t="shared" si="5"/>
        <v>0</v>
      </c>
      <c r="Q53" s="206">
        <f t="shared" si="6"/>
        <v>-0.93</v>
      </c>
      <c r="R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284180</v>
      </c>
      <c r="T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3" s="208">
        <f ca="1">IF(Tabla33610673[[#This Row],[Equity]]&lt;Tabla33610673[[#This Row],[Equity Peak]],(Tabla33610673[[#This Row],[Equity Peak]]-Tabla33610673[[#This Row],[Equity]])/Tabla33610673[[#This Row],[Equity Peak]],"")</f>
        <v>5.320266013300665E-3</v>
      </c>
      <c r="V53" s="209">
        <f t="shared" si="7"/>
        <v>-0.93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0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0.25763888889196096</v>
      </c>
      <c r="AE53" s="210">
        <f t="shared" si="16"/>
        <v>0</v>
      </c>
      <c r="AF53" s="210">
        <f t="shared" si="17"/>
        <v>0.25763888889196096</v>
      </c>
      <c r="AG53" s="210">
        <f t="shared" si="18"/>
        <v>0</v>
      </c>
    </row>
    <row r="54" spans="2:33" ht="15" customHeight="1" x14ac:dyDescent="0.3">
      <c r="B54" s="196" t="s">
        <v>5</v>
      </c>
      <c r="C54" s="197" t="s">
        <v>15</v>
      </c>
      <c r="D54" s="198" t="str">
        <f t="shared" si="0"/>
        <v>C</v>
      </c>
      <c r="E54" s="199">
        <v>44539.506944444445</v>
      </c>
      <c r="F54" s="200" t="s">
        <v>90</v>
      </c>
      <c r="G54" s="201">
        <v>7373.1</v>
      </c>
      <c r="H54" s="201">
        <v>7316.64</v>
      </c>
      <c r="I54" s="202">
        <f t="shared" si="1"/>
        <v>56.460000000000036</v>
      </c>
      <c r="J54" s="201">
        <v>8125.96</v>
      </c>
      <c r="K54" s="199">
        <v>44543.727777777778</v>
      </c>
      <c r="L54" s="201">
        <v>7346.07</v>
      </c>
      <c r="M54" s="203">
        <f t="shared" si="2"/>
        <v>-27.03</v>
      </c>
      <c r="N54" s="204">
        <f t="shared" si="3"/>
        <v>-0.48</v>
      </c>
      <c r="O54" s="205">
        <f t="shared" si="4"/>
        <v>0</v>
      </c>
      <c r="P54" s="206">
        <f t="shared" si="5"/>
        <v>0</v>
      </c>
      <c r="Q54" s="206">
        <f t="shared" si="6"/>
        <v>-0.48</v>
      </c>
      <c r="R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285110</v>
      </c>
      <c r="T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4" s="208">
        <f ca="1">IF(Tabla33610673[[#This Row],[Equity]]&lt;Tabla33610673[[#This Row],[Equity Peak]],(Tabla33610673[[#This Row],[Equity Peak]]-Tabla33610673[[#This Row],[Equity]])/Tabla33610673[[#This Row],[Equity Peak]],"")</f>
        <v>2.0651032551627581E-3</v>
      </c>
      <c r="V54" s="209">
        <f t="shared" si="7"/>
        <v>0</v>
      </c>
      <c r="W54" s="209">
        <f t="shared" si="8"/>
        <v>0</v>
      </c>
      <c r="X54" s="209">
        <f t="shared" si="9"/>
        <v>0</v>
      </c>
      <c r="Y54" s="209">
        <f t="shared" si="10"/>
        <v>0</v>
      </c>
      <c r="Z54" s="209">
        <f t="shared" si="11"/>
        <v>-0.48</v>
      </c>
      <c r="AA54" s="205">
        <f t="shared" si="12"/>
        <v>0</v>
      </c>
      <c r="AB54" s="209">
        <f t="shared" si="13"/>
        <v>0</v>
      </c>
      <c r="AC54" s="205">
        <f t="shared" si="14"/>
        <v>0</v>
      </c>
      <c r="AD54" s="210">
        <f t="shared" si="15"/>
        <v>4.2208333333328483</v>
      </c>
      <c r="AE54" s="210">
        <f t="shared" si="16"/>
        <v>0</v>
      </c>
      <c r="AF54" s="210">
        <f t="shared" si="17"/>
        <v>4.2208333333328483</v>
      </c>
      <c r="AG54" s="210">
        <f t="shared" si="18"/>
        <v>0</v>
      </c>
    </row>
    <row r="55" spans="2:33" ht="15" customHeight="1" x14ac:dyDescent="0.3">
      <c r="B55" s="196" t="s">
        <v>19</v>
      </c>
      <c r="C55" s="197" t="s">
        <v>13</v>
      </c>
      <c r="D55" s="198" t="str">
        <f t="shared" si="0"/>
        <v>C</v>
      </c>
      <c r="E55" s="199">
        <v>44523.708333333336</v>
      </c>
      <c r="F55" s="200" t="s">
        <v>89</v>
      </c>
      <c r="G55" s="201">
        <v>23.529</v>
      </c>
      <c r="H55" s="201">
        <v>24.111999999999998</v>
      </c>
      <c r="I55" s="202">
        <f t="shared" si="1"/>
        <v>0.58299999999999841</v>
      </c>
      <c r="J55" s="201">
        <v>20.73</v>
      </c>
      <c r="K55" s="199">
        <v>44543.123611111114</v>
      </c>
      <c r="L55" s="201">
        <v>22.295999999999999</v>
      </c>
      <c r="M55" s="203">
        <f t="shared" si="2"/>
        <v>1.2330000000000001</v>
      </c>
      <c r="N55" s="204">
        <f t="shared" si="3"/>
        <v>2.11</v>
      </c>
      <c r="O55" s="205">
        <f t="shared" si="4"/>
        <v>0</v>
      </c>
      <c r="P55" s="206">
        <f t="shared" si="5"/>
        <v>2.11</v>
      </c>
      <c r="Q55" s="206">
        <f t="shared" si="6"/>
        <v>0</v>
      </c>
      <c r="R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285590</v>
      </c>
      <c r="T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5" s="208">
        <f ca="1">IF(Tabla33610673[[#This Row],[Equity]]&lt;Tabla33610673[[#This Row],[Equity Peak]],(Tabla33610673[[#This Row],[Equity Peak]]-Tabla33610673[[#This Row],[Equity]])/Tabla33610673[[#This Row],[Equity Peak]],"")</f>
        <v>3.8501925096254811E-4</v>
      </c>
      <c r="V55" s="209">
        <f t="shared" si="7"/>
        <v>0</v>
      </c>
      <c r="W55" s="209">
        <f t="shared" si="8"/>
        <v>0</v>
      </c>
      <c r="X55" s="209">
        <f t="shared" si="9"/>
        <v>2.11</v>
      </c>
      <c r="Y55" s="209">
        <f t="shared" si="10"/>
        <v>0</v>
      </c>
      <c r="Z55" s="209">
        <f t="shared" si="11"/>
        <v>0</v>
      </c>
      <c r="AA55" s="205">
        <f t="shared" si="12"/>
        <v>0</v>
      </c>
      <c r="AB55" s="209">
        <f t="shared" si="13"/>
        <v>0</v>
      </c>
      <c r="AC55" s="205">
        <f t="shared" si="14"/>
        <v>0</v>
      </c>
      <c r="AD55" s="210">
        <f t="shared" si="15"/>
        <v>19.415277777778101</v>
      </c>
      <c r="AE55" s="210">
        <f t="shared" si="16"/>
        <v>19.415277777778101</v>
      </c>
      <c r="AF55" s="210">
        <f t="shared" si="17"/>
        <v>0</v>
      </c>
      <c r="AG55" s="210">
        <f t="shared" si="18"/>
        <v>0</v>
      </c>
    </row>
    <row r="56" spans="2:33" ht="15" customHeight="1" x14ac:dyDescent="0.3">
      <c r="B56" s="196" t="s">
        <v>84</v>
      </c>
      <c r="C56" s="197" t="s">
        <v>13</v>
      </c>
      <c r="D56" s="198" t="str">
        <f t="shared" si="0"/>
        <v>C</v>
      </c>
      <c r="E56" s="199">
        <v>44539.833333333336</v>
      </c>
      <c r="F56" s="200" t="s">
        <v>82</v>
      </c>
      <c r="G56" s="201">
        <v>4165.6499999999996</v>
      </c>
      <c r="H56" s="201">
        <v>4319.9399999999996</v>
      </c>
      <c r="I56" s="202">
        <f t="shared" si="1"/>
        <v>154.28999999999996</v>
      </c>
      <c r="J56" s="201">
        <v>1285.6500000000001</v>
      </c>
      <c r="K56" s="199">
        <v>44542.933333333334</v>
      </c>
      <c r="L56" s="201">
        <v>4175.6499999999996</v>
      </c>
      <c r="M56" s="203">
        <f t="shared" si="2"/>
        <v>-10</v>
      </c>
      <c r="N56" s="204">
        <f t="shared" si="3"/>
        <v>-0.06</v>
      </c>
      <c r="O56" s="205">
        <f t="shared" si="4"/>
        <v>0</v>
      </c>
      <c r="P56" s="206">
        <f t="shared" si="5"/>
        <v>0</v>
      </c>
      <c r="Q56" s="206">
        <f t="shared" si="6"/>
        <v>-0.06</v>
      </c>
      <c r="R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283480</v>
      </c>
      <c r="T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6" s="208">
        <f ca="1">IF(Tabla33610673[[#This Row],[Equity]]&lt;Tabla33610673[[#This Row],[Equity Peak]],(Tabla33610673[[#This Row],[Equity Peak]]-Tabla33610673[[#This Row],[Equity]])/Tabla33610673[[#This Row],[Equity Peak]],"")</f>
        <v>7.7703885194259715E-3</v>
      </c>
      <c r="V56" s="209">
        <f t="shared" si="7"/>
        <v>0</v>
      </c>
      <c r="W56" s="209">
        <f t="shared" si="8"/>
        <v>0</v>
      </c>
      <c r="X56" s="209">
        <f t="shared" si="9"/>
        <v>0</v>
      </c>
      <c r="Y56" s="209">
        <f t="shared" si="10"/>
        <v>0</v>
      </c>
      <c r="Z56" s="209">
        <f t="shared" si="11"/>
        <v>0</v>
      </c>
      <c r="AA56" s="205">
        <f t="shared" si="12"/>
        <v>0</v>
      </c>
      <c r="AB56" s="209">
        <f t="shared" si="13"/>
        <v>-0.06</v>
      </c>
      <c r="AC56" s="205">
        <f t="shared" si="14"/>
        <v>0</v>
      </c>
      <c r="AD56" s="210">
        <f t="shared" si="15"/>
        <v>3.0999999999985448</v>
      </c>
      <c r="AE56" s="210">
        <f t="shared" si="16"/>
        <v>0</v>
      </c>
      <c r="AF56" s="210">
        <f t="shared" si="17"/>
        <v>3.0999999999985448</v>
      </c>
      <c r="AG56" s="210">
        <f t="shared" si="18"/>
        <v>0</v>
      </c>
    </row>
    <row r="57" spans="2:33" ht="15" customHeight="1" x14ac:dyDescent="0.3">
      <c r="B57" s="196" t="s">
        <v>5</v>
      </c>
      <c r="C57" s="197" t="s">
        <v>15</v>
      </c>
      <c r="D57" s="198" t="str">
        <f t="shared" si="0"/>
        <v>C</v>
      </c>
      <c r="E57" s="199">
        <v>44536.791666666664</v>
      </c>
      <c r="F57" s="200" t="s">
        <v>94</v>
      </c>
      <c r="G57" s="201">
        <v>7221.77</v>
      </c>
      <c r="H57" s="201">
        <v>7123.92</v>
      </c>
      <c r="I57" s="202">
        <f t="shared" si="1"/>
        <v>97.850000000000364</v>
      </c>
      <c r="J57" s="201">
        <v>7711.01</v>
      </c>
      <c r="K57" s="199">
        <v>44540.321527777778</v>
      </c>
      <c r="L57" s="201">
        <v>7293.81</v>
      </c>
      <c r="M57" s="203">
        <f t="shared" si="2"/>
        <v>72.040000000000006</v>
      </c>
      <c r="N57" s="204">
        <f t="shared" si="3"/>
        <v>0.74</v>
      </c>
      <c r="O57" s="205">
        <f t="shared" si="4"/>
        <v>0</v>
      </c>
      <c r="P57" s="206">
        <f t="shared" si="5"/>
        <v>0.74</v>
      </c>
      <c r="Q57" s="206">
        <f t="shared" si="6"/>
        <v>0</v>
      </c>
      <c r="R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283540</v>
      </c>
      <c r="T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7" s="208">
        <f ca="1">IF(Tabla33610673[[#This Row],[Equity]]&lt;Tabla33610673[[#This Row],[Equity Peak]],(Tabla33610673[[#This Row],[Equity Peak]]-Tabla33610673[[#This Row],[Equity]])/Tabla33610673[[#This Row],[Equity Peak]],"")</f>
        <v>7.5603780189009455E-3</v>
      </c>
      <c r="V57" s="209">
        <f t="shared" si="7"/>
        <v>0</v>
      </c>
      <c r="W57" s="209">
        <f t="shared" si="8"/>
        <v>0</v>
      </c>
      <c r="X57" s="209">
        <f t="shared" si="9"/>
        <v>0</v>
      </c>
      <c r="Y57" s="209">
        <f t="shared" si="10"/>
        <v>0</v>
      </c>
      <c r="Z57" s="209">
        <f t="shared" si="11"/>
        <v>0.74</v>
      </c>
      <c r="AA57" s="205">
        <f t="shared" si="12"/>
        <v>0</v>
      </c>
      <c r="AB57" s="209">
        <f t="shared" si="13"/>
        <v>0</v>
      </c>
      <c r="AC57" s="205">
        <f t="shared" si="14"/>
        <v>0</v>
      </c>
      <c r="AD57" s="210">
        <f t="shared" si="15"/>
        <v>3.5298611111138598</v>
      </c>
      <c r="AE57" s="210">
        <f t="shared" si="16"/>
        <v>3.5298611111138598</v>
      </c>
      <c r="AF57" s="210">
        <f t="shared" si="17"/>
        <v>0</v>
      </c>
      <c r="AG57" s="210">
        <f t="shared" si="18"/>
        <v>0</v>
      </c>
    </row>
    <row r="58" spans="2:33" ht="15" customHeight="1" x14ac:dyDescent="0.3">
      <c r="B58" s="196" t="s">
        <v>5</v>
      </c>
      <c r="C58" s="197" t="s">
        <v>15</v>
      </c>
      <c r="D58" s="198" t="str">
        <f t="shared" si="0"/>
        <v>C</v>
      </c>
      <c r="E58" s="199">
        <v>44538.208333333336</v>
      </c>
      <c r="F58" s="200" t="s">
        <v>92</v>
      </c>
      <c r="G58" s="201">
        <v>16403.93</v>
      </c>
      <c r="H58" s="201">
        <v>16130.12</v>
      </c>
      <c r="I58" s="202">
        <f t="shared" si="1"/>
        <v>273.80999999999949</v>
      </c>
      <c r="J58" s="201">
        <v>18229.330000000002</v>
      </c>
      <c r="K58" s="199">
        <v>44539.963194444441</v>
      </c>
      <c r="L58" s="201">
        <v>16130.12</v>
      </c>
      <c r="M58" s="203">
        <f t="shared" si="2"/>
        <v>-273.81</v>
      </c>
      <c r="N58" s="204">
        <f t="shared" si="3"/>
        <v>-1</v>
      </c>
      <c r="O58" s="205">
        <f t="shared" si="4"/>
        <v>0</v>
      </c>
      <c r="P58" s="206">
        <f t="shared" si="5"/>
        <v>0</v>
      </c>
      <c r="Q58" s="206">
        <f t="shared" si="6"/>
        <v>-1</v>
      </c>
      <c r="R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282800</v>
      </c>
      <c r="T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8" s="208">
        <f ca="1">IF(Tabla33610673[[#This Row],[Equity]]&lt;Tabla33610673[[#This Row],[Equity Peak]],(Tabla33610673[[#This Row],[Equity Peak]]-Tabla33610673[[#This Row],[Equity]])/Tabla33610673[[#This Row],[Equity Peak]],"")</f>
        <v>1.0150507525376268E-2</v>
      </c>
      <c r="V58" s="209">
        <f t="shared" si="7"/>
        <v>0</v>
      </c>
      <c r="W58" s="209">
        <f t="shared" si="8"/>
        <v>0</v>
      </c>
      <c r="X58" s="209">
        <f t="shared" si="9"/>
        <v>0</v>
      </c>
      <c r="Y58" s="209">
        <f t="shared" si="10"/>
        <v>0</v>
      </c>
      <c r="Z58" s="209">
        <f t="shared" si="11"/>
        <v>-1</v>
      </c>
      <c r="AA58" s="205">
        <f t="shared" si="12"/>
        <v>0</v>
      </c>
      <c r="AB58" s="209">
        <f t="shared" si="13"/>
        <v>0</v>
      </c>
      <c r="AC58" s="205">
        <f t="shared" si="14"/>
        <v>0</v>
      </c>
      <c r="AD58" s="210">
        <f t="shared" si="15"/>
        <v>1.7548611111051287</v>
      </c>
      <c r="AE58" s="210">
        <f t="shared" si="16"/>
        <v>0</v>
      </c>
      <c r="AF58" s="210">
        <f t="shared" si="17"/>
        <v>1.7548611111051287</v>
      </c>
      <c r="AG58" s="210">
        <f t="shared" si="18"/>
        <v>0</v>
      </c>
    </row>
    <row r="59" spans="2:33" ht="15" customHeight="1" x14ac:dyDescent="0.3">
      <c r="B59" s="196" t="s">
        <v>84</v>
      </c>
      <c r="C59" s="197" t="s">
        <v>15</v>
      </c>
      <c r="D59" s="198" t="str">
        <f t="shared" si="0"/>
        <v>C</v>
      </c>
      <c r="E59" s="199">
        <v>44537.5</v>
      </c>
      <c r="F59" s="200" t="s">
        <v>82</v>
      </c>
      <c r="G59" s="201">
        <v>4401.3100000000004</v>
      </c>
      <c r="H59" s="201">
        <v>4212.34</v>
      </c>
      <c r="I59" s="202">
        <f t="shared" si="1"/>
        <v>188.97000000000025</v>
      </c>
      <c r="J59" s="201">
        <v>7928.81</v>
      </c>
      <c r="K59" s="199">
        <v>44539.693749999999</v>
      </c>
      <c r="L59" s="201">
        <v>4260.93</v>
      </c>
      <c r="M59" s="203">
        <f t="shared" si="2"/>
        <v>-140.38</v>
      </c>
      <c r="N59" s="204">
        <f t="shared" si="3"/>
        <v>-0.74</v>
      </c>
      <c r="O59" s="205">
        <f t="shared" si="4"/>
        <v>0</v>
      </c>
      <c r="P59" s="206">
        <f t="shared" si="5"/>
        <v>0</v>
      </c>
      <c r="Q59" s="206">
        <f t="shared" si="6"/>
        <v>-0.74</v>
      </c>
      <c r="R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283800</v>
      </c>
      <c r="T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59" s="208">
        <f ca="1">IF(Tabla33610673[[#This Row],[Equity]]&lt;Tabla33610673[[#This Row],[Equity Peak]],(Tabla33610673[[#This Row],[Equity Peak]]-Tabla33610673[[#This Row],[Equity]])/Tabla33610673[[#This Row],[Equity Peak]],"")</f>
        <v>6.6503325166258316E-3</v>
      </c>
      <c r="V59" s="209">
        <f t="shared" si="7"/>
        <v>0</v>
      </c>
      <c r="W59" s="209">
        <f t="shared" si="8"/>
        <v>0</v>
      </c>
      <c r="X59" s="209">
        <f t="shared" si="9"/>
        <v>0</v>
      </c>
      <c r="Y59" s="209">
        <f t="shared" si="10"/>
        <v>0</v>
      </c>
      <c r="Z59" s="209">
        <f t="shared" si="11"/>
        <v>0</v>
      </c>
      <c r="AA59" s="205">
        <f t="shared" si="12"/>
        <v>0</v>
      </c>
      <c r="AB59" s="209">
        <f t="shared" si="13"/>
        <v>-0.74</v>
      </c>
      <c r="AC59" s="205">
        <f t="shared" si="14"/>
        <v>0</v>
      </c>
      <c r="AD59" s="210">
        <f t="shared" si="15"/>
        <v>2.1937499999985448</v>
      </c>
      <c r="AE59" s="210">
        <f t="shared" si="16"/>
        <v>0</v>
      </c>
      <c r="AF59" s="210">
        <f t="shared" si="17"/>
        <v>2.1937499999985448</v>
      </c>
      <c r="AG59" s="210">
        <f t="shared" si="18"/>
        <v>0</v>
      </c>
    </row>
    <row r="60" spans="2:33" ht="15" customHeight="1" x14ac:dyDescent="0.3">
      <c r="B60" s="196" t="s">
        <v>7</v>
      </c>
      <c r="C60" s="197" t="s">
        <v>15</v>
      </c>
      <c r="D60" s="198" t="str">
        <f t="shared" si="0"/>
        <v>C</v>
      </c>
      <c r="E60" s="199">
        <v>44538.833333333336</v>
      </c>
      <c r="F60" s="200" t="s">
        <v>114</v>
      </c>
      <c r="G60" s="201">
        <v>113.663</v>
      </c>
      <c r="H60" s="201">
        <v>112.81100000000001</v>
      </c>
      <c r="I60" s="202">
        <f t="shared" si="1"/>
        <v>0.85199999999998965</v>
      </c>
      <c r="J60" s="201">
        <v>117.639</v>
      </c>
      <c r="K60" s="199">
        <v>44539.640972222223</v>
      </c>
      <c r="L60" s="201">
        <v>113.297</v>
      </c>
      <c r="M60" s="203">
        <f t="shared" si="2"/>
        <v>-0.36599999999999999</v>
      </c>
      <c r="N60" s="204">
        <f t="shared" si="3"/>
        <v>-0.43</v>
      </c>
      <c r="O60" s="205">
        <f t="shared" si="4"/>
        <v>0</v>
      </c>
      <c r="P60" s="206">
        <f t="shared" si="5"/>
        <v>0</v>
      </c>
      <c r="Q60" s="206">
        <f t="shared" si="6"/>
        <v>-0.43</v>
      </c>
      <c r="R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284540</v>
      </c>
      <c r="T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60" s="208">
        <f ca="1">IF(Tabla33610673[[#This Row],[Equity]]&lt;Tabla33610673[[#This Row],[Equity Peak]],(Tabla33610673[[#This Row],[Equity Peak]]-Tabla33610673[[#This Row],[Equity]])/Tabla33610673[[#This Row],[Equity Peak]],"")</f>
        <v>4.0602030101505072E-3</v>
      </c>
      <c r="V60" s="209">
        <f t="shared" si="7"/>
        <v>-0.43</v>
      </c>
      <c r="W60" s="209">
        <f t="shared" si="8"/>
        <v>0</v>
      </c>
      <c r="X60" s="209">
        <f t="shared" si="9"/>
        <v>0</v>
      </c>
      <c r="Y60" s="209">
        <f t="shared" si="10"/>
        <v>0</v>
      </c>
      <c r="Z60" s="209">
        <f t="shared" si="11"/>
        <v>0</v>
      </c>
      <c r="AA60" s="205">
        <f t="shared" si="12"/>
        <v>0</v>
      </c>
      <c r="AB60" s="209">
        <f t="shared" si="13"/>
        <v>0</v>
      </c>
      <c r="AC60" s="205">
        <f t="shared" si="14"/>
        <v>0</v>
      </c>
      <c r="AD60" s="210">
        <f t="shared" si="15"/>
        <v>0.80763888888759539</v>
      </c>
      <c r="AE60" s="210">
        <f t="shared" si="16"/>
        <v>0</v>
      </c>
      <c r="AF60" s="210">
        <f t="shared" si="17"/>
        <v>0.80763888888759539</v>
      </c>
      <c r="AG60" s="210">
        <f t="shared" si="18"/>
        <v>0</v>
      </c>
    </row>
    <row r="61" spans="2:33" ht="15" customHeight="1" x14ac:dyDescent="0.3">
      <c r="B61" s="196" t="s">
        <v>5</v>
      </c>
      <c r="C61" s="197" t="s">
        <v>13</v>
      </c>
      <c r="D61" s="198" t="str">
        <f t="shared" si="0"/>
        <v>C</v>
      </c>
      <c r="E61" s="199">
        <v>44526.427083333336</v>
      </c>
      <c r="F61" s="200" t="s">
        <v>91</v>
      </c>
      <c r="G61" s="201">
        <v>15447.9</v>
      </c>
      <c r="H61" s="201">
        <v>15843.36</v>
      </c>
      <c r="I61" s="202">
        <f t="shared" si="1"/>
        <v>395.46000000000095</v>
      </c>
      <c r="J61" s="201">
        <v>13866.05</v>
      </c>
      <c r="K61" s="199">
        <v>44537.70208333333</v>
      </c>
      <c r="L61" s="201">
        <v>15737.79</v>
      </c>
      <c r="M61" s="203">
        <f t="shared" si="2"/>
        <v>-289.89</v>
      </c>
      <c r="N61" s="204">
        <f t="shared" si="3"/>
        <v>-0.73</v>
      </c>
      <c r="O61" s="205">
        <f t="shared" si="4"/>
        <v>0</v>
      </c>
      <c r="P61" s="206">
        <f t="shared" si="5"/>
        <v>0</v>
      </c>
      <c r="Q61" s="206">
        <f t="shared" si="6"/>
        <v>-0.73</v>
      </c>
      <c r="R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284970</v>
      </c>
      <c r="T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61" s="208">
        <f ca="1">IF(Tabla33610673[[#This Row],[Equity]]&lt;Tabla33610673[[#This Row],[Equity Peak]],(Tabla33610673[[#This Row],[Equity Peak]]-Tabla33610673[[#This Row],[Equity]])/Tabla33610673[[#This Row],[Equity Peak]],"")</f>
        <v>2.5551277563878195E-3</v>
      </c>
      <c r="V61" s="209">
        <f t="shared" si="7"/>
        <v>0</v>
      </c>
      <c r="W61" s="209">
        <f t="shared" si="8"/>
        <v>0</v>
      </c>
      <c r="X61" s="209">
        <f t="shared" si="9"/>
        <v>0</v>
      </c>
      <c r="Y61" s="209">
        <f t="shared" si="10"/>
        <v>0</v>
      </c>
      <c r="Z61" s="209">
        <f t="shared" si="11"/>
        <v>-0.73</v>
      </c>
      <c r="AA61" s="205">
        <f t="shared" si="12"/>
        <v>0</v>
      </c>
      <c r="AB61" s="209">
        <f t="shared" si="13"/>
        <v>0</v>
      </c>
      <c r="AC61" s="205">
        <f t="shared" si="14"/>
        <v>0</v>
      </c>
      <c r="AD61" s="210">
        <f t="shared" si="15"/>
        <v>11.274999999994179</v>
      </c>
      <c r="AE61" s="210">
        <f t="shared" si="16"/>
        <v>0</v>
      </c>
      <c r="AF61" s="210">
        <f t="shared" si="17"/>
        <v>11.274999999994179</v>
      </c>
      <c r="AG61" s="210">
        <f t="shared" si="18"/>
        <v>0</v>
      </c>
    </row>
    <row r="62" spans="2:33" ht="15" customHeight="1" x14ac:dyDescent="0.3">
      <c r="B62" s="196" t="s">
        <v>19</v>
      </c>
      <c r="C62" s="197" t="s">
        <v>13</v>
      </c>
      <c r="D62" s="198" t="str">
        <f t="shared" si="0"/>
        <v>C</v>
      </c>
      <c r="E62" s="199">
        <v>44526.458333333336</v>
      </c>
      <c r="F62" s="200" t="s">
        <v>108</v>
      </c>
      <c r="G62" s="201">
        <v>74.691999999999993</v>
      </c>
      <c r="H62" s="201">
        <v>76.929000000000002</v>
      </c>
      <c r="I62" s="202">
        <f t="shared" si="1"/>
        <v>2.237000000000009</v>
      </c>
      <c r="J62" s="201">
        <v>47.847999999999999</v>
      </c>
      <c r="K62" s="199">
        <v>44537.522222222222</v>
      </c>
      <c r="L62" s="201">
        <v>72.069999999999993</v>
      </c>
      <c r="M62" s="203">
        <f t="shared" si="2"/>
        <v>2.6219999999999999</v>
      </c>
      <c r="N62" s="204">
        <f t="shared" si="3"/>
        <v>1.17</v>
      </c>
      <c r="O62" s="205">
        <f t="shared" si="4"/>
        <v>0</v>
      </c>
      <c r="P62" s="206">
        <f t="shared" si="5"/>
        <v>1.17</v>
      </c>
      <c r="Q62" s="206">
        <f t="shared" si="6"/>
        <v>0</v>
      </c>
      <c r="R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285700</v>
      </c>
      <c r="T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285700</v>
      </c>
      <c r="U6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62" s="209">
        <f t="shared" si="7"/>
        <v>0</v>
      </c>
      <c r="W62" s="209">
        <f t="shared" si="8"/>
        <v>0</v>
      </c>
      <c r="X62" s="209">
        <f t="shared" si="9"/>
        <v>1.17</v>
      </c>
      <c r="Y62" s="209">
        <f t="shared" si="10"/>
        <v>0</v>
      </c>
      <c r="Z62" s="209">
        <f t="shared" si="11"/>
        <v>0</v>
      </c>
      <c r="AA62" s="205">
        <f t="shared" si="12"/>
        <v>0</v>
      </c>
      <c r="AB62" s="209">
        <f t="shared" si="13"/>
        <v>0</v>
      </c>
      <c r="AC62" s="205">
        <f t="shared" si="14"/>
        <v>0</v>
      </c>
      <c r="AD62" s="210">
        <f t="shared" si="15"/>
        <v>11.06388888888614</v>
      </c>
      <c r="AE62" s="210">
        <f t="shared" si="16"/>
        <v>11.06388888888614</v>
      </c>
      <c r="AF62" s="210">
        <f t="shared" si="17"/>
        <v>0</v>
      </c>
      <c r="AG62" s="210">
        <f t="shared" si="18"/>
        <v>0</v>
      </c>
    </row>
    <row r="63" spans="2:33" ht="15" customHeight="1" x14ac:dyDescent="0.3">
      <c r="B63" s="196" t="s">
        <v>7</v>
      </c>
      <c r="C63" s="197" t="s">
        <v>13</v>
      </c>
      <c r="D63" s="198" t="str">
        <f t="shared" si="0"/>
        <v>C</v>
      </c>
      <c r="E63" s="199">
        <v>44526.333333333336</v>
      </c>
      <c r="F63" s="200" t="s">
        <v>123</v>
      </c>
      <c r="G63" s="201">
        <v>81.909000000000006</v>
      </c>
      <c r="H63" s="201">
        <v>82.311000000000007</v>
      </c>
      <c r="I63" s="202">
        <f t="shared" si="1"/>
        <v>0.40200000000000102</v>
      </c>
      <c r="J63" s="201">
        <v>74.935000000000002</v>
      </c>
      <c r="K63" s="199">
        <v>44536.972916666666</v>
      </c>
      <c r="L63" s="201">
        <v>80.037999999999997</v>
      </c>
      <c r="M63" s="203">
        <f t="shared" si="2"/>
        <v>1.871</v>
      </c>
      <c r="N63" s="204">
        <f t="shared" si="3"/>
        <v>4.6500000000000004</v>
      </c>
      <c r="O63" s="205">
        <f t="shared" si="4"/>
        <v>0</v>
      </c>
      <c r="P63" s="206">
        <f t="shared" si="5"/>
        <v>4.6500000000000004</v>
      </c>
      <c r="Q63" s="206">
        <f t="shared" si="6"/>
        <v>0</v>
      </c>
      <c r="R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284530</v>
      </c>
      <c r="T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284530</v>
      </c>
      <c r="U6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63" s="209">
        <f t="shared" si="7"/>
        <v>4.6500000000000004</v>
      </c>
      <c r="W63" s="209">
        <f t="shared" si="8"/>
        <v>0</v>
      </c>
      <c r="X63" s="209">
        <f t="shared" si="9"/>
        <v>0</v>
      </c>
      <c r="Y63" s="209">
        <f t="shared" si="10"/>
        <v>0</v>
      </c>
      <c r="Z63" s="209">
        <f t="shared" si="11"/>
        <v>0</v>
      </c>
      <c r="AA63" s="205">
        <f t="shared" si="12"/>
        <v>0</v>
      </c>
      <c r="AB63" s="209">
        <f t="shared" si="13"/>
        <v>0</v>
      </c>
      <c r="AC63" s="205">
        <f t="shared" si="14"/>
        <v>0</v>
      </c>
      <c r="AD63" s="210">
        <f t="shared" si="15"/>
        <v>10.639583333329938</v>
      </c>
      <c r="AE63" s="210">
        <f t="shared" si="16"/>
        <v>10.639583333329938</v>
      </c>
      <c r="AF63" s="210">
        <f t="shared" si="17"/>
        <v>0</v>
      </c>
      <c r="AG63" s="210">
        <f t="shared" si="18"/>
        <v>0</v>
      </c>
    </row>
    <row r="64" spans="2:33" ht="15" customHeight="1" x14ac:dyDescent="0.3">
      <c r="B64" s="196" t="s">
        <v>84</v>
      </c>
      <c r="C64" s="197" t="s">
        <v>13</v>
      </c>
      <c r="D64" s="198" t="str">
        <f t="shared" si="0"/>
        <v>C</v>
      </c>
      <c r="E64" s="199">
        <v>44534.166666666664</v>
      </c>
      <c r="F64" s="200" t="s">
        <v>82</v>
      </c>
      <c r="G64" s="201">
        <v>4170.6499999999996</v>
      </c>
      <c r="H64" s="201">
        <v>4387.75</v>
      </c>
      <c r="I64" s="202">
        <f t="shared" si="1"/>
        <v>217.10000000000036</v>
      </c>
      <c r="J64" s="201">
        <v>118.15</v>
      </c>
      <c r="K64" s="199">
        <v>44535.32916666667</v>
      </c>
      <c r="L64" s="201">
        <v>4212.51</v>
      </c>
      <c r="M64" s="203">
        <f t="shared" si="2"/>
        <v>-41.86</v>
      </c>
      <c r="N64" s="204">
        <f t="shared" si="3"/>
        <v>-0.19</v>
      </c>
      <c r="O64" s="205">
        <f t="shared" si="4"/>
        <v>0</v>
      </c>
      <c r="P64" s="206">
        <f t="shared" si="5"/>
        <v>0</v>
      </c>
      <c r="Q64" s="206">
        <f t="shared" si="6"/>
        <v>-0.19</v>
      </c>
      <c r="R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279880</v>
      </c>
      <c r="T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64" s="208">
        <f ca="1">IF(Tabla33610673[[#This Row],[Equity]]&lt;Tabla33610673[[#This Row],[Equity Peak]],(Tabla33610673[[#This Row],[Equity Peak]]-Tabla33610673[[#This Row],[Equity]])/Tabla33610673[[#This Row],[Equity Peak]],"")</f>
        <v>6.989533439772929E-3</v>
      </c>
      <c r="V64" s="209">
        <f t="shared" si="7"/>
        <v>0</v>
      </c>
      <c r="W64" s="209">
        <f t="shared" si="8"/>
        <v>0</v>
      </c>
      <c r="X64" s="209">
        <f t="shared" si="9"/>
        <v>0</v>
      </c>
      <c r="Y64" s="209">
        <f t="shared" si="10"/>
        <v>0</v>
      </c>
      <c r="Z64" s="209">
        <f t="shared" si="11"/>
        <v>0</v>
      </c>
      <c r="AA64" s="205">
        <f t="shared" si="12"/>
        <v>0</v>
      </c>
      <c r="AB64" s="209">
        <f t="shared" si="13"/>
        <v>-0.19</v>
      </c>
      <c r="AC64" s="205">
        <f t="shared" si="14"/>
        <v>0</v>
      </c>
      <c r="AD64" s="210">
        <f t="shared" si="15"/>
        <v>1.1625000000058208</v>
      </c>
      <c r="AE64" s="210">
        <f t="shared" si="16"/>
        <v>0</v>
      </c>
      <c r="AF64" s="210">
        <f t="shared" si="17"/>
        <v>1.1625000000058208</v>
      </c>
      <c r="AG64" s="210">
        <f t="shared" si="18"/>
        <v>0</v>
      </c>
    </row>
    <row r="65" spans="2:33" ht="15" customHeight="1" x14ac:dyDescent="0.3">
      <c r="B65" s="196" t="s">
        <v>7</v>
      </c>
      <c r="C65" s="197" t="s">
        <v>13</v>
      </c>
      <c r="D65" s="198" t="str">
        <f t="shared" si="0"/>
        <v>C</v>
      </c>
      <c r="E65" s="199">
        <v>44526.166666666664</v>
      </c>
      <c r="F65" s="200" t="s">
        <v>122</v>
      </c>
      <c r="G65" s="201">
        <v>0.71562000000000003</v>
      </c>
      <c r="H65" s="201">
        <v>0.71845999999999999</v>
      </c>
      <c r="I65" s="202">
        <f t="shared" si="1"/>
        <v>2.8399999999999537E-3</v>
      </c>
      <c r="J65" s="201">
        <v>0.70045000000000002</v>
      </c>
      <c r="K65" s="199">
        <v>44533.888888888891</v>
      </c>
      <c r="L65" s="201">
        <v>0.70045000000000002</v>
      </c>
      <c r="M65" s="203">
        <f t="shared" si="2"/>
        <v>1.52E-2</v>
      </c>
      <c r="N65" s="204">
        <f t="shared" si="3"/>
        <v>5.35</v>
      </c>
      <c r="O65" s="205">
        <f t="shared" si="4"/>
        <v>0</v>
      </c>
      <c r="P65" s="206">
        <f t="shared" si="5"/>
        <v>5.35</v>
      </c>
      <c r="Q65" s="206">
        <f t="shared" si="6"/>
        <v>0</v>
      </c>
      <c r="R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280070</v>
      </c>
      <c r="T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65" s="208">
        <f ca="1">IF(Tabla33610673[[#This Row],[Equity]]&lt;Tabla33610673[[#This Row],[Equity Peak]],(Tabla33610673[[#This Row],[Equity Peak]]-Tabla33610673[[#This Row],[Equity]])/Tabla33610673[[#This Row],[Equity Peak]],"")</f>
        <v>6.3154160014191945E-3</v>
      </c>
      <c r="V65" s="209">
        <f t="shared" si="7"/>
        <v>5.35</v>
      </c>
      <c r="W65" s="209">
        <f t="shared" si="8"/>
        <v>0</v>
      </c>
      <c r="X65" s="209">
        <f t="shared" si="9"/>
        <v>0</v>
      </c>
      <c r="Y65" s="209">
        <f t="shared" si="10"/>
        <v>0</v>
      </c>
      <c r="Z65" s="209">
        <f t="shared" si="11"/>
        <v>0</v>
      </c>
      <c r="AA65" s="205">
        <f t="shared" si="12"/>
        <v>0</v>
      </c>
      <c r="AB65" s="209">
        <f t="shared" si="13"/>
        <v>0</v>
      </c>
      <c r="AC65" s="205">
        <f t="shared" si="14"/>
        <v>0</v>
      </c>
      <c r="AD65" s="210">
        <f t="shared" si="15"/>
        <v>7.7222222222262644</v>
      </c>
      <c r="AE65" s="210">
        <f t="shared" si="16"/>
        <v>7.7222222222262644</v>
      </c>
      <c r="AF65" s="210">
        <f t="shared" si="17"/>
        <v>0</v>
      </c>
      <c r="AG65" s="210">
        <f t="shared" si="18"/>
        <v>0</v>
      </c>
    </row>
    <row r="66" spans="2:33" ht="15" customHeight="1" x14ac:dyDescent="0.3">
      <c r="B66" s="196" t="s">
        <v>84</v>
      </c>
      <c r="C66" s="197" t="s">
        <v>15</v>
      </c>
      <c r="D66" s="198" t="str">
        <f t="shared" si="0"/>
        <v>C</v>
      </c>
      <c r="E66" s="199">
        <v>44529.666666666664</v>
      </c>
      <c r="F66" s="200" t="s">
        <v>82</v>
      </c>
      <c r="G66" s="201">
        <v>4351.96</v>
      </c>
      <c r="H66" s="201">
        <v>4207.21</v>
      </c>
      <c r="I66" s="202">
        <f t="shared" si="1"/>
        <v>144.75</v>
      </c>
      <c r="J66" s="201">
        <v>7053.96</v>
      </c>
      <c r="K66" s="199">
        <v>44533.786111111112</v>
      </c>
      <c r="L66" s="201">
        <v>4342.3500000000004</v>
      </c>
      <c r="M66" s="203">
        <f t="shared" si="2"/>
        <v>-9.61</v>
      </c>
      <c r="N66" s="204">
        <f t="shared" si="3"/>
        <v>-7.0000000000000007E-2</v>
      </c>
      <c r="O66" s="205">
        <f t="shared" si="4"/>
        <v>0</v>
      </c>
      <c r="P66" s="206">
        <f t="shared" si="5"/>
        <v>0</v>
      </c>
      <c r="Q66" s="206">
        <f t="shared" si="6"/>
        <v>-7.0000000000000007E-2</v>
      </c>
      <c r="R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274720</v>
      </c>
      <c r="T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66" s="208">
        <f ca="1">IF(Tabla33610673[[#This Row],[Equity]]&lt;Tabla33610673[[#This Row],[Equity Peak]],(Tabla33610673[[#This Row],[Equity Peak]]-Tabla33610673[[#This Row],[Equity]])/Tabla33610673[[#This Row],[Equity Peak]],"")</f>
        <v>2.529714387085329E-2</v>
      </c>
      <c r="V66" s="209">
        <f t="shared" si="7"/>
        <v>0</v>
      </c>
      <c r="W66" s="209">
        <f t="shared" si="8"/>
        <v>0</v>
      </c>
      <c r="X66" s="209">
        <f t="shared" si="9"/>
        <v>0</v>
      </c>
      <c r="Y66" s="209">
        <f t="shared" si="10"/>
        <v>0</v>
      </c>
      <c r="Z66" s="209">
        <f t="shared" si="11"/>
        <v>0</v>
      </c>
      <c r="AA66" s="205">
        <f t="shared" si="12"/>
        <v>0</v>
      </c>
      <c r="AB66" s="209">
        <f t="shared" si="13"/>
        <v>-7.0000000000000007E-2</v>
      </c>
      <c r="AC66" s="205">
        <f t="shared" si="14"/>
        <v>0</v>
      </c>
      <c r="AD66" s="210">
        <f t="shared" si="15"/>
        <v>4.1194444444481633</v>
      </c>
      <c r="AE66" s="210">
        <f t="shared" si="16"/>
        <v>0</v>
      </c>
      <c r="AF66" s="210">
        <f t="shared" si="17"/>
        <v>4.1194444444481633</v>
      </c>
      <c r="AG66" s="210">
        <f t="shared" si="18"/>
        <v>0</v>
      </c>
    </row>
    <row r="67" spans="2:33" ht="15" customHeight="1" x14ac:dyDescent="0.3">
      <c r="B67" s="196" t="s">
        <v>5</v>
      </c>
      <c r="C67" s="197" t="s">
        <v>13</v>
      </c>
      <c r="D67" s="198" t="str">
        <f t="shared" si="0"/>
        <v>C</v>
      </c>
      <c r="E67" s="199">
        <v>44532.041666666664</v>
      </c>
      <c r="F67" s="200" t="s">
        <v>93</v>
      </c>
      <c r="G67" s="201">
        <v>4515.6000000000004</v>
      </c>
      <c r="H67" s="201">
        <v>4582.01</v>
      </c>
      <c r="I67" s="202">
        <f t="shared" si="1"/>
        <v>66.409999999999854</v>
      </c>
      <c r="J67" s="201">
        <v>4338.49</v>
      </c>
      <c r="K67" s="199">
        <v>44532.801388888889</v>
      </c>
      <c r="L67" s="201">
        <v>4582.01</v>
      </c>
      <c r="M67" s="203">
        <f t="shared" si="2"/>
        <v>-66.41</v>
      </c>
      <c r="N67" s="204">
        <f t="shared" si="3"/>
        <v>-1</v>
      </c>
      <c r="O67" s="205">
        <f t="shared" si="4"/>
        <v>0</v>
      </c>
      <c r="P67" s="206">
        <f t="shared" si="5"/>
        <v>0</v>
      </c>
      <c r="Q67" s="206">
        <f t="shared" si="6"/>
        <v>-1</v>
      </c>
      <c r="R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274790</v>
      </c>
      <c r="T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67" s="208">
        <f ca="1">IF(Tabla33610673[[#This Row],[Equity]]&lt;Tabla33610673[[#This Row],[Equity Peak]],(Tabla33610673[[#This Row],[Equity Peak]]-Tabla33610673[[#This Row],[Equity]])/Tabla33610673[[#This Row],[Equity Peak]],"")</f>
        <v>2.5048784814617704E-2</v>
      </c>
      <c r="V67" s="209">
        <f t="shared" si="7"/>
        <v>0</v>
      </c>
      <c r="W67" s="209">
        <f t="shared" si="8"/>
        <v>0</v>
      </c>
      <c r="X67" s="209">
        <f t="shared" si="9"/>
        <v>0</v>
      </c>
      <c r="Y67" s="209">
        <f t="shared" si="10"/>
        <v>0</v>
      </c>
      <c r="Z67" s="209">
        <f t="shared" si="11"/>
        <v>-1</v>
      </c>
      <c r="AA67" s="205">
        <f t="shared" si="12"/>
        <v>0</v>
      </c>
      <c r="AB67" s="209">
        <f t="shared" si="13"/>
        <v>0</v>
      </c>
      <c r="AC67" s="205">
        <f t="shared" si="14"/>
        <v>0</v>
      </c>
      <c r="AD67" s="210">
        <f t="shared" si="15"/>
        <v>0.75972222222480923</v>
      </c>
      <c r="AE67" s="210">
        <f t="shared" si="16"/>
        <v>0</v>
      </c>
      <c r="AF67" s="210">
        <f t="shared" si="17"/>
        <v>0.75972222222480923</v>
      </c>
      <c r="AG67" s="210">
        <f t="shared" si="18"/>
        <v>0</v>
      </c>
    </row>
    <row r="68" spans="2:33" ht="15" customHeight="1" x14ac:dyDescent="0.3">
      <c r="B68" s="196" t="s">
        <v>5</v>
      </c>
      <c r="C68" s="197" t="s">
        <v>13</v>
      </c>
      <c r="D68" s="198" t="str">
        <f t="shared" si="0"/>
        <v>C</v>
      </c>
      <c r="E68" s="199">
        <v>44532.041666666664</v>
      </c>
      <c r="F68" s="200" t="s">
        <v>95</v>
      </c>
      <c r="G68" s="201">
        <v>34058.39</v>
      </c>
      <c r="H68" s="201">
        <v>34299.15</v>
      </c>
      <c r="I68" s="202">
        <f t="shared" si="1"/>
        <v>240.76000000000204</v>
      </c>
      <c r="J68" s="201">
        <v>33095.35</v>
      </c>
      <c r="K68" s="199">
        <v>44532.37222222222</v>
      </c>
      <c r="L68" s="201">
        <v>34299.15</v>
      </c>
      <c r="M68" s="203">
        <f t="shared" si="2"/>
        <v>-240.76</v>
      </c>
      <c r="N68" s="204">
        <f t="shared" si="3"/>
        <v>-1</v>
      </c>
      <c r="O68" s="205">
        <f t="shared" si="4"/>
        <v>0</v>
      </c>
      <c r="P68" s="206">
        <f t="shared" si="5"/>
        <v>0</v>
      </c>
      <c r="Q68" s="206">
        <f t="shared" si="6"/>
        <v>-1</v>
      </c>
      <c r="R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275790</v>
      </c>
      <c r="T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68" s="208">
        <f ca="1">IF(Tabla33610673[[#This Row],[Equity]]&lt;Tabla33610673[[#This Row],[Equity Peak]],(Tabla33610673[[#This Row],[Equity Peak]]-Tabla33610673[[#This Row],[Equity]])/Tabla33610673[[#This Row],[Equity Peak]],"")</f>
        <v>2.150079829696647E-2</v>
      </c>
      <c r="V68" s="209">
        <f t="shared" si="7"/>
        <v>0</v>
      </c>
      <c r="W68" s="209">
        <f t="shared" si="8"/>
        <v>0</v>
      </c>
      <c r="X68" s="209">
        <f t="shared" si="9"/>
        <v>0</v>
      </c>
      <c r="Y68" s="209">
        <f t="shared" si="10"/>
        <v>0</v>
      </c>
      <c r="Z68" s="209">
        <f t="shared" si="11"/>
        <v>-1</v>
      </c>
      <c r="AA68" s="205">
        <f t="shared" si="12"/>
        <v>0</v>
      </c>
      <c r="AB68" s="209">
        <f t="shared" si="13"/>
        <v>0</v>
      </c>
      <c r="AC68" s="205">
        <f t="shared" si="14"/>
        <v>0</v>
      </c>
      <c r="AD68" s="210">
        <f t="shared" si="15"/>
        <v>0.33055555555620231</v>
      </c>
      <c r="AE68" s="210">
        <f t="shared" si="16"/>
        <v>0</v>
      </c>
      <c r="AF68" s="210">
        <f t="shared" si="17"/>
        <v>0.33055555555620231</v>
      </c>
      <c r="AG68" s="210">
        <f t="shared" si="18"/>
        <v>0</v>
      </c>
    </row>
    <row r="69" spans="2:33" ht="15" customHeight="1" x14ac:dyDescent="0.3">
      <c r="B69" s="196" t="s">
        <v>84</v>
      </c>
      <c r="C69" s="197" t="s">
        <v>15</v>
      </c>
      <c r="D69" s="198" t="str">
        <f t="shared" si="0"/>
        <v>C</v>
      </c>
      <c r="E69" s="199">
        <v>44531.666666666664</v>
      </c>
      <c r="F69" s="200" t="s">
        <v>80</v>
      </c>
      <c r="G69" s="201">
        <v>57703.6</v>
      </c>
      <c r="H69" s="201">
        <v>55008.28</v>
      </c>
      <c r="I69" s="202">
        <f t="shared" si="1"/>
        <v>2695.3199999999997</v>
      </c>
      <c r="J69" s="201">
        <v>98133.34</v>
      </c>
      <c r="K69" s="199">
        <v>44532.223611111112</v>
      </c>
      <c r="L69" s="201">
        <v>55992.45</v>
      </c>
      <c r="M69" s="203">
        <f t="shared" si="2"/>
        <v>-1711.15</v>
      </c>
      <c r="N69" s="204">
        <f t="shared" si="3"/>
        <v>-0.63</v>
      </c>
      <c r="O69" s="205">
        <f t="shared" si="4"/>
        <v>0</v>
      </c>
      <c r="P69" s="206">
        <f t="shared" si="5"/>
        <v>0</v>
      </c>
      <c r="Q69" s="206">
        <f t="shared" si="6"/>
        <v>-0.63</v>
      </c>
      <c r="R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276790</v>
      </c>
      <c r="T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69" s="208">
        <f ca="1">IF(Tabla33610673[[#This Row],[Equity]]&lt;Tabla33610673[[#This Row],[Equity Peak]],(Tabla33610673[[#This Row],[Equity Peak]]-Tabla33610673[[#This Row],[Equity]])/Tabla33610673[[#This Row],[Equity Peak]],"")</f>
        <v>1.795281177931524E-2</v>
      </c>
      <c r="V69" s="209">
        <f t="shared" si="7"/>
        <v>0</v>
      </c>
      <c r="W69" s="209">
        <f t="shared" si="8"/>
        <v>0</v>
      </c>
      <c r="X69" s="209">
        <f t="shared" si="9"/>
        <v>0</v>
      </c>
      <c r="Y69" s="209">
        <f t="shared" si="10"/>
        <v>0</v>
      </c>
      <c r="Z69" s="209">
        <f t="shared" si="11"/>
        <v>0</v>
      </c>
      <c r="AA69" s="205">
        <f t="shared" si="12"/>
        <v>0</v>
      </c>
      <c r="AB69" s="209">
        <f t="shared" si="13"/>
        <v>-0.63</v>
      </c>
      <c r="AC69" s="205">
        <f t="shared" si="14"/>
        <v>0</v>
      </c>
      <c r="AD69" s="210">
        <f t="shared" si="15"/>
        <v>0.55694444444816327</v>
      </c>
      <c r="AE69" s="210">
        <f t="shared" si="16"/>
        <v>0</v>
      </c>
      <c r="AF69" s="210">
        <f t="shared" si="17"/>
        <v>0.55694444444816327</v>
      </c>
      <c r="AG69" s="210">
        <f t="shared" si="18"/>
        <v>0</v>
      </c>
    </row>
    <row r="70" spans="2:33" ht="15" customHeight="1" x14ac:dyDescent="0.3">
      <c r="B70" s="196" t="s">
        <v>84</v>
      </c>
      <c r="C70" s="197" t="s">
        <v>13</v>
      </c>
      <c r="D70" s="198" t="str">
        <f t="shared" si="0"/>
        <v>C</v>
      </c>
      <c r="E70" s="199">
        <v>44531.333333333336</v>
      </c>
      <c r="F70" s="200" t="s">
        <v>80</v>
      </c>
      <c r="G70" s="201">
        <v>56826.77</v>
      </c>
      <c r="H70" s="201">
        <v>59599.1</v>
      </c>
      <c r="I70" s="202">
        <f t="shared" si="1"/>
        <v>2772.3300000000017</v>
      </c>
      <c r="J70" s="201">
        <v>15241.86</v>
      </c>
      <c r="K70" s="199">
        <v>44531.666666666664</v>
      </c>
      <c r="L70" s="201">
        <v>57703.6</v>
      </c>
      <c r="M70" s="203">
        <f t="shared" si="2"/>
        <v>-876.83</v>
      </c>
      <c r="N70" s="204">
        <f t="shared" si="3"/>
        <v>-0.32</v>
      </c>
      <c r="O70" s="205">
        <f t="shared" si="4"/>
        <v>0</v>
      </c>
      <c r="P70" s="206">
        <f t="shared" si="5"/>
        <v>0</v>
      </c>
      <c r="Q70" s="206">
        <f t="shared" si="6"/>
        <v>-0.32</v>
      </c>
      <c r="R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277420</v>
      </c>
      <c r="T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0" s="208">
        <f ca="1">IF(Tabla33610673[[#This Row],[Equity]]&lt;Tabla33610673[[#This Row],[Equity Peak]],(Tabla33610673[[#This Row],[Equity Peak]]-Tabla33610673[[#This Row],[Equity]])/Tabla33610673[[#This Row],[Equity Peak]],"")</f>
        <v>1.5717580273194962E-2</v>
      </c>
      <c r="V70" s="209">
        <f t="shared" si="7"/>
        <v>0</v>
      </c>
      <c r="W70" s="209">
        <f t="shared" si="8"/>
        <v>0</v>
      </c>
      <c r="X70" s="209">
        <f t="shared" si="9"/>
        <v>0</v>
      </c>
      <c r="Y70" s="209">
        <f t="shared" si="10"/>
        <v>0</v>
      </c>
      <c r="Z70" s="209">
        <f t="shared" si="11"/>
        <v>0</v>
      </c>
      <c r="AA70" s="205">
        <f t="shared" si="12"/>
        <v>0</v>
      </c>
      <c r="AB70" s="209">
        <f t="shared" si="13"/>
        <v>-0.32</v>
      </c>
      <c r="AC70" s="205">
        <f t="shared" si="14"/>
        <v>0</v>
      </c>
      <c r="AD70" s="210">
        <f t="shared" si="15"/>
        <v>0.33333333332848269</v>
      </c>
      <c r="AE70" s="210">
        <f t="shared" si="16"/>
        <v>0</v>
      </c>
      <c r="AF70" s="210">
        <f t="shared" si="17"/>
        <v>0.33333333332848269</v>
      </c>
      <c r="AG70" s="210">
        <f t="shared" si="18"/>
        <v>0</v>
      </c>
    </row>
    <row r="71" spans="2:33" ht="15" customHeight="1" x14ac:dyDescent="0.3">
      <c r="B71" s="196" t="s">
        <v>84</v>
      </c>
      <c r="C71" s="197" t="s">
        <v>15</v>
      </c>
      <c r="D71" s="198" t="str">
        <f t="shared" si="0"/>
        <v>C</v>
      </c>
      <c r="E71" s="199">
        <v>44530.666666666664</v>
      </c>
      <c r="F71" s="200" t="s">
        <v>80</v>
      </c>
      <c r="G71" s="201">
        <v>58410.58</v>
      </c>
      <c r="H71" s="201">
        <v>55751.71</v>
      </c>
      <c r="I71" s="202">
        <f t="shared" si="1"/>
        <v>2658.8700000000026</v>
      </c>
      <c r="J71" s="201">
        <v>98293.59</v>
      </c>
      <c r="K71" s="199">
        <v>44531.333333333336</v>
      </c>
      <c r="L71" s="201">
        <v>56826.77</v>
      </c>
      <c r="M71" s="203">
        <f t="shared" si="2"/>
        <v>-1583.81</v>
      </c>
      <c r="N71" s="204">
        <f t="shared" si="3"/>
        <v>-0.6</v>
      </c>
      <c r="O71" s="205">
        <f t="shared" si="4"/>
        <v>0</v>
      </c>
      <c r="P71" s="206">
        <f t="shared" si="5"/>
        <v>0</v>
      </c>
      <c r="Q71" s="206">
        <f t="shared" si="6"/>
        <v>-0.6</v>
      </c>
      <c r="R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277740</v>
      </c>
      <c r="T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1" s="208">
        <f ca="1">IF(Tabla33610673[[#This Row],[Equity]]&lt;Tabla33610673[[#This Row],[Equity Peak]],(Tabla33610673[[#This Row],[Equity Peak]]-Tabla33610673[[#This Row],[Equity]])/Tabla33610673[[#This Row],[Equity Peak]],"")</f>
        <v>1.4582224587546566E-2</v>
      </c>
      <c r="V71" s="209">
        <f t="shared" si="7"/>
        <v>0</v>
      </c>
      <c r="W71" s="209">
        <f t="shared" si="8"/>
        <v>0</v>
      </c>
      <c r="X71" s="209">
        <f t="shared" si="9"/>
        <v>0</v>
      </c>
      <c r="Y71" s="209">
        <f t="shared" si="10"/>
        <v>0</v>
      </c>
      <c r="Z71" s="209">
        <f t="shared" si="11"/>
        <v>0</v>
      </c>
      <c r="AA71" s="205">
        <f t="shared" si="12"/>
        <v>0</v>
      </c>
      <c r="AB71" s="209">
        <f t="shared" si="13"/>
        <v>-0.6</v>
      </c>
      <c r="AC71" s="205">
        <f t="shared" si="14"/>
        <v>0</v>
      </c>
      <c r="AD71" s="210">
        <f t="shared" si="15"/>
        <v>0.66666666667151731</v>
      </c>
      <c r="AE71" s="210">
        <f t="shared" si="16"/>
        <v>0</v>
      </c>
      <c r="AF71" s="210">
        <f t="shared" si="17"/>
        <v>0.66666666667151731</v>
      </c>
      <c r="AG71" s="210">
        <f t="shared" si="18"/>
        <v>0</v>
      </c>
    </row>
    <row r="72" spans="2:33" ht="15" customHeight="1" x14ac:dyDescent="0.3">
      <c r="B72" s="196" t="s">
        <v>5</v>
      </c>
      <c r="C72" s="197" t="s">
        <v>15</v>
      </c>
      <c r="D72" s="198" t="str">
        <f t="shared" si="0"/>
        <v>C</v>
      </c>
      <c r="E72" s="199">
        <v>44529.875</v>
      </c>
      <c r="F72" s="200" t="s">
        <v>92</v>
      </c>
      <c r="G72" s="201">
        <v>16415.47</v>
      </c>
      <c r="H72" s="201">
        <v>16170.77</v>
      </c>
      <c r="I72" s="202">
        <f t="shared" si="1"/>
        <v>244.70000000000073</v>
      </c>
      <c r="J72" s="201">
        <v>18046.810000000001</v>
      </c>
      <c r="K72" s="199">
        <v>44530.748611111114</v>
      </c>
      <c r="L72" s="201">
        <v>16170.77</v>
      </c>
      <c r="M72" s="203">
        <f t="shared" si="2"/>
        <v>-244.7</v>
      </c>
      <c r="N72" s="204">
        <f t="shared" si="3"/>
        <v>-1</v>
      </c>
      <c r="O72" s="205">
        <f t="shared" si="4"/>
        <v>0</v>
      </c>
      <c r="P72" s="206">
        <f t="shared" si="5"/>
        <v>0</v>
      </c>
      <c r="Q72" s="206">
        <f t="shared" si="6"/>
        <v>-1</v>
      </c>
      <c r="R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278340</v>
      </c>
      <c r="T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2" s="208">
        <f ca="1">IF(Tabla33610673[[#This Row],[Equity]]&lt;Tabla33610673[[#This Row],[Equity Peak]],(Tabla33610673[[#This Row],[Equity Peak]]-Tabla33610673[[#This Row],[Equity]])/Tabla33610673[[#This Row],[Equity Peak]],"")</f>
        <v>1.2453432676955827E-2</v>
      </c>
      <c r="V72" s="209">
        <f t="shared" si="7"/>
        <v>0</v>
      </c>
      <c r="W72" s="209">
        <f t="shared" si="8"/>
        <v>0</v>
      </c>
      <c r="X72" s="209">
        <f t="shared" si="9"/>
        <v>0</v>
      </c>
      <c r="Y72" s="209">
        <f t="shared" si="10"/>
        <v>0</v>
      </c>
      <c r="Z72" s="209">
        <f t="shared" si="11"/>
        <v>-1</v>
      </c>
      <c r="AA72" s="205">
        <f t="shared" si="12"/>
        <v>0</v>
      </c>
      <c r="AB72" s="209">
        <f t="shared" si="13"/>
        <v>0</v>
      </c>
      <c r="AC72" s="205">
        <f t="shared" si="14"/>
        <v>0</v>
      </c>
      <c r="AD72" s="210">
        <f t="shared" si="15"/>
        <v>0.87361111111385981</v>
      </c>
      <c r="AE72" s="210">
        <f t="shared" si="16"/>
        <v>0</v>
      </c>
      <c r="AF72" s="210">
        <f t="shared" si="17"/>
        <v>0.87361111111385981</v>
      </c>
      <c r="AG72" s="210">
        <f t="shared" si="18"/>
        <v>0</v>
      </c>
    </row>
    <row r="73" spans="2:33" ht="15" customHeight="1" x14ac:dyDescent="0.3">
      <c r="B73" s="196" t="s">
        <v>84</v>
      </c>
      <c r="C73" s="197" t="s">
        <v>13</v>
      </c>
      <c r="D73" s="198" t="str">
        <f t="shared" si="0"/>
        <v>C</v>
      </c>
      <c r="E73" s="199">
        <v>44530.333333333336</v>
      </c>
      <c r="F73" s="200" t="s">
        <v>80</v>
      </c>
      <c r="G73" s="201">
        <v>56355.5</v>
      </c>
      <c r="H73" s="201">
        <v>58717.279999999999</v>
      </c>
      <c r="I73" s="202">
        <f t="shared" si="1"/>
        <v>2361.7799999999988</v>
      </c>
      <c r="J73" s="201">
        <v>20928.86</v>
      </c>
      <c r="K73" s="199">
        <v>44530.588194444441</v>
      </c>
      <c r="L73" s="201">
        <v>58127.88</v>
      </c>
      <c r="M73" s="203">
        <f t="shared" si="2"/>
        <v>-1772.38</v>
      </c>
      <c r="N73" s="204">
        <f t="shared" si="3"/>
        <v>-0.75</v>
      </c>
      <c r="O73" s="205">
        <f t="shared" si="4"/>
        <v>0</v>
      </c>
      <c r="P73" s="206">
        <f t="shared" si="5"/>
        <v>0</v>
      </c>
      <c r="Q73" s="206">
        <f t="shared" si="6"/>
        <v>-0.75</v>
      </c>
      <c r="R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279340</v>
      </c>
      <c r="T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3" s="208">
        <f ca="1">IF(Tabla33610673[[#This Row],[Equity]]&lt;Tabla33610673[[#This Row],[Equity Peak]],(Tabla33610673[[#This Row],[Equity Peak]]-Tabla33610673[[#This Row],[Equity]])/Tabla33610673[[#This Row],[Equity Peak]],"")</f>
        <v>8.9054461593045947E-3</v>
      </c>
      <c r="V73" s="209">
        <f t="shared" si="7"/>
        <v>0</v>
      </c>
      <c r="W73" s="209">
        <f t="shared" si="8"/>
        <v>0</v>
      </c>
      <c r="X73" s="209">
        <f t="shared" si="9"/>
        <v>0</v>
      </c>
      <c r="Y73" s="209">
        <f t="shared" si="10"/>
        <v>0</v>
      </c>
      <c r="Z73" s="209">
        <f t="shared" si="11"/>
        <v>0</v>
      </c>
      <c r="AA73" s="205">
        <f t="shared" si="12"/>
        <v>0</v>
      </c>
      <c r="AB73" s="209">
        <f t="shared" si="13"/>
        <v>-0.75</v>
      </c>
      <c r="AC73" s="205">
        <f t="shared" si="14"/>
        <v>0</v>
      </c>
      <c r="AD73" s="210">
        <f t="shared" si="15"/>
        <v>0.25486111110512866</v>
      </c>
      <c r="AE73" s="210">
        <f t="shared" si="16"/>
        <v>0</v>
      </c>
      <c r="AF73" s="210">
        <f t="shared" si="17"/>
        <v>0.25486111110512866</v>
      </c>
      <c r="AG73" s="210">
        <f t="shared" si="18"/>
        <v>0</v>
      </c>
    </row>
    <row r="74" spans="2:33" ht="15" customHeight="1" x14ac:dyDescent="0.3">
      <c r="B74" s="196" t="s">
        <v>84</v>
      </c>
      <c r="C74" s="197" t="s">
        <v>15</v>
      </c>
      <c r="D74" s="198" t="str">
        <f t="shared" si="0"/>
        <v>C</v>
      </c>
      <c r="E74" s="199">
        <v>44529.833333333336</v>
      </c>
      <c r="F74" s="200" t="s">
        <v>80</v>
      </c>
      <c r="G74" s="201">
        <v>58693</v>
      </c>
      <c r="H74" s="201">
        <v>56491.95</v>
      </c>
      <c r="I74" s="202">
        <f t="shared" si="1"/>
        <v>2201.0500000000029</v>
      </c>
      <c r="J74" s="201">
        <v>91708.69</v>
      </c>
      <c r="K74" s="199">
        <v>44530.234027777777</v>
      </c>
      <c r="L74" s="201">
        <v>57027.72</v>
      </c>
      <c r="M74" s="203">
        <f t="shared" si="2"/>
        <v>-1665.28</v>
      </c>
      <c r="N74" s="204">
        <f t="shared" si="3"/>
        <v>-0.76</v>
      </c>
      <c r="O74" s="205">
        <f t="shared" si="4"/>
        <v>0</v>
      </c>
      <c r="P74" s="206">
        <f t="shared" si="5"/>
        <v>0</v>
      </c>
      <c r="Q74" s="206">
        <f t="shared" si="6"/>
        <v>-0.76</v>
      </c>
      <c r="R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280090</v>
      </c>
      <c r="T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4" s="208">
        <f ca="1">IF(Tabla33610673[[#This Row],[Equity]]&lt;Tabla33610673[[#This Row],[Equity Peak]],(Tabla33610673[[#This Row],[Equity Peak]]-Tabla33610673[[#This Row],[Equity]])/Tabla33610673[[#This Row],[Equity Peak]],"")</f>
        <v>6.2444562710661702E-3</v>
      </c>
      <c r="V74" s="209">
        <f t="shared" si="7"/>
        <v>0</v>
      </c>
      <c r="W74" s="209">
        <f t="shared" si="8"/>
        <v>0</v>
      </c>
      <c r="X74" s="209">
        <f t="shared" si="9"/>
        <v>0</v>
      </c>
      <c r="Y74" s="209">
        <f t="shared" si="10"/>
        <v>0</v>
      </c>
      <c r="Z74" s="209">
        <f t="shared" si="11"/>
        <v>0</v>
      </c>
      <c r="AA74" s="205">
        <f t="shared" si="12"/>
        <v>0</v>
      </c>
      <c r="AB74" s="209">
        <f t="shared" si="13"/>
        <v>-0.76</v>
      </c>
      <c r="AC74" s="205">
        <f t="shared" si="14"/>
        <v>0</v>
      </c>
      <c r="AD74" s="210">
        <f t="shared" si="15"/>
        <v>0.40069444444088731</v>
      </c>
      <c r="AE74" s="210">
        <f t="shared" si="16"/>
        <v>0</v>
      </c>
      <c r="AF74" s="210">
        <f t="shared" si="17"/>
        <v>0.40069444444088731</v>
      </c>
      <c r="AG74" s="210">
        <f t="shared" si="18"/>
        <v>0</v>
      </c>
    </row>
    <row r="75" spans="2:33" ht="15" customHeight="1" x14ac:dyDescent="0.3">
      <c r="B75" s="196" t="s">
        <v>5</v>
      </c>
      <c r="C75" s="197" t="s">
        <v>13</v>
      </c>
      <c r="D75" s="198" t="str">
        <f t="shared" si="0"/>
        <v>C</v>
      </c>
      <c r="E75" s="199">
        <v>44526.541666666664</v>
      </c>
      <c r="F75" s="200" t="s">
        <v>95</v>
      </c>
      <c r="G75" s="201">
        <v>35000.14</v>
      </c>
      <c r="H75" s="201">
        <v>35222.79</v>
      </c>
      <c r="I75" s="202">
        <f t="shared" si="1"/>
        <v>222.65000000000146</v>
      </c>
      <c r="J75" s="201">
        <v>34109.550000000003</v>
      </c>
      <c r="K75" s="199">
        <v>44529.657638888886</v>
      </c>
      <c r="L75" s="201">
        <v>35222.79</v>
      </c>
      <c r="M75" s="203">
        <f t="shared" si="2"/>
        <v>-222.65</v>
      </c>
      <c r="N75" s="204">
        <f t="shared" si="3"/>
        <v>-1</v>
      </c>
      <c r="O75" s="205">
        <f t="shared" si="4"/>
        <v>0</v>
      </c>
      <c r="P75" s="206">
        <f t="shared" si="5"/>
        <v>0</v>
      </c>
      <c r="Q75" s="206">
        <f t="shared" si="6"/>
        <v>-1</v>
      </c>
      <c r="R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280850</v>
      </c>
      <c r="T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5" s="208">
        <f ca="1">IF(Tabla33610673[[#This Row],[Equity]]&lt;Tabla33610673[[#This Row],[Equity Peak]],(Tabla33610673[[#This Row],[Equity Peak]]-Tabla33610673[[#This Row],[Equity]])/Tabla33610673[[#This Row],[Equity Peak]],"")</f>
        <v>3.547986517651233E-3</v>
      </c>
      <c r="V75" s="209">
        <f t="shared" si="7"/>
        <v>0</v>
      </c>
      <c r="W75" s="209">
        <f t="shared" si="8"/>
        <v>0</v>
      </c>
      <c r="X75" s="209">
        <f t="shared" si="9"/>
        <v>0</v>
      </c>
      <c r="Y75" s="209">
        <f t="shared" si="10"/>
        <v>0</v>
      </c>
      <c r="Z75" s="209">
        <f t="shared" si="11"/>
        <v>-1</v>
      </c>
      <c r="AA75" s="205">
        <f t="shared" si="12"/>
        <v>0</v>
      </c>
      <c r="AB75" s="209">
        <f t="shared" si="13"/>
        <v>0</v>
      </c>
      <c r="AC75" s="205">
        <f t="shared" si="14"/>
        <v>0</v>
      </c>
      <c r="AD75" s="210">
        <f t="shared" si="15"/>
        <v>3.1159722222218988</v>
      </c>
      <c r="AE75" s="210">
        <f t="shared" si="16"/>
        <v>0</v>
      </c>
      <c r="AF75" s="210">
        <f t="shared" si="17"/>
        <v>3.1159722222218988</v>
      </c>
      <c r="AG75" s="210">
        <f t="shared" si="18"/>
        <v>0</v>
      </c>
    </row>
    <row r="76" spans="2:33" ht="15" customHeight="1" x14ac:dyDescent="0.3">
      <c r="B76" s="196" t="s">
        <v>7</v>
      </c>
      <c r="C76" s="197" t="s">
        <v>15</v>
      </c>
      <c r="D76" s="198" t="str">
        <f t="shared" si="0"/>
        <v>C</v>
      </c>
      <c r="E76" s="199">
        <v>44525.5</v>
      </c>
      <c r="F76" s="200" t="s">
        <v>121</v>
      </c>
      <c r="G76" s="201">
        <v>1.5610200000000001</v>
      </c>
      <c r="H76" s="201">
        <v>1.55464</v>
      </c>
      <c r="I76" s="202">
        <f t="shared" si="1"/>
        <v>6.3800000000000523E-3</v>
      </c>
      <c r="J76" s="201">
        <v>1.6290899999999999</v>
      </c>
      <c r="K76" s="199">
        <v>44529.168749999997</v>
      </c>
      <c r="L76" s="201">
        <v>1.5793900000000001</v>
      </c>
      <c r="M76" s="203">
        <f t="shared" si="2"/>
        <v>1.84E-2</v>
      </c>
      <c r="N76" s="204">
        <f t="shared" si="3"/>
        <v>2.88</v>
      </c>
      <c r="O76" s="205">
        <f t="shared" si="4"/>
        <v>0</v>
      </c>
      <c r="P76" s="206">
        <f t="shared" si="5"/>
        <v>2.88</v>
      </c>
      <c r="Q76" s="206">
        <f t="shared" si="6"/>
        <v>0</v>
      </c>
      <c r="R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281850</v>
      </c>
      <c r="T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281850</v>
      </c>
      <c r="U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76" s="209">
        <f t="shared" si="7"/>
        <v>2.88</v>
      </c>
      <c r="W76" s="209">
        <f t="shared" si="8"/>
        <v>0</v>
      </c>
      <c r="X76" s="209">
        <f t="shared" si="9"/>
        <v>0</v>
      </c>
      <c r="Y76" s="209">
        <f t="shared" si="10"/>
        <v>0</v>
      </c>
      <c r="Z76" s="209">
        <f t="shared" si="11"/>
        <v>0</v>
      </c>
      <c r="AA76" s="205">
        <f t="shared" si="12"/>
        <v>0</v>
      </c>
      <c r="AB76" s="209">
        <f t="shared" si="13"/>
        <v>0</v>
      </c>
      <c r="AC76" s="205">
        <f t="shared" si="14"/>
        <v>0</v>
      </c>
      <c r="AD76" s="210">
        <f t="shared" si="15"/>
        <v>3.6687499999970896</v>
      </c>
      <c r="AE76" s="210">
        <f t="shared" si="16"/>
        <v>3.6687499999970896</v>
      </c>
      <c r="AF76" s="210">
        <f t="shared" si="17"/>
        <v>0</v>
      </c>
      <c r="AG76" s="210">
        <f t="shared" si="18"/>
        <v>0</v>
      </c>
    </row>
    <row r="77" spans="2:33" ht="15" customHeight="1" x14ac:dyDescent="0.3">
      <c r="B77" s="196" t="s">
        <v>5</v>
      </c>
      <c r="C77" s="197" t="s">
        <v>13</v>
      </c>
      <c r="D77" s="198" t="str">
        <f t="shared" si="0"/>
        <v>C</v>
      </c>
      <c r="E77" s="199">
        <v>44526.291666666664</v>
      </c>
      <c r="F77" s="200" t="s">
        <v>94</v>
      </c>
      <c r="G77" s="201">
        <v>7184.88</v>
      </c>
      <c r="H77" s="201">
        <v>7264.85</v>
      </c>
      <c r="I77" s="202">
        <f t="shared" si="1"/>
        <v>79.970000000000255</v>
      </c>
      <c r="J77" s="201">
        <v>6785.04</v>
      </c>
      <c r="K77" s="199">
        <v>44529.128472222219</v>
      </c>
      <c r="L77" s="201">
        <v>7133.82</v>
      </c>
      <c r="M77" s="203">
        <f t="shared" si="2"/>
        <v>51.06</v>
      </c>
      <c r="N77" s="204">
        <f t="shared" si="3"/>
        <v>0.64</v>
      </c>
      <c r="O77" s="205">
        <f t="shared" si="4"/>
        <v>0</v>
      </c>
      <c r="P77" s="206">
        <f t="shared" si="5"/>
        <v>0.64</v>
      </c>
      <c r="Q77" s="206">
        <f t="shared" si="6"/>
        <v>0</v>
      </c>
      <c r="R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278970</v>
      </c>
      <c r="T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77" s="208">
        <f ca="1">IF(Tabla33610673[[#This Row],[Equity]]&lt;Tabla33610673[[#This Row],[Equity Peak]],(Tabla33610673[[#This Row],[Equity Peak]]-Tabla33610673[[#This Row],[Equity]])/Tabla33610673[[#This Row],[Equity Peak]],"")</f>
        <v>3.3226152197213289E-3</v>
      </c>
      <c r="V77" s="209">
        <f t="shared" si="7"/>
        <v>0</v>
      </c>
      <c r="W77" s="209">
        <f t="shared" si="8"/>
        <v>0</v>
      </c>
      <c r="X77" s="209">
        <f t="shared" si="9"/>
        <v>0</v>
      </c>
      <c r="Y77" s="209">
        <f t="shared" si="10"/>
        <v>0</v>
      </c>
      <c r="Z77" s="209">
        <f t="shared" si="11"/>
        <v>0.64</v>
      </c>
      <c r="AA77" s="205">
        <f t="shared" si="12"/>
        <v>0</v>
      </c>
      <c r="AB77" s="209">
        <f t="shared" si="13"/>
        <v>0</v>
      </c>
      <c r="AC77" s="205">
        <f t="shared" si="14"/>
        <v>0</v>
      </c>
      <c r="AD77" s="210">
        <f t="shared" si="15"/>
        <v>2.8368055555547471</v>
      </c>
      <c r="AE77" s="210">
        <f t="shared" si="16"/>
        <v>2.8368055555547471</v>
      </c>
      <c r="AF77" s="210">
        <f t="shared" si="17"/>
        <v>0</v>
      </c>
      <c r="AG77" s="210">
        <f t="shared" si="18"/>
        <v>0</v>
      </c>
    </row>
    <row r="78" spans="2:33" ht="15" customHeight="1" x14ac:dyDescent="0.3">
      <c r="B78" s="196" t="s">
        <v>84</v>
      </c>
      <c r="C78" s="197" t="s">
        <v>13</v>
      </c>
      <c r="D78" s="198" t="str">
        <f t="shared" si="0"/>
        <v>C</v>
      </c>
      <c r="E78" s="199">
        <v>44516.166666666664</v>
      </c>
      <c r="F78" s="200" t="s">
        <v>80</v>
      </c>
      <c r="G78" s="201">
        <v>62129.79</v>
      </c>
      <c r="H78" s="201">
        <v>64369.01</v>
      </c>
      <c r="I78" s="202">
        <f t="shared" si="1"/>
        <v>2239.2200000000012</v>
      </c>
      <c r="J78" s="201">
        <v>28541.45</v>
      </c>
      <c r="K78" s="199">
        <v>44528.995833333334</v>
      </c>
      <c r="L78" s="201">
        <v>56399.44</v>
      </c>
      <c r="M78" s="203">
        <f t="shared" si="2"/>
        <v>5730.35</v>
      </c>
      <c r="N78" s="204">
        <f t="shared" si="3"/>
        <v>2.56</v>
      </c>
      <c r="O78" s="205">
        <f t="shared" si="4"/>
        <v>0</v>
      </c>
      <c r="P78" s="206">
        <f t="shared" si="5"/>
        <v>2.56</v>
      </c>
      <c r="Q78" s="206">
        <f t="shared" si="6"/>
        <v>0</v>
      </c>
      <c r="R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278330</v>
      </c>
      <c r="T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78" s="208">
        <f ca="1">IF(Tabla33610673[[#This Row],[Equity]]&lt;Tabla33610673[[#This Row],[Equity Peak]],(Tabla33610673[[#This Row],[Equity Peak]]-Tabla33610673[[#This Row],[Equity]])/Tabla33610673[[#This Row],[Equity Peak]],"")</f>
        <v>5.6091461236155767E-3</v>
      </c>
      <c r="V78" s="209">
        <f t="shared" si="7"/>
        <v>0</v>
      </c>
      <c r="W78" s="209">
        <f t="shared" si="8"/>
        <v>0</v>
      </c>
      <c r="X78" s="209">
        <f t="shared" si="9"/>
        <v>0</v>
      </c>
      <c r="Y78" s="209">
        <f t="shared" si="10"/>
        <v>0</v>
      </c>
      <c r="Z78" s="209">
        <f t="shared" si="11"/>
        <v>0</v>
      </c>
      <c r="AA78" s="205">
        <f t="shared" si="12"/>
        <v>0</v>
      </c>
      <c r="AB78" s="209">
        <f t="shared" si="13"/>
        <v>2.56</v>
      </c>
      <c r="AC78" s="205">
        <f t="shared" si="14"/>
        <v>0</v>
      </c>
      <c r="AD78" s="210">
        <f t="shared" si="15"/>
        <v>12.829166666670062</v>
      </c>
      <c r="AE78" s="210">
        <f t="shared" si="16"/>
        <v>12.829166666670062</v>
      </c>
      <c r="AF78" s="210">
        <f t="shared" si="17"/>
        <v>0</v>
      </c>
      <c r="AG78" s="210">
        <f t="shared" si="18"/>
        <v>0</v>
      </c>
    </row>
    <row r="79" spans="2:33" ht="15" customHeight="1" x14ac:dyDescent="0.3">
      <c r="B79" s="196" t="s">
        <v>84</v>
      </c>
      <c r="C79" s="197" t="s">
        <v>13</v>
      </c>
      <c r="D79" s="198" t="str">
        <f t="shared" si="0"/>
        <v>C</v>
      </c>
      <c r="E79" s="199">
        <v>44526.5</v>
      </c>
      <c r="F79" s="200" t="s">
        <v>82</v>
      </c>
      <c r="G79" s="201">
        <v>4071.85</v>
      </c>
      <c r="H79" s="201">
        <v>4252.62</v>
      </c>
      <c r="I79" s="202">
        <f t="shared" si="1"/>
        <v>180.76999999999998</v>
      </c>
      <c r="J79" s="201">
        <v>697.55</v>
      </c>
      <c r="K79" s="199">
        <v>44528.972916666666</v>
      </c>
      <c r="L79" s="201">
        <v>4166.54</v>
      </c>
      <c r="M79" s="203">
        <f t="shared" si="2"/>
        <v>-94.69</v>
      </c>
      <c r="N79" s="204">
        <f t="shared" si="3"/>
        <v>-0.52</v>
      </c>
      <c r="O79" s="205">
        <f t="shared" si="4"/>
        <v>0</v>
      </c>
      <c r="P79" s="206">
        <f t="shared" si="5"/>
        <v>0</v>
      </c>
      <c r="Q79" s="206">
        <f t="shared" si="6"/>
        <v>-0.52</v>
      </c>
      <c r="R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275770</v>
      </c>
      <c r="T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79" s="208">
        <f ca="1">IF(Tabla33610673[[#This Row],[Equity]]&lt;Tabla33610673[[#This Row],[Equity Peak]],(Tabla33610673[[#This Row],[Equity Peak]]-Tabla33610673[[#This Row],[Equity]])/Tabla33610673[[#This Row],[Equity Peak]],"")</f>
        <v>1.4755269739192568E-2</v>
      </c>
      <c r="V79" s="209">
        <f t="shared" si="7"/>
        <v>0</v>
      </c>
      <c r="W79" s="209">
        <f t="shared" si="8"/>
        <v>0</v>
      </c>
      <c r="X79" s="209">
        <f t="shared" si="9"/>
        <v>0</v>
      </c>
      <c r="Y79" s="209">
        <f t="shared" si="10"/>
        <v>0</v>
      </c>
      <c r="Z79" s="209">
        <f t="shared" si="11"/>
        <v>0</v>
      </c>
      <c r="AA79" s="205">
        <f t="shared" si="12"/>
        <v>0</v>
      </c>
      <c r="AB79" s="209">
        <f t="shared" si="13"/>
        <v>-0.52</v>
      </c>
      <c r="AC79" s="205">
        <f t="shared" si="14"/>
        <v>0</v>
      </c>
      <c r="AD79" s="210">
        <f t="shared" si="15"/>
        <v>2.4729166666656965</v>
      </c>
      <c r="AE79" s="210">
        <f t="shared" si="16"/>
        <v>0</v>
      </c>
      <c r="AF79" s="210">
        <f t="shared" si="17"/>
        <v>2.4729166666656965</v>
      </c>
      <c r="AG79" s="210">
        <f t="shared" si="18"/>
        <v>0</v>
      </c>
    </row>
    <row r="80" spans="2:33" ht="15" customHeight="1" x14ac:dyDescent="0.3">
      <c r="B80" s="196" t="s">
        <v>84</v>
      </c>
      <c r="C80" s="197" t="s">
        <v>15</v>
      </c>
      <c r="D80" s="198" t="str">
        <f t="shared" si="0"/>
        <v>C</v>
      </c>
      <c r="E80" s="199">
        <v>44525.833333333336</v>
      </c>
      <c r="F80" s="200" t="s">
        <v>82</v>
      </c>
      <c r="G80" s="201">
        <v>4525.76</v>
      </c>
      <c r="H80" s="201">
        <v>4368.75</v>
      </c>
      <c r="I80" s="202">
        <f t="shared" si="1"/>
        <v>157.01000000000022</v>
      </c>
      <c r="J80" s="201">
        <v>7456.66</v>
      </c>
      <c r="K80" s="199">
        <v>44526.400694444441</v>
      </c>
      <c r="L80" s="201">
        <v>4368.75</v>
      </c>
      <c r="M80" s="203">
        <f t="shared" si="2"/>
        <v>-157.01</v>
      </c>
      <c r="N80" s="204">
        <f t="shared" si="3"/>
        <v>-1</v>
      </c>
      <c r="O80" s="205">
        <f t="shared" si="4"/>
        <v>0</v>
      </c>
      <c r="P80" s="206">
        <f t="shared" si="5"/>
        <v>0</v>
      </c>
      <c r="Q80" s="206">
        <f t="shared" si="6"/>
        <v>-1</v>
      </c>
      <c r="R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276290</v>
      </c>
      <c r="T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0" s="208">
        <f ca="1">IF(Tabla33610673[[#This Row],[Equity]]&lt;Tabla33610673[[#This Row],[Equity Peak]],(Tabla33610673[[#This Row],[Equity Peak]]-Tabla33610673[[#This Row],[Equity]])/Tabla33610673[[#This Row],[Equity Peak]],"")</f>
        <v>1.2897463379778493E-2</v>
      </c>
      <c r="V80" s="209">
        <f t="shared" si="7"/>
        <v>0</v>
      </c>
      <c r="W80" s="209">
        <f t="shared" si="8"/>
        <v>0</v>
      </c>
      <c r="X80" s="209">
        <f t="shared" si="9"/>
        <v>0</v>
      </c>
      <c r="Y80" s="209">
        <f t="shared" si="10"/>
        <v>0</v>
      </c>
      <c r="Z80" s="209">
        <f t="shared" si="11"/>
        <v>0</v>
      </c>
      <c r="AA80" s="205">
        <f t="shared" si="12"/>
        <v>0</v>
      </c>
      <c r="AB80" s="209">
        <f t="shared" si="13"/>
        <v>-1</v>
      </c>
      <c r="AC80" s="205">
        <f t="shared" si="14"/>
        <v>0</v>
      </c>
      <c r="AD80" s="210">
        <f t="shared" si="15"/>
        <v>0.56736111110512866</v>
      </c>
      <c r="AE80" s="210">
        <f t="shared" si="16"/>
        <v>0</v>
      </c>
      <c r="AF80" s="210">
        <f t="shared" si="17"/>
        <v>0.56736111110512866</v>
      </c>
      <c r="AG80" s="210">
        <f t="shared" si="18"/>
        <v>0</v>
      </c>
    </row>
    <row r="81" spans="2:33" ht="15" customHeight="1" x14ac:dyDescent="0.3">
      <c r="B81" s="196" t="s">
        <v>7</v>
      </c>
      <c r="C81" s="197" t="s">
        <v>13</v>
      </c>
      <c r="D81" s="198" t="str">
        <f t="shared" ref="D81:D144" si="19">IF(E81&lt;&gt;"",IF(K81&lt;&gt;"","C","O"),"")</f>
        <v>C</v>
      </c>
      <c r="E81" s="199">
        <v>44516.833333333336</v>
      </c>
      <c r="F81" s="200" t="s">
        <v>120</v>
      </c>
      <c r="G81" s="201">
        <v>0.84353999999999996</v>
      </c>
      <c r="H81" s="201">
        <v>0.84643999999999997</v>
      </c>
      <c r="I81" s="202">
        <f t="shared" ref="I81:I144" si="20">ABS(G81-H81)</f>
        <v>2.9000000000000137E-3</v>
      </c>
      <c r="J81" s="201">
        <v>0.83579000000000003</v>
      </c>
      <c r="K81" s="199">
        <v>44526.379861111112</v>
      </c>
      <c r="L81" s="201">
        <v>0.84433000000000002</v>
      </c>
      <c r="M81" s="203">
        <f t="shared" ref="M81:M144" si="21">ROUND(IF(C81="L",(L81-G81),(G81-L81)),4)</f>
        <v>-8.0000000000000004E-4</v>
      </c>
      <c r="N81" s="204">
        <f t="shared" ref="N81:N144" si="22">IFERROR(ROUND((M81/I81),2),"")</f>
        <v>-0.28000000000000003</v>
      </c>
      <c r="O81" s="205">
        <f t="shared" ref="O81:O144" si="23">IF(D81="O",IF(N81&lt;0,N81,0),0)</f>
        <v>0</v>
      </c>
      <c r="P81" s="206">
        <f t="shared" ref="P81:P144" si="24">IF(N81&gt;= 0,N81,0)</f>
        <v>0</v>
      </c>
      <c r="Q81" s="206">
        <f t="shared" ref="Q81:Q144" si="25">IF(N81&lt;0,N81,0)</f>
        <v>-0.28000000000000003</v>
      </c>
      <c r="R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277290</v>
      </c>
      <c r="T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1" s="208">
        <f ca="1">IF(Tabla33610673[[#This Row],[Equity]]&lt;Tabla33610673[[#This Row],[Equity Peak]],(Tabla33610673[[#This Row],[Equity Peak]]-Tabla33610673[[#This Row],[Equity]])/Tabla33610673[[#This Row],[Equity Peak]],"")</f>
        <v>9.3247588424437301E-3</v>
      </c>
      <c r="V81" s="209">
        <f t="shared" ref="V81:V144" si="26">IF(B81="FX",N81,0)</f>
        <v>-0.28000000000000003</v>
      </c>
      <c r="W81" s="209">
        <f t="shared" ref="W81:W144" si="27">IF(D81="O",IF(V81&lt;0,V81,0),0)</f>
        <v>0</v>
      </c>
      <c r="X81" s="209">
        <f t="shared" ref="X81:X144" si="28">IF(B81="COM",N81,0)</f>
        <v>0</v>
      </c>
      <c r="Y81" s="209">
        <f t="shared" ref="Y81:Y144" si="29">IF(D81="O",IF(X81&lt;0,X81,0),0)</f>
        <v>0</v>
      </c>
      <c r="Z81" s="209">
        <f t="shared" ref="Z81:Z144" si="30">IF(B81="IND",N81,0)</f>
        <v>0</v>
      </c>
      <c r="AA81" s="205">
        <f t="shared" ref="AA81:AA144" si="31">IF(D81="O",IF(Z81&lt;0,Z81,0),0)</f>
        <v>0</v>
      </c>
      <c r="AB81" s="209">
        <f t="shared" ref="AB81:AB144" si="32">IF(B81="CRYPTO",N81,0)</f>
        <v>0</v>
      </c>
      <c r="AC81" s="205">
        <f t="shared" ref="AC81:AC144" si="33">IF(D81="O",IF(AB81&lt;0,AB81,0),0)</f>
        <v>0</v>
      </c>
      <c r="AD81" s="210">
        <f t="shared" ref="AD81:AD144" si="34">IF(K81&lt;&gt;"",K81-E81,0)</f>
        <v>9.546527777776646</v>
      </c>
      <c r="AE81" s="210">
        <f t="shared" ref="AE81:AE144" si="35">IF(N81&gt;0,AD81,0)</f>
        <v>0</v>
      </c>
      <c r="AF81" s="210">
        <f t="shared" ref="AF81:AF144" si="36">IF(N81&lt;0,AD81,0)</f>
        <v>9.546527777776646</v>
      </c>
      <c r="AG81" s="210">
        <f t="shared" ref="AG81:AG144" si="37">IF(N81=0,AD81,0)</f>
        <v>0</v>
      </c>
    </row>
    <row r="82" spans="2:33" ht="15" customHeight="1" x14ac:dyDescent="0.3">
      <c r="B82" s="196" t="s">
        <v>5</v>
      </c>
      <c r="C82" s="197" t="s">
        <v>15</v>
      </c>
      <c r="D82" s="198" t="str">
        <f t="shared" si="19"/>
        <v>C</v>
      </c>
      <c r="E82" s="199">
        <v>44525.125</v>
      </c>
      <c r="F82" s="200" t="s">
        <v>94</v>
      </c>
      <c r="G82" s="201">
        <v>7298.64</v>
      </c>
      <c r="H82" s="201">
        <v>7217.76</v>
      </c>
      <c r="I82" s="202">
        <f t="shared" si="20"/>
        <v>80.880000000000109</v>
      </c>
      <c r="J82" s="201">
        <v>7703.05</v>
      </c>
      <c r="K82" s="199">
        <v>44526.125</v>
      </c>
      <c r="L82" s="201">
        <v>7263.57</v>
      </c>
      <c r="M82" s="203">
        <f t="shared" si="21"/>
        <v>-35.07</v>
      </c>
      <c r="N82" s="204">
        <f t="shared" si="22"/>
        <v>-0.43</v>
      </c>
      <c r="O82" s="205">
        <f t="shared" si="23"/>
        <v>0</v>
      </c>
      <c r="P82" s="206">
        <f t="shared" si="24"/>
        <v>0</v>
      </c>
      <c r="Q82" s="206">
        <f t="shared" si="25"/>
        <v>-0.43</v>
      </c>
      <c r="R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277570</v>
      </c>
      <c r="T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2" s="208">
        <f ca="1">IF(Tabla33610673[[#This Row],[Equity]]&lt;Tabla33610673[[#This Row],[Equity Peak]],(Tabla33610673[[#This Row],[Equity Peak]]-Tabla33610673[[#This Row],[Equity]])/Tabla33610673[[#This Row],[Equity Peak]],"")</f>
        <v>8.3244015719899957E-3</v>
      </c>
      <c r="V82" s="209">
        <f t="shared" si="26"/>
        <v>0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-0.43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1</v>
      </c>
      <c r="AE82" s="210">
        <f t="shared" si="35"/>
        <v>0</v>
      </c>
      <c r="AF82" s="210">
        <f t="shared" si="36"/>
        <v>1</v>
      </c>
      <c r="AG82" s="210">
        <f t="shared" si="37"/>
        <v>0</v>
      </c>
    </row>
    <row r="83" spans="2:33" ht="15" customHeight="1" x14ac:dyDescent="0.3">
      <c r="B83" s="196" t="s">
        <v>7</v>
      </c>
      <c r="C83" s="197" t="s">
        <v>15</v>
      </c>
      <c r="D83" s="198" t="str">
        <f t="shared" si="19"/>
        <v>C</v>
      </c>
      <c r="E83" s="199">
        <v>44524.833333333336</v>
      </c>
      <c r="F83" s="200" t="s">
        <v>114</v>
      </c>
      <c r="G83" s="201">
        <v>115.44799999999999</v>
      </c>
      <c r="H83" s="201">
        <v>114.49299999999999</v>
      </c>
      <c r="I83" s="202">
        <f t="shared" si="20"/>
        <v>0.95499999999999829</v>
      </c>
      <c r="J83" s="201">
        <v>119.90600000000001</v>
      </c>
      <c r="K83" s="199">
        <v>44526.081250000003</v>
      </c>
      <c r="L83" s="201">
        <v>115.06699999999999</v>
      </c>
      <c r="M83" s="203">
        <f t="shared" si="21"/>
        <v>-0.38100000000000001</v>
      </c>
      <c r="N83" s="204">
        <f t="shared" si="22"/>
        <v>-0.4</v>
      </c>
      <c r="O83" s="205">
        <f t="shared" si="23"/>
        <v>0</v>
      </c>
      <c r="P83" s="206">
        <f t="shared" si="24"/>
        <v>0</v>
      </c>
      <c r="Q83" s="206">
        <f t="shared" si="25"/>
        <v>-0.4</v>
      </c>
      <c r="R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278000</v>
      </c>
      <c r="T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3" s="208">
        <f ca="1">IF(Tabla33610673[[#This Row],[Equity]]&lt;Tabla33610673[[#This Row],[Equity Peak]],(Tabla33610673[[#This Row],[Equity Peak]]-Tabla33610673[[#This Row],[Equity]])/Tabla33610673[[#This Row],[Equity Peak]],"")</f>
        <v>6.7881386209360482E-3</v>
      </c>
      <c r="V83" s="209">
        <f t="shared" si="26"/>
        <v>-0.4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0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1.2479166666671517</v>
      </c>
      <c r="AE83" s="210">
        <f t="shared" si="35"/>
        <v>0</v>
      </c>
      <c r="AF83" s="210">
        <f t="shared" si="36"/>
        <v>1.2479166666671517</v>
      </c>
      <c r="AG83" s="210">
        <f t="shared" si="37"/>
        <v>0</v>
      </c>
    </row>
    <row r="84" spans="2:33" ht="15" customHeight="1" x14ac:dyDescent="0.3">
      <c r="B84" s="196" t="s">
        <v>5</v>
      </c>
      <c r="C84" s="197" t="s">
        <v>15</v>
      </c>
      <c r="D84" s="198" t="str">
        <f t="shared" si="19"/>
        <v>C</v>
      </c>
      <c r="E84" s="199">
        <v>44525.375</v>
      </c>
      <c r="F84" s="200" t="s">
        <v>95</v>
      </c>
      <c r="G84" s="201">
        <v>35950.550000000003</v>
      </c>
      <c r="H84" s="201">
        <v>35730.65</v>
      </c>
      <c r="I84" s="202">
        <f t="shared" si="20"/>
        <v>219.90000000000146</v>
      </c>
      <c r="J84" s="201">
        <v>36830.14</v>
      </c>
      <c r="K84" s="199">
        <v>44526.064583333333</v>
      </c>
      <c r="L84" s="201">
        <v>35730.65</v>
      </c>
      <c r="M84" s="203">
        <f t="shared" si="21"/>
        <v>-219.9</v>
      </c>
      <c r="N84" s="204">
        <f t="shared" si="22"/>
        <v>-1</v>
      </c>
      <c r="O84" s="205">
        <f t="shared" si="23"/>
        <v>0</v>
      </c>
      <c r="P84" s="206">
        <f t="shared" si="24"/>
        <v>0</v>
      </c>
      <c r="Q84" s="206">
        <f t="shared" si="25"/>
        <v>-1</v>
      </c>
      <c r="R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278400</v>
      </c>
      <c r="T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4" s="208">
        <f ca="1">IF(Tabla33610673[[#This Row],[Equity]]&lt;Tabla33610673[[#This Row],[Equity Peak]],(Tabla33610673[[#This Row],[Equity Peak]]-Tabla33610673[[#This Row],[Equity]])/Tabla33610673[[#This Row],[Equity Peak]],"")</f>
        <v>5.3590568060021436E-3</v>
      </c>
      <c r="V84" s="209">
        <f t="shared" si="26"/>
        <v>0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-1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0.68958333333284827</v>
      </c>
      <c r="AE84" s="210">
        <f t="shared" si="35"/>
        <v>0</v>
      </c>
      <c r="AF84" s="210">
        <f t="shared" si="36"/>
        <v>0.68958333333284827</v>
      </c>
      <c r="AG84" s="210">
        <f t="shared" si="37"/>
        <v>0</v>
      </c>
    </row>
    <row r="85" spans="2:33" ht="15" customHeight="1" x14ac:dyDescent="0.3">
      <c r="B85" s="196" t="s">
        <v>7</v>
      </c>
      <c r="C85" s="197" t="s">
        <v>15</v>
      </c>
      <c r="D85" s="198" t="str">
        <f t="shared" si="19"/>
        <v>C</v>
      </c>
      <c r="E85" s="199">
        <v>44523.333333333336</v>
      </c>
      <c r="F85" s="200" t="s">
        <v>114</v>
      </c>
      <c r="G85" s="201">
        <v>115.113</v>
      </c>
      <c r="H85" s="201">
        <v>114.306</v>
      </c>
      <c r="I85" s="202">
        <f t="shared" si="20"/>
        <v>0.80700000000000216</v>
      </c>
      <c r="J85" s="201">
        <v>118.878</v>
      </c>
      <c r="K85" s="199">
        <v>44523.393055555556</v>
      </c>
      <c r="L85" s="201">
        <v>114.712</v>
      </c>
      <c r="M85" s="203">
        <f t="shared" si="21"/>
        <v>-0.40100000000000002</v>
      </c>
      <c r="N85" s="204">
        <f t="shared" si="22"/>
        <v>-0.5</v>
      </c>
      <c r="O85" s="205">
        <f t="shared" si="23"/>
        <v>0</v>
      </c>
      <c r="P85" s="206">
        <f t="shared" si="24"/>
        <v>0</v>
      </c>
      <c r="Q85" s="206">
        <f t="shared" si="25"/>
        <v>-0.5</v>
      </c>
      <c r="R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279400</v>
      </c>
      <c r="T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5" s="208">
        <f ca="1">IF(Tabla33610673[[#This Row],[Equity]]&lt;Tabla33610673[[#This Row],[Equity Peak]],(Tabla33610673[[#This Row],[Equity Peak]]-Tabla33610673[[#This Row],[Equity]])/Tabla33610673[[#This Row],[Equity Peak]],"")</f>
        <v>1.7863522686673813E-3</v>
      </c>
      <c r="V85" s="209">
        <f t="shared" si="26"/>
        <v>-0.5</v>
      </c>
      <c r="W85" s="209">
        <f t="shared" si="27"/>
        <v>0</v>
      </c>
      <c r="X85" s="209">
        <f t="shared" si="28"/>
        <v>0</v>
      </c>
      <c r="Y85" s="209">
        <f t="shared" si="29"/>
        <v>0</v>
      </c>
      <c r="Z85" s="209">
        <f t="shared" si="30"/>
        <v>0</v>
      </c>
      <c r="AA85" s="205">
        <f t="shared" si="31"/>
        <v>0</v>
      </c>
      <c r="AB85" s="209">
        <f t="shared" si="32"/>
        <v>0</v>
      </c>
      <c r="AC85" s="205">
        <f t="shared" si="33"/>
        <v>0</v>
      </c>
      <c r="AD85" s="210">
        <f t="shared" si="34"/>
        <v>5.9722222220443655E-2</v>
      </c>
      <c r="AE85" s="210">
        <f t="shared" si="35"/>
        <v>0</v>
      </c>
      <c r="AF85" s="210">
        <f t="shared" si="36"/>
        <v>5.9722222220443655E-2</v>
      </c>
      <c r="AG85" s="210">
        <f t="shared" si="37"/>
        <v>0</v>
      </c>
    </row>
    <row r="86" spans="2:33" ht="15" customHeight="1" x14ac:dyDescent="0.3">
      <c r="B86" s="196" t="s">
        <v>5</v>
      </c>
      <c r="C86" s="197" t="s">
        <v>15</v>
      </c>
      <c r="D86" s="198" t="str">
        <f t="shared" si="19"/>
        <v>C</v>
      </c>
      <c r="E86" s="199">
        <v>44487.46875</v>
      </c>
      <c r="F86" s="200" t="s">
        <v>91</v>
      </c>
      <c r="G86" s="201">
        <v>15529.65</v>
      </c>
      <c r="H86" s="201">
        <v>15329.13</v>
      </c>
      <c r="I86" s="202">
        <f t="shared" si="20"/>
        <v>200.52000000000044</v>
      </c>
      <c r="J86" s="201">
        <v>16331.72</v>
      </c>
      <c r="K86" s="199">
        <v>44523.379861111112</v>
      </c>
      <c r="L86" s="201">
        <v>16013.2</v>
      </c>
      <c r="M86" s="203">
        <f t="shared" si="21"/>
        <v>483.55</v>
      </c>
      <c r="N86" s="204">
        <f t="shared" si="22"/>
        <v>2.41</v>
      </c>
      <c r="O86" s="205">
        <f t="shared" si="23"/>
        <v>0</v>
      </c>
      <c r="P86" s="206">
        <f t="shared" si="24"/>
        <v>2.41</v>
      </c>
      <c r="Q86" s="206">
        <f t="shared" si="25"/>
        <v>0</v>
      </c>
      <c r="R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279900</v>
      </c>
      <c r="T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279900</v>
      </c>
      <c r="U8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86" s="209">
        <f t="shared" si="26"/>
        <v>0</v>
      </c>
      <c r="W86" s="209">
        <f t="shared" si="27"/>
        <v>0</v>
      </c>
      <c r="X86" s="209">
        <f t="shared" si="28"/>
        <v>0</v>
      </c>
      <c r="Y86" s="209">
        <f t="shared" si="29"/>
        <v>0</v>
      </c>
      <c r="Z86" s="209">
        <f t="shared" si="30"/>
        <v>2.41</v>
      </c>
      <c r="AA86" s="205">
        <f t="shared" si="31"/>
        <v>0</v>
      </c>
      <c r="AB86" s="209">
        <f t="shared" si="32"/>
        <v>0</v>
      </c>
      <c r="AC86" s="205">
        <f t="shared" si="33"/>
        <v>0</v>
      </c>
      <c r="AD86" s="210">
        <f t="shared" si="34"/>
        <v>35.911111111112405</v>
      </c>
      <c r="AE86" s="210">
        <f t="shared" si="35"/>
        <v>35.911111111112405</v>
      </c>
      <c r="AF86" s="210">
        <f t="shared" si="36"/>
        <v>0</v>
      </c>
      <c r="AG86" s="210">
        <f t="shared" si="37"/>
        <v>0</v>
      </c>
    </row>
    <row r="87" spans="2:33" ht="15" customHeight="1" x14ac:dyDescent="0.3">
      <c r="B87" s="196" t="s">
        <v>7</v>
      </c>
      <c r="C87" s="197" t="s">
        <v>13</v>
      </c>
      <c r="D87" s="198" t="str">
        <f t="shared" si="19"/>
        <v>C</v>
      </c>
      <c r="E87" s="199">
        <v>44522.333333333336</v>
      </c>
      <c r="F87" s="200" t="s">
        <v>121</v>
      </c>
      <c r="G87" s="201">
        <v>1.5546199999999999</v>
      </c>
      <c r="H87" s="201">
        <v>1.56087</v>
      </c>
      <c r="I87" s="202">
        <f t="shared" si="20"/>
        <v>6.2500000000000888E-3</v>
      </c>
      <c r="J87" s="201">
        <v>1.4879599999999999</v>
      </c>
      <c r="K87" s="199">
        <v>44523.321527777778</v>
      </c>
      <c r="L87" s="201">
        <v>1.55735</v>
      </c>
      <c r="M87" s="203">
        <f t="shared" si="21"/>
        <v>-2.7000000000000001E-3</v>
      </c>
      <c r="N87" s="204">
        <f t="shared" si="22"/>
        <v>-0.43</v>
      </c>
      <c r="O87" s="205">
        <f t="shared" si="23"/>
        <v>0</v>
      </c>
      <c r="P87" s="206">
        <f t="shared" si="24"/>
        <v>0</v>
      </c>
      <c r="Q87" s="206">
        <f t="shared" si="25"/>
        <v>-0.43</v>
      </c>
      <c r="R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277490</v>
      </c>
      <c r="T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279590</v>
      </c>
      <c r="U87" s="208">
        <f ca="1">IF(Tabla33610673[[#This Row],[Equity]]&lt;Tabla33610673[[#This Row],[Equity Peak]],(Tabla33610673[[#This Row],[Equity Peak]]-Tabla33610673[[#This Row],[Equity]])/Tabla33610673[[#This Row],[Equity Peak]],"")</f>
        <v>7.5109982474337424E-3</v>
      </c>
      <c r="V87" s="209">
        <f t="shared" si="26"/>
        <v>-0.43</v>
      </c>
      <c r="W87" s="209">
        <f t="shared" si="27"/>
        <v>0</v>
      </c>
      <c r="X87" s="209">
        <f t="shared" si="28"/>
        <v>0</v>
      </c>
      <c r="Y87" s="209">
        <f t="shared" si="29"/>
        <v>0</v>
      </c>
      <c r="Z87" s="209">
        <f t="shared" si="30"/>
        <v>0</v>
      </c>
      <c r="AA87" s="205">
        <f t="shared" si="31"/>
        <v>0</v>
      </c>
      <c r="AB87" s="209">
        <f t="shared" si="32"/>
        <v>0</v>
      </c>
      <c r="AC87" s="205">
        <f t="shared" si="33"/>
        <v>0</v>
      </c>
      <c r="AD87" s="210">
        <f t="shared" si="34"/>
        <v>0.9881944444423425</v>
      </c>
      <c r="AE87" s="210">
        <f t="shared" si="35"/>
        <v>0</v>
      </c>
      <c r="AF87" s="210">
        <f t="shared" si="36"/>
        <v>0.9881944444423425</v>
      </c>
      <c r="AG87" s="210">
        <f t="shared" si="37"/>
        <v>0</v>
      </c>
    </row>
    <row r="88" spans="2:33" ht="15" customHeight="1" x14ac:dyDescent="0.3">
      <c r="B88" s="196" t="s">
        <v>5</v>
      </c>
      <c r="C88" s="197" t="s">
        <v>13</v>
      </c>
      <c r="D88" s="198" t="str">
        <f t="shared" si="19"/>
        <v>C</v>
      </c>
      <c r="E88" s="199">
        <v>44518.673611111109</v>
      </c>
      <c r="F88" s="200" t="s">
        <v>90</v>
      </c>
      <c r="G88" s="201">
        <v>7371.33</v>
      </c>
      <c r="H88" s="201">
        <v>7413.12</v>
      </c>
      <c r="I88" s="202">
        <f t="shared" si="20"/>
        <v>41.789999999999964</v>
      </c>
      <c r="J88" s="201">
        <v>6814.07</v>
      </c>
      <c r="K88" s="199">
        <v>44523.053472222222</v>
      </c>
      <c r="L88" s="201">
        <v>7391.98</v>
      </c>
      <c r="M88" s="203">
        <f t="shared" si="21"/>
        <v>-20.65</v>
      </c>
      <c r="N88" s="204">
        <f t="shared" si="22"/>
        <v>-0.49</v>
      </c>
      <c r="O88" s="205">
        <f t="shared" si="23"/>
        <v>0</v>
      </c>
      <c r="P88" s="206">
        <f t="shared" si="24"/>
        <v>0</v>
      </c>
      <c r="Q88" s="206">
        <f t="shared" si="25"/>
        <v>-0.49</v>
      </c>
      <c r="R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277920</v>
      </c>
      <c r="T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279590</v>
      </c>
      <c r="U88" s="208">
        <f ca="1">IF(Tabla33610673[[#This Row],[Equity]]&lt;Tabla33610673[[#This Row],[Equity Peak]],(Tabla33610673[[#This Row],[Equity Peak]]-Tabla33610673[[#This Row],[Equity]])/Tabla33610673[[#This Row],[Equity Peak]],"")</f>
        <v>5.9730319396258807E-3</v>
      </c>
      <c r="V88" s="209">
        <f t="shared" si="26"/>
        <v>0</v>
      </c>
      <c r="W88" s="209">
        <f t="shared" si="27"/>
        <v>0</v>
      </c>
      <c r="X88" s="209">
        <f t="shared" si="28"/>
        <v>0</v>
      </c>
      <c r="Y88" s="209">
        <f t="shared" si="29"/>
        <v>0</v>
      </c>
      <c r="Z88" s="209">
        <f t="shared" si="30"/>
        <v>-0.49</v>
      </c>
      <c r="AA88" s="205">
        <f t="shared" si="31"/>
        <v>0</v>
      </c>
      <c r="AB88" s="209">
        <f t="shared" si="32"/>
        <v>0</v>
      </c>
      <c r="AC88" s="205">
        <f t="shared" si="33"/>
        <v>0</v>
      </c>
      <c r="AD88" s="210">
        <f t="shared" si="34"/>
        <v>4.3798611111124046</v>
      </c>
      <c r="AE88" s="210">
        <f t="shared" si="35"/>
        <v>0</v>
      </c>
      <c r="AF88" s="210">
        <f t="shared" si="36"/>
        <v>4.3798611111124046</v>
      </c>
      <c r="AG88" s="210">
        <f t="shared" si="37"/>
        <v>0</v>
      </c>
    </row>
    <row r="89" spans="2:33" ht="15" customHeight="1" x14ac:dyDescent="0.3">
      <c r="B89" s="196" t="s">
        <v>7</v>
      </c>
      <c r="C89" s="197" t="s">
        <v>15</v>
      </c>
      <c r="D89" s="198" t="str">
        <f t="shared" si="19"/>
        <v>C</v>
      </c>
      <c r="E89" s="199">
        <v>44518.833333333336</v>
      </c>
      <c r="F89" s="200" t="s">
        <v>121</v>
      </c>
      <c r="G89" s="201">
        <v>1.5626599999999999</v>
      </c>
      <c r="H89" s="201">
        <v>1.5556099999999999</v>
      </c>
      <c r="I89" s="202">
        <f t="shared" si="20"/>
        <v>7.0500000000000007E-3</v>
      </c>
      <c r="J89" s="201">
        <v>1.6378600000000001</v>
      </c>
      <c r="K89" s="199">
        <v>44522.251388888886</v>
      </c>
      <c r="L89" s="201">
        <v>1.5556099999999999</v>
      </c>
      <c r="M89" s="203">
        <f t="shared" si="21"/>
        <v>-7.1000000000000004E-3</v>
      </c>
      <c r="N89" s="204">
        <f t="shared" si="22"/>
        <v>-1.01</v>
      </c>
      <c r="O89" s="205">
        <f t="shared" si="23"/>
        <v>0</v>
      </c>
      <c r="P89" s="206">
        <f t="shared" si="24"/>
        <v>0</v>
      </c>
      <c r="Q89" s="206">
        <f t="shared" si="25"/>
        <v>-1.01</v>
      </c>
      <c r="R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278410</v>
      </c>
      <c r="T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279590</v>
      </c>
      <c r="U89" s="208">
        <f ca="1">IF(Tabla33610673[[#This Row],[Equity]]&lt;Tabla33610673[[#This Row],[Equity Peak]],(Tabla33610673[[#This Row],[Equity Peak]]-Tabla33610673[[#This Row],[Equity]])/Tabla33610673[[#This Row],[Equity Peak]],"")</f>
        <v>4.2204656818913408E-3</v>
      </c>
      <c r="V89" s="209">
        <f t="shared" si="26"/>
        <v>-1.01</v>
      </c>
      <c r="W89" s="209">
        <f t="shared" si="27"/>
        <v>0</v>
      </c>
      <c r="X89" s="209">
        <f t="shared" si="28"/>
        <v>0</v>
      </c>
      <c r="Y89" s="209">
        <f t="shared" si="29"/>
        <v>0</v>
      </c>
      <c r="Z89" s="209">
        <f t="shared" si="30"/>
        <v>0</v>
      </c>
      <c r="AA89" s="205">
        <f t="shared" si="31"/>
        <v>0</v>
      </c>
      <c r="AB89" s="209">
        <f t="shared" si="32"/>
        <v>0</v>
      </c>
      <c r="AC89" s="205">
        <f t="shared" si="33"/>
        <v>0</v>
      </c>
      <c r="AD89" s="210">
        <f t="shared" si="34"/>
        <v>3.4180555555503815</v>
      </c>
      <c r="AE89" s="210">
        <f t="shared" si="35"/>
        <v>0</v>
      </c>
      <c r="AF89" s="210">
        <f t="shared" si="36"/>
        <v>3.4180555555503815</v>
      </c>
      <c r="AG89" s="210">
        <f t="shared" si="37"/>
        <v>0</v>
      </c>
    </row>
    <row r="90" spans="2:33" ht="15" customHeight="1" x14ac:dyDescent="0.3">
      <c r="B90" s="196" t="s">
        <v>84</v>
      </c>
      <c r="C90" s="197" t="s">
        <v>13</v>
      </c>
      <c r="D90" s="198" t="str">
        <f t="shared" si="19"/>
        <v>C</v>
      </c>
      <c r="E90" s="199">
        <v>44516.333333333336</v>
      </c>
      <c r="F90" s="200" t="s">
        <v>82</v>
      </c>
      <c r="G90" s="201">
        <v>4337.55</v>
      </c>
      <c r="H90" s="201">
        <v>4492.53</v>
      </c>
      <c r="I90" s="202">
        <f t="shared" si="20"/>
        <v>154.97999999999956</v>
      </c>
      <c r="J90" s="201">
        <v>1444.55</v>
      </c>
      <c r="K90" s="199">
        <v>44520.848611111112</v>
      </c>
      <c r="L90" s="201">
        <v>4354.41</v>
      </c>
      <c r="M90" s="203">
        <f t="shared" si="21"/>
        <v>-16.86</v>
      </c>
      <c r="N90" s="204">
        <f t="shared" si="22"/>
        <v>-0.11</v>
      </c>
      <c r="O90" s="205">
        <f t="shared" si="23"/>
        <v>0</v>
      </c>
      <c r="P90" s="206">
        <f t="shared" si="24"/>
        <v>0</v>
      </c>
      <c r="Q90" s="206">
        <f t="shared" si="25"/>
        <v>-0.11</v>
      </c>
      <c r="R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279420</v>
      </c>
      <c r="T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279590</v>
      </c>
      <c r="U90" s="208">
        <f ca="1">IF(Tabla33610673[[#This Row],[Equity]]&lt;Tabla33610673[[#This Row],[Equity Peak]],(Tabla33610673[[#This Row],[Equity Peak]]-Tabla33610673[[#This Row],[Equity]])/Tabla33610673[[#This Row],[Equity Peak]],"")</f>
        <v>6.0803319145892197E-4</v>
      </c>
      <c r="V90" s="209">
        <f t="shared" si="26"/>
        <v>0</v>
      </c>
      <c r="W90" s="209">
        <f t="shared" si="27"/>
        <v>0</v>
      </c>
      <c r="X90" s="209">
        <f t="shared" si="28"/>
        <v>0</v>
      </c>
      <c r="Y90" s="209">
        <f t="shared" si="29"/>
        <v>0</v>
      </c>
      <c r="Z90" s="209">
        <f t="shared" si="30"/>
        <v>0</v>
      </c>
      <c r="AA90" s="205">
        <f t="shared" si="31"/>
        <v>0</v>
      </c>
      <c r="AB90" s="209">
        <f t="shared" si="32"/>
        <v>-0.11</v>
      </c>
      <c r="AC90" s="205">
        <f t="shared" si="33"/>
        <v>0</v>
      </c>
      <c r="AD90" s="210">
        <f t="shared" si="34"/>
        <v>4.515277777776646</v>
      </c>
      <c r="AE90" s="210">
        <f t="shared" si="35"/>
        <v>0</v>
      </c>
      <c r="AF90" s="210">
        <f t="shared" si="36"/>
        <v>4.515277777776646</v>
      </c>
      <c r="AG90" s="210">
        <f t="shared" si="37"/>
        <v>0</v>
      </c>
    </row>
    <row r="91" spans="2:33" ht="15" customHeight="1" x14ac:dyDescent="0.3">
      <c r="B91" s="196" t="s">
        <v>5</v>
      </c>
      <c r="C91" s="197" t="s">
        <v>13</v>
      </c>
      <c r="D91" s="198" t="str">
        <f t="shared" si="19"/>
        <v>C</v>
      </c>
      <c r="E91" s="199">
        <v>44517.791666666664</v>
      </c>
      <c r="F91" s="200" t="s">
        <v>94</v>
      </c>
      <c r="G91" s="201">
        <v>7290.63</v>
      </c>
      <c r="H91" s="201">
        <v>7338.76</v>
      </c>
      <c r="I91" s="202">
        <f t="shared" si="20"/>
        <v>48.130000000000109</v>
      </c>
      <c r="J91" s="201">
        <v>7049.97</v>
      </c>
      <c r="K91" s="199">
        <v>44519.350694444445</v>
      </c>
      <c r="L91" s="201">
        <v>7293.65</v>
      </c>
      <c r="M91" s="203">
        <f t="shared" si="21"/>
        <v>-3.02</v>
      </c>
      <c r="N91" s="204">
        <f t="shared" si="22"/>
        <v>-0.06</v>
      </c>
      <c r="O91" s="205">
        <f t="shared" si="23"/>
        <v>0</v>
      </c>
      <c r="P91" s="206">
        <f t="shared" si="24"/>
        <v>0</v>
      </c>
      <c r="Q91" s="206">
        <f t="shared" si="25"/>
        <v>-0.06</v>
      </c>
      <c r="R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279530</v>
      </c>
      <c r="T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279590</v>
      </c>
      <c r="U91" s="208">
        <f ca="1">IF(Tabla33610673[[#This Row],[Equity]]&lt;Tabla33610673[[#This Row],[Equity Peak]],(Tabla33610673[[#This Row],[Equity Peak]]-Tabla33610673[[#This Row],[Equity]])/Tabla33610673[[#This Row],[Equity Peak]],"")</f>
        <v>2.1459994992667836E-4</v>
      </c>
      <c r="V91" s="209">
        <f t="shared" si="26"/>
        <v>0</v>
      </c>
      <c r="W91" s="209">
        <f t="shared" si="27"/>
        <v>0</v>
      </c>
      <c r="X91" s="209">
        <f t="shared" si="28"/>
        <v>0</v>
      </c>
      <c r="Y91" s="209">
        <f t="shared" si="29"/>
        <v>0</v>
      </c>
      <c r="Z91" s="209">
        <f t="shared" si="30"/>
        <v>-0.06</v>
      </c>
      <c r="AA91" s="205">
        <f t="shared" si="31"/>
        <v>0</v>
      </c>
      <c r="AB91" s="209">
        <f t="shared" si="32"/>
        <v>0</v>
      </c>
      <c r="AC91" s="205">
        <f t="shared" si="33"/>
        <v>0</v>
      </c>
      <c r="AD91" s="210">
        <f t="shared" si="34"/>
        <v>1.5590277777810115</v>
      </c>
      <c r="AE91" s="210">
        <f t="shared" si="35"/>
        <v>0</v>
      </c>
      <c r="AF91" s="210">
        <f t="shared" si="36"/>
        <v>1.5590277777810115</v>
      </c>
      <c r="AG91" s="210">
        <f t="shared" si="37"/>
        <v>0</v>
      </c>
    </row>
    <row r="92" spans="2:33" ht="15" customHeight="1" x14ac:dyDescent="0.3">
      <c r="B92" s="196" t="s">
        <v>7</v>
      </c>
      <c r="C92" s="197" t="s">
        <v>13</v>
      </c>
      <c r="D92" s="198" t="str">
        <f t="shared" si="19"/>
        <v>C</v>
      </c>
      <c r="E92" s="199">
        <v>44510.833333333336</v>
      </c>
      <c r="F92" s="200" t="s">
        <v>118</v>
      </c>
      <c r="G92" s="201">
        <v>1.15123</v>
      </c>
      <c r="H92" s="201">
        <v>1.1578999999999999</v>
      </c>
      <c r="I92" s="202">
        <f t="shared" si="20"/>
        <v>6.6699999999999537E-3</v>
      </c>
      <c r="J92" s="201">
        <v>1.1085199999999999</v>
      </c>
      <c r="K92" s="199">
        <v>44518.724305555559</v>
      </c>
      <c r="L92" s="201">
        <v>1.1355200000000001</v>
      </c>
      <c r="M92" s="203">
        <f t="shared" si="21"/>
        <v>1.5699999999999999E-2</v>
      </c>
      <c r="N92" s="204">
        <f t="shared" si="22"/>
        <v>2.35</v>
      </c>
      <c r="O92" s="205">
        <f t="shared" si="23"/>
        <v>0</v>
      </c>
      <c r="P92" s="206">
        <f t="shared" si="24"/>
        <v>2.35</v>
      </c>
      <c r="Q92" s="206">
        <f t="shared" si="25"/>
        <v>0</v>
      </c>
      <c r="R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279590</v>
      </c>
      <c r="T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279590</v>
      </c>
      <c r="U9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2" s="209">
        <f t="shared" si="26"/>
        <v>2.35</v>
      </c>
      <c r="W92" s="209">
        <f t="shared" si="27"/>
        <v>0</v>
      </c>
      <c r="X92" s="209">
        <f t="shared" si="28"/>
        <v>0</v>
      </c>
      <c r="Y92" s="209">
        <f t="shared" si="29"/>
        <v>0</v>
      </c>
      <c r="Z92" s="209">
        <f t="shared" si="30"/>
        <v>0</v>
      </c>
      <c r="AA92" s="205">
        <f t="shared" si="31"/>
        <v>0</v>
      </c>
      <c r="AB92" s="209">
        <f t="shared" si="32"/>
        <v>0</v>
      </c>
      <c r="AC92" s="205">
        <f t="shared" si="33"/>
        <v>0</v>
      </c>
      <c r="AD92" s="210">
        <f t="shared" si="34"/>
        <v>7.890972222223354</v>
      </c>
      <c r="AE92" s="210">
        <f t="shared" si="35"/>
        <v>7.890972222223354</v>
      </c>
      <c r="AF92" s="210">
        <f t="shared" si="36"/>
        <v>0</v>
      </c>
      <c r="AG92" s="210">
        <f t="shared" si="37"/>
        <v>0</v>
      </c>
    </row>
    <row r="93" spans="2:33" ht="15" customHeight="1" x14ac:dyDescent="0.3">
      <c r="B93" s="196" t="s">
        <v>7</v>
      </c>
      <c r="C93" s="197" t="s">
        <v>13</v>
      </c>
      <c r="D93" s="198" t="str">
        <f t="shared" si="19"/>
        <v>C</v>
      </c>
      <c r="E93" s="199">
        <v>44501.017361111109</v>
      </c>
      <c r="F93" s="200" t="s">
        <v>115</v>
      </c>
      <c r="G93" s="201">
        <v>1.36757</v>
      </c>
      <c r="H93" s="201">
        <v>1.3766400000000001</v>
      </c>
      <c r="I93" s="202">
        <f t="shared" si="20"/>
        <v>9.0700000000001335E-3</v>
      </c>
      <c r="J93" s="201">
        <v>1.3312900000000001</v>
      </c>
      <c r="K93" s="199">
        <v>44518.393750000003</v>
      </c>
      <c r="L93" s="201">
        <v>1.35066</v>
      </c>
      <c r="M93" s="203">
        <f t="shared" si="21"/>
        <v>1.6899999999999998E-2</v>
      </c>
      <c r="N93" s="204">
        <f t="shared" si="22"/>
        <v>1.86</v>
      </c>
      <c r="O93" s="205">
        <f t="shared" si="23"/>
        <v>0</v>
      </c>
      <c r="P93" s="206">
        <f t="shared" si="24"/>
        <v>1.86</v>
      </c>
      <c r="Q93" s="206">
        <f t="shared" si="25"/>
        <v>0</v>
      </c>
      <c r="R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277240</v>
      </c>
      <c r="T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277240</v>
      </c>
      <c r="U9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3" s="209">
        <f t="shared" si="26"/>
        <v>1.86</v>
      </c>
      <c r="W93" s="209">
        <f t="shared" si="27"/>
        <v>0</v>
      </c>
      <c r="X93" s="209">
        <f t="shared" si="28"/>
        <v>0</v>
      </c>
      <c r="Y93" s="209">
        <f t="shared" si="29"/>
        <v>0</v>
      </c>
      <c r="Z93" s="209">
        <f t="shared" si="30"/>
        <v>0</v>
      </c>
      <c r="AA93" s="205">
        <f t="shared" si="31"/>
        <v>0</v>
      </c>
      <c r="AB93" s="209">
        <f t="shared" si="32"/>
        <v>0</v>
      </c>
      <c r="AC93" s="205">
        <f t="shared" si="33"/>
        <v>0</v>
      </c>
      <c r="AD93" s="210">
        <f t="shared" si="34"/>
        <v>17.376388888893416</v>
      </c>
      <c r="AE93" s="210">
        <f t="shared" si="35"/>
        <v>17.376388888893416</v>
      </c>
      <c r="AF93" s="210">
        <f t="shared" si="36"/>
        <v>0</v>
      </c>
      <c r="AG93" s="210">
        <f t="shared" si="37"/>
        <v>0</v>
      </c>
    </row>
    <row r="94" spans="2:33" ht="15" customHeight="1" x14ac:dyDescent="0.3">
      <c r="B94" s="196" t="s">
        <v>7</v>
      </c>
      <c r="C94" s="197" t="s">
        <v>15</v>
      </c>
      <c r="D94" s="198" t="str">
        <f t="shared" si="19"/>
        <v>C</v>
      </c>
      <c r="E94" s="199">
        <v>44517.017361111109</v>
      </c>
      <c r="F94" s="200" t="s">
        <v>114</v>
      </c>
      <c r="G94" s="201">
        <v>114.79300000000001</v>
      </c>
      <c r="H94" s="201">
        <v>114.169</v>
      </c>
      <c r="I94" s="202">
        <f t="shared" si="20"/>
        <v>0.62400000000000944</v>
      </c>
      <c r="J94" s="201">
        <v>117.706</v>
      </c>
      <c r="K94" s="199">
        <v>44517.647916666669</v>
      </c>
      <c r="L94" s="201">
        <v>114.58</v>
      </c>
      <c r="M94" s="203">
        <f t="shared" si="21"/>
        <v>-0.21299999999999999</v>
      </c>
      <c r="N94" s="204">
        <f t="shared" si="22"/>
        <v>-0.34</v>
      </c>
      <c r="O94" s="205">
        <f t="shared" si="23"/>
        <v>0</v>
      </c>
      <c r="P94" s="206">
        <f t="shared" si="24"/>
        <v>0</v>
      </c>
      <c r="Q94" s="206">
        <f t="shared" si="25"/>
        <v>-0.34</v>
      </c>
      <c r="R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275380</v>
      </c>
      <c r="T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275720</v>
      </c>
      <c r="U94" s="208">
        <f ca="1">IF(Tabla33610673[[#This Row],[Equity]]&lt;Tabla33610673[[#This Row],[Equity Peak]],(Tabla33610673[[#This Row],[Equity Peak]]-Tabla33610673[[#This Row],[Equity]])/Tabla33610673[[#This Row],[Equity Peak]],"")</f>
        <v>1.2331350645582474E-3</v>
      </c>
      <c r="V94" s="209">
        <f t="shared" si="26"/>
        <v>-0.34</v>
      </c>
      <c r="W94" s="209">
        <f t="shared" si="27"/>
        <v>0</v>
      </c>
      <c r="X94" s="209">
        <f t="shared" si="28"/>
        <v>0</v>
      </c>
      <c r="Y94" s="209">
        <f t="shared" si="29"/>
        <v>0</v>
      </c>
      <c r="Z94" s="209">
        <f t="shared" si="30"/>
        <v>0</v>
      </c>
      <c r="AA94" s="205">
        <f t="shared" si="31"/>
        <v>0</v>
      </c>
      <c r="AB94" s="209">
        <f t="shared" si="32"/>
        <v>0</v>
      </c>
      <c r="AC94" s="205">
        <f t="shared" si="33"/>
        <v>0</v>
      </c>
      <c r="AD94" s="210">
        <f t="shared" si="34"/>
        <v>0.63055555555911269</v>
      </c>
      <c r="AE94" s="210">
        <f t="shared" si="35"/>
        <v>0</v>
      </c>
      <c r="AF94" s="210">
        <f t="shared" si="36"/>
        <v>0.63055555555911269</v>
      </c>
      <c r="AG94" s="210">
        <f t="shared" si="37"/>
        <v>0</v>
      </c>
    </row>
    <row r="95" spans="2:33" ht="15" customHeight="1" x14ac:dyDescent="0.3">
      <c r="B95" s="196" t="s">
        <v>7</v>
      </c>
      <c r="C95" s="197" t="s">
        <v>13</v>
      </c>
      <c r="D95" s="198" t="str">
        <f t="shared" si="19"/>
        <v>C</v>
      </c>
      <c r="E95" s="199">
        <v>44515.5</v>
      </c>
      <c r="F95" s="200" t="s">
        <v>121</v>
      </c>
      <c r="G95" s="201">
        <v>1.55538</v>
      </c>
      <c r="H95" s="201">
        <v>1.56084</v>
      </c>
      <c r="I95" s="202">
        <f t="shared" si="20"/>
        <v>5.4600000000000204E-3</v>
      </c>
      <c r="J95" s="201">
        <v>1.49709</v>
      </c>
      <c r="K95" s="199">
        <v>44517.104861111111</v>
      </c>
      <c r="L95" s="201">
        <v>1.5525</v>
      </c>
      <c r="M95" s="203">
        <f t="shared" si="21"/>
        <v>2.8999999999999998E-3</v>
      </c>
      <c r="N95" s="204">
        <f t="shared" si="22"/>
        <v>0.53</v>
      </c>
      <c r="O95" s="205">
        <f t="shared" si="23"/>
        <v>0</v>
      </c>
      <c r="P95" s="206">
        <f t="shared" si="24"/>
        <v>0.53</v>
      </c>
      <c r="Q95" s="206">
        <f t="shared" si="25"/>
        <v>0</v>
      </c>
      <c r="R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275720</v>
      </c>
      <c r="T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275720</v>
      </c>
      <c r="U9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5" s="209">
        <f t="shared" si="26"/>
        <v>0.53</v>
      </c>
      <c r="W95" s="209">
        <f t="shared" si="27"/>
        <v>0</v>
      </c>
      <c r="X95" s="209">
        <f t="shared" si="28"/>
        <v>0</v>
      </c>
      <c r="Y95" s="209">
        <f t="shared" si="29"/>
        <v>0</v>
      </c>
      <c r="Z95" s="209">
        <f t="shared" si="30"/>
        <v>0</v>
      </c>
      <c r="AA95" s="205">
        <f t="shared" si="31"/>
        <v>0</v>
      </c>
      <c r="AB95" s="209">
        <f t="shared" si="32"/>
        <v>0</v>
      </c>
      <c r="AC95" s="205">
        <f t="shared" si="33"/>
        <v>0</v>
      </c>
      <c r="AD95" s="210">
        <f t="shared" si="34"/>
        <v>1.6048611111109494</v>
      </c>
      <c r="AE95" s="210">
        <f t="shared" si="35"/>
        <v>1.6048611111109494</v>
      </c>
      <c r="AF95" s="210">
        <f t="shared" si="36"/>
        <v>0</v>
      </c>
      <c r="AG95" s="210">
        <f t="shared" si="37"/>
        <v>0</v>
      </c>
    </row>
    <row r="96" spans="2:33" ht="15" customHeight="1" x14ac:dyDescent="0.3">
      <c r="B96" s="196" t="s">
        <v>7</v>
      </c>
      <c r="C96" s="197" t="s">
        <v>13</v>
      </c>
      <c r="D96" s="198" t="str">
        <f t="shared" si="19"/>
        <v>C</v>
      </c>
      <c r="E96" s="199">
        <v>44505.017361111109</v>
      </c>
      <c r="F96" s="200" t="s">
        <v>116</v>
      </c>
      <c r="G96" s="201">
        <v>153.46600000000001</v>
      </c>
      <c r="H96" s="201">
        <v>155.06700000000001</v>
      </c>
      <c r="I96" s="202">
        <f t="shared" si="20"/>
        <v>1.6009999999999991</v>
      </c>
      <c r="J96" s="201">
        <v>144.50200000000001</v>
      </c>
      <c r="K96" s="199">
        <v>44516.380555555559</v>
      </c>
      <c r="L96" s="201">
        <v>153.554</v>
      </c>
      <c r="M96" s="203">
        <f t="shared" si="21"/>
        <v>-8.7999999999999995E-2</v>
      </c>
      <c r="N96" s="204">
        <f t="shared" si="22"/>
        <v>-0.05</v>
      </c>
      <c r="O96" s="205">
        <f t="shared" si="23"/>
        <v>0</v>
      </c>
      <c r="P96" s="206">
        <f t="shared" si="24"/>
        <v>0</v>
      </c>
      <c r="Q96" s="206">
        <f t="shared" si="25"/>
        <v>-0.05</v>
      </c>
      <c r="R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275190</v>
      </c>
      <c r="T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275660</v>
      </c>
      <c r="U96" s="208">
        <f ca="1">IF(Tabla33610673[[#This Row],[Equity]]&lt;Tabla33610673[[#This Row],[Equity Peak]],(Tabla33610673[[#This Row],[Equity Peak]]-Tabla33610673[[#This Row],[Equity]])/Tabla33610673[[#This Row],[Equity Peak]],"")</f>
        <v>1.7049989117028223E-3</v>
      </c>
      <c r="V96" s="209">
        <f t="shared" si="26"/>
        <v>-0.05</v>
      </c>
      <c r="W96" s="209">
        <f t="shared" si="27"/>
        <v>0</v>
      </c>
      <c r="X96" s="209">
        <f t="shared" si="28"/>
        <v>0</v>
      </c>
      <c r="Y96" s="209">
        <f t="shared" si="29"/>
        <v>0</v>
      </c>
      <c r="Z96" s="209">
        <f t="shared" si="30"/>
        <v>0</v>
      </c>
      <c r="AA96" s="205">
        <f t="shared" si="31"/>
        <v>0</v>
      </c>
      <c r="AB96" s="209">
        <f t="shared" si="32"/>
        <v>0</v>
      </c>
      <c r="AC96" s="205">
        <f t="shared" si="33"/>
        <v>0</v>
      </c>
      <c r="AD96" s="210">
        <f t="shared" si="34"/>
        <v>11.363194444449618</v>
      </c>
      <c r="AE96" s="210">
        <f t="shared" si="35"/>
        <v>0</v>
      </c>
      <c r="AF96" s="210">
        <f t="shared" si="36"/>
        <v>11.363194444449618</v>
      </c>
      <c r="AG96" s="210">
        <f t="shared" si="37"/>
        <v>0</v>
      </c>
    </row>
    <row r="97" spans="2:33" ht="15" customHeight="1" x14ac:dyDescent="0.3">
      <c r="B97" s="196" t="s">
        <v>7</v>
      </c>
      <c r="C97" s="197" t="s">
        <v>13</v>
      </c>
      <c r="D97" s="198" t="str">
        <f t="shared" si="19"/>
        <v>C</v>
      </c>
      <c r="E97" s="199">
        <v>44515.666666666664</v>
      </c>
      <c r="F97" s="200" t="s">
        <v>117</v>
      </c>
      <c r="G97" s="201">
        <v>1.8246199999999999</v>
      </c>
      <c r="H97" s="201">
        <v>1.8392299999999999</v>
      </c>
      <c r="I97" s="202">
        <f t="shared" si="20"/>
        <v>1.4610000000000012E-2</v>
      </c>
      <c r="J97" s="201">
        <v>1.7759199999999999</v>
      </c>
      <c r="K97" s="199">
        <v>44516.377083333333</v>
      </c>
      <c r="L97" s="201">
        <v>1.8307800000000001</v>
      </c>
      <c r="M97" s="203">
        <f t="shared" si="21"/>
        <v>-6.1999999999999998E-3</v>
      </c>
      <c r="N97" s="204">
        <f t="shared" si="22"/>
        <v>-0.42</v>
      </c>
      <c r="O97" s="205">
        <f t="shared" si="23"/>
        <v>0</v>
      </c>
      <c r="P97" s="206">
        <f t="shared" si="24"/>
        <v>0</v>
      </c>
      <c r="Q97" s="206">
        <f t="shared" si="25"/>
        <v>-0.42</v>
      </c>
      <c r="R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275240</v>
      </c>
      <c r="T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275660</v>
      </c>
      <c r="U97" s="208">
        <f ca="1">IF(Tabla33610673[[#This Row],[Equity]]&lt;Tabla33610673[[#This Row],[Equity Peak]],(Tabla33610673[[#This Row],[Equity Peak]]-Tabla33610673[[#This Row],[Equity]])/Tabla33610673[[#This Row],[Equity Peak]],"")</f>
        <v>1.5236160487557136E-3</v>
      </c>
      <c r="V97" s="209">
        <f t="shared" si="26"/>
        <v>-0.42</v>
      </c>
      <c r="W97" s="209">
        <f t="shared" si="27"/>
        <v>0</v>
      </c>
      <c r="X97" s="209">
        <f t="shared" si="28"/>
        <v>0</v>
      </c>
      <c r="Y97" s="209">
        <f t="shared" si="29"/>
        <v>0</v>
      </c>
      <c r="Z97" s="209">
        <f t="shared" si="30"/>
        <v>0</v>
      </c>
      <c r="AA97" s="205">
        <f t="shared" si="31"/>
        <v>0</v>
      </c>
      <c r="AB97" s="209">
        <f t="shared" si="32"/>
        <v>0</v>
      </c>
      <c r="AC97" s="205">
        <f t="shared" si="33"/>
        <v>0</v>
      </c>
      <c r="AD97" s="210">
        <f t="shared" si="34"/>
        <v>0.71041666666860692</v>
      </c>
      <c r="AE97" s="210">
        <f t="shared" si="35"/>
        <v>0</v>
      </c>
      <c r="AF97" s="210">
        <f t="shared" si="36"/>
        <v>0.71041666666860692</v>
      </c>
      <c r="AG97" s="210">
        <f t="shared" si="37"/>
        <v>0</v>
      </c>
    </row>
    <row r="98" spans="2:33" ht="15" customHeight="1" x14ac:dyDescent="0.3">
      <c r="B98" s="196" t="s">
        <v>84</v>
      </c>
      <c r="C98" s="197" t="s">
        <v>15</v>
      </c>
      <c r="D98" s="198" t="str">
        <f t="shared" si="19"/>
        <v>C</v>
      </c>
      <c r="E98" s="199">
        <v>44470.666666666664</v>
      </c>
      <c r="F98" s="200" t="s">
        <v>82</v>
      </c>
      <c r="G98" s="201">
        <v>3224.86</v>
      </c>
      <c r="H98" s="201">
        <v>3084.55</v>
      </c>
      <c r="I98" s="202">
        <f t="shared" si="20"/>
        <v>140.30999999999995</v>
      </c>
      <c r="J98" s="201">
        <v>5843.96</v>
      </c>
      <c r="K98" s="199">
        <v>44516.12777777778</v>
      </c>
      <c r="L98" s="201">
        <v>4391</v>
      </c>
      <c r="M98" s="203">
        <f t="shared" si="21"/>
        <v>1166.1400000000001</v>
      </c>
      <c r="N98" s="204">
        <f t="shared" si="22"/>
        <v>8.31</v>
      </c>
      <c r="O98" s="205">
        <f t="shared" si="23"/>
        <v>0</v>
      </c>
      <c r="P98" s="206">
        <f t="shared" si="24"/>
        <v>8.31</v>
      </c>
      <c r="Q98" s="206">
        <f t="shared" si="25"/>
        <v>0</v>
      </c>
      <c r="R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275660</v>
      </c>
      <c r="T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275660</v>
      </c>
      <c r="U9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8" s="209">
        <f t="shared" si="26"/>
        <v>0</v>
      </c>
      <c r="W98" s="209">
        <f t="shared" si="27"/>
        <v>0</v>
      </c>
      <c r="X98" s="209">
        <f t="shared" si="28"/>
        <v>0</v>
      </c>
      <c r="Y98" s="209">
        <f t="shared" si="29"/>
        <v>0</v>
      </c>
      <c r="Z98" s="209">
        <f t="shared" si="30"/>
        <v>0</v>
      </c>
      <c r="AA98" s="205">
        <f t="shared" si="31"/>
        <v>0</v>
      </c>
      <c r="AB98" s="209">
        <f t="shared" si="32"/>
        <v>8.31</v>
      </c>
      <c r="AC98" s="205">
        <f t="shared" si="33"/>
        <v>0</v>
      </c>
      <c r="AD98" s="210">
        <f t="shared" si="34"/>
        <v>45.461111111115315</v>
      </c>
      <c r="AE98" s="210">
        <f t="shared" si="35"/>
        <v>45.461111111115315</v>
      </c>
      <c r="AF98" s="210">
        <f t="shared" si="36"/>
        <v>0</v>
      </c>
      <c r="AG98" s="210">
        <f t="shared" si="37"/>
        <v>0</v>
      </c>
    </row>
    <row r="99" spans="2:33" ht="15" customHeight="1" x14ac:dyDescent="0.3">
      <c r="B99" s="196" t="s">
        <v>84</v>
      </c>
      <c r="C99" s="197" t="s">
        <v>15</v>
      </c>
      <c r="D99" s="198" t="str">
        <f t="shared" si="19"/>
        <v>C</v>
      </c>
      <c r="E99" s="199">
        <v>44514.166666666664</v>
      </c>
      <c r="F99" s="200" t="s">
        <v>80</v>
      </c>
      <c r="G99" s="201">
        <v>64808.5</v>
      </c>
      <c r="H99" s="201">
        <v>62839.74</v>
      </c>
      <c r="I99" s="202">
        <f t="shared" si="20"/>
        <v>1968.760000000002</v>
      </c>
      <c r="J99" s="201">
        <v>94339.86</v>
      </c>
      <c r="K99" s="199">
        <v>44515.712500000001</v>
      </c>
      <c r="L99" s="201">
        <v>64674.32</v>
      </c>
      <c r="M99" s="203">
        <f t="shared" si="21"/>
        <v>-134.18</v>
      </c>
      <c r="N99" s="204">
        <f t="shared" si="22"/>
        <v>-7.0000000000000007E-2</v>
      </c>
      <c r="O99" s="205">
        <f t="shared" si="23"/>
        <v>0</v>
      </c>
      <c r="P99" s="206">
        <f t="shared" si="24"/>
        <v>0</v>
      </c>
      <c r="Q99" s="206">
        <f t="shared" si="25"/>
        <v>-7.0000000000000007E-2</v>
      </c>
      <c r="R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267350</v>
      </c>
      <c r="T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99" s="208">
        <f ca="1">IF(Tabla33610673[[#This Row],[Equity]]&lt;Tabla33610673[[#This Row],[Equity Peak]],(Tabla33610673[[#This Row],[Equity Peak]]-Tabla33610673[[#This Row],[Equity]])/Tabla33610673[[#This Row],[Equity Peak]],"")</f>
        <v>1.1316149550682298E-2</v>
      </c>
      <c r="V99" s="209">
        <f t="shared" si="26"/>
        <v>0</v>
      </c>
      <c r="W99" s="209">
        <f t="shared" si="27"/>
        <v>0</v>
      </c>
      <c r="X99" s="209">
        <f t="shared" si="28"/>
        <v>0</v>
      </c>
      <c r="Y99" s="209">
        <f t="shared" si="29"/>
        <v>0</v>
      </c>
      <c r="Z99" s="209">
        <f t="shared" si="30"/>
        <v>0</v>
      </c>
      <c r="AA99" s="205">
        <f t="shared" si="31"/>
        <v>0</v>
      </c>
      <c r="AB99" s="209">
        <f t="shared" si="32"/>
        <v>-7.0000000000000007E-2</v>
      </c>
      <c r="AC99" s="205">
        <f t="shared" si="33"/>
        <v>0</v>
      </c>
      <c r="AD99" s="210">
        <f t="shared" si="34"/>
        <v>1.5458333333372138</v>
      </c>
      <c r="AE99" s="210">
        <f t="shared" si="35"/>
        <v>0</v>
      </c>
      <c r="AF99" s="210">
        <f t="shared" si="36"/>
        <v>1.5458333333372138</v>
      </c>
      <c r="AG99" s="210">
        <f t="shared" si="37"/>
        <v>0</v>
      </c>
    </row>
    <row r="100" spans="2:33" ht="15" customHeight="1" x14ac:dyDescent="0.3">
      <c r="B100" s="196" t="s">
        <v>84</v>
      </c>
      <c r="C100" s="197" t="s">
        <v>13</v>
      </c>
      <c r="D100" s="198" t="str">
        <f t="shared" si="19"/>
        <v>C</v>
      </c>
      <c r="E100" s="199">
        <v>44512.833333333336</v>
      </c>
      <c r="F100" s="200" t="s">
        <v>80</v>
      </c>
      <c r="G100" s="201">
        <v>63611.02</v>
      </c>
      <c r="H100" s="201">
        <v>66660.2</v>
      </c>
      <c r="I100" s="202">
        <f t="shared" si="20"/>
        <v>3049.1800000000003</v>
      </c>
      <c r="J100" s="201">
        <v>17873.38</v>
      </c>
      <c r="K100" s="199">
        <v>44513.754861111112</v>
      </c>
      <c r="L100" s="201">
        <v>64935.12</v>
      </c>
      <c r="M100" s="203">
        <f t="shared" si="21"/>
        <v>-1324.1</v>
      </c>
      <c r="N100" s="204">
        <f t="shared" si="22"/>
        <v>-0.43</v>
      </c>
      <c r="O100" s="205">
        <f t="shared" si="23"/>
        <v>0</v>
      </c>
      <c r="P100" s="206">
        <f t="shared" si="24"/>
        <v>0</v>
      </c>
      <c r="Q100" s="206">
        <f t="shared" si="25"/>
        <v>-0.43</v>
      </c>
      <c r="R1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267420</v>
      </c>
      <c r="T1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0" s="208">
        <f ca="1">IF(Tabla33610673[[#This Row],[Equity]]&lt;Tabla33610673[[#This Row],[Equity Peak]],(Tabla33610673[[#This Row],[Equity Peak]]-Tabla33610673[[#This Row],[Equity]])/Tabla33610673[[#This Row],[Equity Peak]],"")</f>
        <v>1.1057283384490219E-2</v>
      </c>
      <c r="V100" s="209">
        <f t="shared" si="26"/>
        <v>0</v>
      </c>
      <c r="W100" s="209">
        <f t="shared" si="27"/>
        <v>0</v>
      </c>
      <c r="X100" s="209">
        <f t="shared" si="28"/>
        <v>0</v>
      </c>
      <c r="Y100" s="209">
        <f t="shared" si="29"/>
        <v>0</v>
      </c>
      <c r="Z100" s="209">
        <f t="shared" si="30"/>
        <v>0</v>
      </c>
      <c r="AA100" s="205">
        <f t="shared" si="31"/>
        <v>0</v>
      </c>
      <c r="AB100" s="209">
        <f t="shared" si="32"/>
        <v>-0.43</v>
      </c>
      <c r="AC100" s="205">
        <f t="shared" si="33"/>
        <v>0</v>
      </c>
      <c r="AD100" s="210">
        <f t="shared" si="34"/>
        <v>0.92152777777664596</v>
      </c>
      <c r="AE100" s="210">
        <f t="shared" si="35"/>
        <v>0</v>
      </c>
      <c r="AF100" s="210">
        <f t="shared" si="36"/>
        <v>0.92152777777664596</v>
      </c>
      <c r="AG100" s="210">
        <f t="shared" si="37"/>
        <v>0</v>
      </c>
    </row>
    <row r="101" spans="2:33" ht="15" customHeight="1" x14ac:dyDescent="0.3">
      <c r="B101" s="196" t="s">
        <v>7</v>
      </c>
      <c r="C101" s="197" t="s">
        <v>15</v>
      </c>
      <c r="D101" s="198" t="str">
        <f t="shared" si="19"/>
        <v>C</v>
      </c>
      <c r="E101" s="199">
        <v>44511.333333333336</v>
      </c>
      <c r="F101" s="200" t="s">
        <v>114</v>
      </c>
      <c r="G101" s="201">
        <v>113.946</v>
      </c>
      <c r="H101" s="201">
        <v>113.104</v>
      </c>
      <c r="I101" s="202">
        <f t="shared" si="20"/>
        <v>0.84199999999999875</v>
      </c>
      <c r="J101" s="201">
        <v>117.877</v>
      </c>
      <c r="K101" s="199">
        <v>44512.710416666669</v>
      </c>
      <c r="L101" s="201">
        <v>113.84699999999999</v>
      </c>
      <c r="M101" s="203">
        <f t="shared" si="21"/>
        <v>-9.9000000000000005E-2</v>
      </c>
      <c r="N101" s="204">
        <f t="shared" si="22"/>
        <v>-0.12</v>
      </c>
      <c r="O101" s="205">
        <f t="shared" si="23"/>
        <v>0</v>
      </c>
      <c r="P101" s="206">
        <f t="shared" si="24"/>
        <v>0</v>
      </c>
      <c r="Q101" s="206">
        <f t="shared" si="25"/>
        <v>-0.12</v>
      </c>
      <c r="R1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267850</v>
      </c>
      <c r="T1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1" s="208">
        <f ca="1">IF(Tabla33610673[[#This Row],[Equity]]&lt;Tabla33610673[[#This Row],[Equity Peak]],(Tabla33610673[[#This Row],[Equity Peak]]-Tabla33610673[[#This Row],[Equity]])/Tabla33610673[[#This Row],[Equity Peak]],"")</f>
        <v>9.4671055064531641E-3</v>
      </c>
      <c r="V101" s="209">
        <f t="shared" si="26"/>
        <v>-0.12</v>
      </c>
      <c r="W101" s="209">
        <f t="shared" si="27"/>
        <v>0</v>
      </c>
      <c r="X101" s="209">
        <f t="shared" si="28"/>
        <v>0</v>
      </c>
      <c r="Y101" s="209">
        <f t="shared" si="29"/>
        <v>0</v>
      </c>
      <c r="Z101" s="209">
        <f t="shared" si="30"/>
        <v>0</v>
      </c>
      <c r="AA101" s="205">
        <f t="shared" si="31"/>
        <v>0</v>
      </c>
      <c r="AB101" s="209">
        <f t="shared" si="32"/>
        <v>0</v>
      </c>
      <c r="AC101" s="205">
        <f t="shared" si="33"/>
        <v>0</v>
      </c>
      <c r="AD101" s="210">
        <f t="shared" si="34"/>
        <v>1.3770833333328483</v>
      </c>
      <c r="AE101" s="210">
        <f t="shared" si="35"/>
        <v>0</v>
      </c>
      <c r="AF101" s="210">
        <f t="shared" si="36"/>
        <v>1.3770833333328483</v>
      </c>
      <c r="AG101" s="210">
        <f t="shared" si="37"/>
        <v>0</v>
      </c>
    </row>
    <row r="102" spans="2:33" ht="15" customHeight="1" x14ac:dyDescent="0.3">
      <c r="B102" s="196" t="s">
        <v>19</v>
      </c>
      <c r="C102" s="197" t="s">
        <v>13</v>
      </c>
      <c r="D102" s="198" t="str">
        <f t="shared" si="19"/>
        <v>C</v>
      </c>
      <c r="E102" s="199">
        <v>44511.625</v>
      </c>
      <c r="F102" s="200" t="s">
        <v>108</v>
      </c>
      <c r="G102" s="201">
        <v>80.887</v>
      </c>
      <c r="H102" s="201">
        <v>82.935000000000002</v>
      </c>
      <c r="I102" s="202">
        <f t="shared" si="20"/>
        <v>2.0480000000000018</v>
      </c>
      <c r="J102" s="201">
        <v>56.308</v>
      </c>
      <c r="K102" s="199">
        <v>44511.696527777778</v>
      </c>
      <c r="L102" s="201">
        <v>82.156000000000006</v>
      </c>
      <c r="M102" s="203">
        <f t="shared" si="21"/>
        <v>-1.2689999999999999</v>
      </c>
      <c r="N102" s="204">
        <f t="shared" si="22"/>
        <v>-0.62</v>
      </c>
      <c r="O102" s="205">
        <f t="shared" si="23"/>
        <v>0</v>
      </c>
      <c r="P102" s="206">
        <f t="shared" si="24"/>
        <v>0</v>
      </c>
      <c r="Q102" s="206">
        <f t="shared" si="25"/>
        <v>-0.62</v>
      </c>
      <c r="R1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267970</v>
      </c>
      <c r="T1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2" s="208">
        <f ca="1">IF(Tabla33610673[[#This Row],[Equity]]&lt;Tabla33610673[[#This Row],[Equity Peak]],(Tabla33610673[[#This Row],[Equity Peak]]-Tabla33610673[[#This Row],[Equity]])/Tabla33610673[[#This Row],[Equity Peak]],"")</f>
        <v>9.0233349358381718E-3</v>
      </c>
      <c r="V102" s="209">
        <f t="shared" si="26"/>
        <v>0</v>
      </c>
      <c r="W102" s="209">
        <f t="shared" si="27"/>
        <v>0</v>
      </c>
      <c r="X102" s="209">
        <f t="shared" si="28"/>
        <v>-0.62</v>
      </c>
      <c r="Y102" s="209">
        <f t="shared" si="29"/>
        <v>0</v>
      </c>
      <c r="Z102" s="209">
        <f t="shared" si="30"/>
        <v>0</v>
      </c>
      <c r="AA102" s="205">
        <f t="shared" si="31"/>
        <v>0</v>
      </c>
      <c r="AB102" s="209">
        <f t="shared" si="32"/>
        <v>0</v>
      </c>
      <c r="AC102" s="205">
        <f t="shared" si="33"/>
        <v>0</v>
      </c>
      <c r="AD102" s="210">
        <f t="shared" si="34"/>
        <v>7.1527777778101154E-2</v>
      </c>
      <c r="AE102" s="210">
        <f t="shared" si="35"/>
        <v>0</v>
      </c>
      <c r="AF102" s="210">
        <f t="shared" si="36"/>
        <v>7.1527777778101154E-2</v>
      </c>
      <c r="AG102" s="210">
        <f t="shared" si="37"/>
        <v>0</v>
      </c>
    </row>
    <row r="103" spans="2:33" ht="15" customHeight="1" x14ac:dyDescent="0.3">
      <c r="B103" s="196" t="s">
        <v>84</v>
      </c>
      <c r="C103" s="197" t="s">
        <v>15</v>
      </c>
      <c r="D103" s="198" t="str">
        <f t="shared" si="19"/>
        <v>C</v>
      </c>
      <c r="E103" s="199">
        <v>44507.333333333336</v>
      </c>
      <c r="F103" s="200" t="s">
        <v>80</v>
      </c>
      <c r="G103" s="201">
        <v>62274.5</v>
      </c>
      <c r="H103" s="201">
        <v>60588.33</v>
      </c>
      <c r="I103" s="202">
        <f t="shared" si="20"/>
        <v>1686.1699999999983</v>
      </c>
      <c r="J103" s="201">
        <v>87567.07</v>
      </c>
      <c r="K103" s="199">
        <v>44510.969444444447</v>
      </c>
      <c r="L103" s="201">
        <v>65018.15</v>
      </c>
      <c r="M103" s="203">
        <f t="shared" si="21"/>
        <v>2743.65</v>
      </c>
      <c r="N103" s="204">
        <f t="shared" si="22"/>
        <v>1.63</v>
      </c>
      <c r="O103" s="205">
        <f t="shared" si="23"/>
        <v>0</v>
      </c>
      <c r="P103" s="206">
        <f t="shared" si="24"/>
        <v>1.63</v>
      </c>
      <c r="Q103" s="206">
        <f t="shared" si="25"/>
        <v>0</v>
      </c>
      <c r="R1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268590</v>
      </c>
      <c r="T1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3" s="208">
        <f ca="1">IF(Tabla33610673[[#This Row],[Equity]]&lt;Tabla33610673[[#This Row],[Equity Peak]],(Tabla33610673[[#This Row],[Equity Peak]]-Tabla33610673[[#This Row],[Equity]])/Tabla33610673[[#This Row],[Equity Peak]],"")</f>
        <v>6.7305203209940458E-3</v>
      </c>
      <c r="V103" s="209">
        <f t="shared" si="26"/>
        <v>0</v>
      </c>
      <c r="W103" s="209">
        <f t="shared" si="27"/>
        <v>0</v>
      </c>
      <c r="X103" s="209">
        <f t="shared" si="28"/>
        <v>0</v>
      </c>
      <c r="Y103" s="209">
        <f t="shared" si="29"/>
        <v>0</v>
      </c>
      <c r="Z103" s="209">
        <f t="shared" si="30"/>
        <v>0</v>
      </c>
      <c r="AA103" s="205">
        <f t="shared" si="31"/>
        <v>0</v>
      </c>
      <c r="AB103" s="209">
        <f t="shared" si="32"/>
        <v>1.63</v>
      </c>
      <c r="AC103" s="205">
        <f t="shared" si="33"/>
        <v>0</v>
      </c>
      <c r="AD103" s="210">
        <f t="shared" si="34"/>
        <v>3.6361111111109494</v>
      </c>
      <c r="AE103" s="210">
        <f t="shared" si="35"/>
        <v>3.6361111111109494</v>
      </c>
      <c r="AF103" s="210">
        <f t="shared" si="36"/>
        <v>0</v>
      </c>
      <c r="AG103" s="210">
        <f t="shared" si="37"/>
        <v>0</v>
      </c>
    </row>
    <row r="104" spans="2:33" ht="15" customHeight="1" x14ac:dyDescent="0.3">
      <c r="B104" s="196" t="s">
        <v>19</v>
      </c>
      <c r="C104" s="197" t="s">
        <v>15</v>
      </c>
      <c r="D104" s="198" t="str">
        <f t="shared" si="19"/>
        <v>C</v>
      </c>
      <c r="E104" s="199">
        <v>44505.041666666664</v>
      </c>
      <c r="F104" s="200" t="s">
        <v>88</v>
      </c>
      <c r="G104" s="201">
        <v>1791.08</v>
      </c>
      <c r="H104" s="201">
        <v>1770.08</v>
      </c>
      <c r="I104" s="202">
        <f t="shared" si="20"/>
        <v>21</v>
      </c>
      <c r="J104" s="201">
        <v>1925.48</v>
      </c>
      <c r="K104" s="199">
        <v>44510.859722222223</v>
      </c>
      <c r="L104" s="201">
        <v>1843.48</v>
      </c>
      <c r="M104" s="203">
        <f t="shared" si="21"/>
        <v>52.4</v>
      </c>
      <c r="N104" s="204">
        <f t="shared" si="22"/>
        <v>2.5</v>
      </c>
      <c r="O104" s="205">
        <f t="shared" si="23"/>
        <v>0</v>
      </c>
      <c r="P104" s="206">
        <f t="shared" si="24"/>
        <v>2.5</v>
      </c>
      <c r="Q104" s="206">
        <f t="shared" si="25"/>
        <v>0</v>
      </c>
      <c r="R1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266960</v>
      </c>
      <c r="T1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4" s="208">
        <f ca="1">IF(Tabla33610673[[#This Row],[Equity]]&lt;Tabla33610673[[#This Row],[Equity Peak]],(Tabla33610673[[#This Row],[Equity Peak]]-Tabla33610673[[#This Row],[Equity]])/Tabla33610673[[#This Row],[Equity Peak]],"")</f>
        <v>1.2758403905181022E-2</v>
      </c>
      <c r="V104" s="209">
        <f t="shared" si="26"/>
        <v>0</v>
      </c>
      <c r="W104" s="209">
        <f t="shared" si="27"/>
        <v>0</v>
      </c>
      <c r="X104" s="209">
        <f t="shared" si="28"/>
        <v>2.5</v>
      </c>
      <c r="Y104" s="209">
        <f t="shared" si="29"/>
        <v>0</v>
      </c>
      <c r="Z104" s="209">
        <f t="shared" si="30"/>
        <v>0</v>
      </c>
      <c r="AA104" s="205">
        <f t="shared" si="31"/>
        <v>0</v>
      </c>
      <c r="AB104" s="209">
        <f t="shared" si="32"/>
        <v>0</v>
      </c>
      <c r="AC104" s="205">
        <f t="shared" si="33"/>
        <v>0</v>
      </c>
      <c r="AD104" s="210">
        <f t="shared" si="34"/>
        <v>5.8180555555591127</v>
      </c>
      <c r="AE104" s="210">
        <f t="shared" si="35"/>
        <v>5.8180555555591127</v>
      </c>
      <c r="AF104" s="210">
        <f t="shared" si="36"/>
        <v>0</v>
      </c>
      <c r="AG104" s="210">
        <f t="shared" si="37"/>
        <v>0</v>
      </c>
    </row>
    <row r="105" spans="2:33" ht="15" customHeight="1" x14ac:dyDescent="0.3">
      <c r="B105" s="196" t="s">
        <v>19</v>
      </c>
      <c r="C105" s="197" t="s">
        <v>15</v>
      </c>
      <c r="D105" s="198" t="str">
        <f t="shared" si="19"/>
        <v>C</v>
      </c>
      <c r="E105" s="199">
        <v>44505.375</v>
      </c>
      <c r="F105" s="200" t="s">
        <v>89</v>
      </c>
      <c r="G105" s="201">
        <v>23.876000000000001</v>
      </c>
      <c r="H105" s="201">
        <v>23.33</v>
      </c>
      <c r="I105" s="202">
        <f t="shared" si="20"/>
        <v>0.54600000000000293</v>
      </c>
      <c r="J105" s="201">
        <v>26.494</v>
      </c>
      <c r="K105" s="199">
        <v>44510.81527777778</v>
      </c>
      <c r="L105" s="201">
        <v>24.622</v>
      </c>
      <c r="M105" s="203">
        <f t="shared" si="21"/>
        <v>0.746</v>
      </c>
      <c r="N105" s="204">
        <f t="shared" si="22"/>
        <v>1.37</v>
      </c>
      <c r="O105" s="205">
        <f t="shared" si="23"/>
        <v>0</v>
      </c>
      <c r="P105" s="206">
        <f t="shared" si="24"/>
        <v>1.37</v>
      </c>
      <c r="Q105" s="206">
        <f t="shared" si="25"/>
        <v>0</v>
      </c>
      <c r="R1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264460</v>
      </c>
      <c r="T1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5" s="208">
        <f ca="1">IF(Tabla33610673[[#This Row],[Equity]]&lt;Tabla33610673[[#This Row],[Equity Peak]],(Tabla33610673[[#This Row],[Equity Peak]]-Tabla33610673[[#This Row],[Equity]])/Tabla33610673[[#This Row],[Equity Peak]],"")</f>
        <v>2.2003624126326688E-2</v>
      </c>
      <c r="V105" s="209">
        <f t="shared" si="26"/>
        <v>0</v>
      </c>
      <c r="W105" s="209">
        <f t="shared" si="27"/>
        <v>0</v>
      </c>
      <c r="X105" s="209">
        <f t="shared" si="28"/>
        <v>1.37</v>
      </c>
      <c r="Y105" s="209">
        <f t="shared" si="29"/>
        <v>0</v>
      </c>
      <c r="Z105" s="209">
        <f t="shared" si="30"/>
        <v>0</v>
      </c>
      <c r="AA105" s="205">
        <f t="shared" si="31"/>
        <v>0</v>
      </c>
      <c r="AB105" s="209">
        <f t="shared" si="32"/>
        <v>0</v>
      </c>
      <c r="AC105" s="205">
        <f t="shared" si="33"/>
        <v>0</v>
      </c>
      <c r="AD105" s="210">
        <f t="shared" si="34"/>
        <v>5.4402777777795563</v>
      </c>
      <c r="AE105" s="210">
        <f t="shared" si="35"/>
        <v>5.4402777777795563</v>
      </c>
      <c r="AF105" s="210">
        <f t="shared" si="36"/>
        <v>0</v>
      </c>
      <c r="AG105" s="210">
        <f t="shared" si="37"/>
        <v>0</v>
      </c>
    </row>
    <row r="106" spans="2:33" ht="15" customHeight="1" x14ac:dyDescent="0.3">
      <c r="B106" s="196" t="s">
        <v>7</v>
      </c>
      <c r="C106" s="197" t="s">
        <v>13</v>
      </c>
      <c r="D106" s="198" t="str">
        <f t="shared" si="19"/>
        <v>C</v>
      </c>
      <c r="E106" s="199">
        <v>44505.166666666664</v>
      </c>
      <c r="F106" s="200" t="s">
        <v>119</v>
      </c>
      <c r="G106" s="201">
        <v>131.37799999999999</v>
      </c>
      <c r="H106" s="201">
        <v>132.19999999999999</v>
      </c>
      <c r="I106" s="202">
        <f t="shared" si="20"/>
        <v>0.82200000000000273</v>
      </c>
      <c r="J106" s="201">
        <v>128.09200000000001</v>
      </c>
      <c r="K106" s="199">
        <v>44510.670138888891</v>
      </c>
      <c r="L106" s="201">
        <v>131.19</v>
      </c>
      <c r="M106" s="203">
        <f t="shared" si="21"/>
        <v>0.188</v>
      </c>
      <c r="N106" s="204">
        <f t="shared" si="22"/>
        <v>0.23</v>
      </c>
      <c r="O106" s="205">
        <f t="shared" si="23"/>
        <v>0</v>
      </c>
      <c r="P106" s="206">
        <f t="shared" si="24"/>
        <v>0.23</v>
      </c>
      <c r="Q106" s="206">
        <f t="shared" si="25"/>
        <v>0</v>
      </c>
      <c r="R1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263090</v>
      </c>
      <c r="T1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6" s="208">
        <f ca="1">IF(Tabla33610673[[#This Row],[Equity]]&lt;Tabla33610673[[#This Row],[Equity Peak]],(Tabla33610673[[#This Row],[Equity Peak]]-Tabla33610673[[#This Row],[Equity]])/Tabla33610673[[#This Row],[Equity Peak]],"")</f>
        <v>2.7070004807514515E-2</v>
      </c>
      <c r="V106" s="209">
        <f t="shared" si="26"/>
        <v>0.23</v>
      </c>
      <c r="W106" s="209">
        <f t="shared" si="27"/>
        <v>0</v>
      </c>
      <c r="X106" s="209">
        <f t="shared" si="28"/>
        <v>0</v>
      </c>
      <c r="Y106" s="209">
        <f t="shared" si="29"/>
        <v>0</v>
      </c>
      <c r="Z106" s="209">
        <f t="shared" si="30"/>
        <v>0</v>
      </c>
      <c r="AA106" s="205">
        <f t="shared" si="31"/>
        <v>0</v>
      </c>
      <c r="AB106" s="209">
        <f t="shared" si="32"/>
        <v>0</v>
      </c>
      <c r="AC106" s="205">
        <f t="shared" si="33"/>
        <v>0</v>
      </c>
      <c r="AD106" s="210">
        <f t="shared" si="34"/>
        <v>5.5034722222262644</v>
      </c>
      <c r="AE106" s="210">
        <f t="shared" si="35"/>
        <v>5.5034722222262644</v>
      </c>
      <c r="AF106" s="210">
        <f t="shared" si="36"/>
        <v>0</v>
      </c>
      <c r="AG106" s="210">
        <f t="shared" si="37"/>
        <v>0</v>
      </c>
    </row>
    <row r="107" spans="2:33" ht="15" customHeight="1" x14ac:dyDescent="0.3">
      <c r="B107" s="196" t="s">
        <v>7</v>
      </c>
      <c r="C107" s="197" t="s">
        <v>13</v>
      </c>
      <c r="D107" s="198" t="str">
        <f t="shared" si="19"/>
        <v>C</v>
      </c>
      <c r="E107" s="199">
        <v>44505.017361111109</v>
      </c>
      <c r="F107" s="200" t="s">
        <v>123</v>
      </c>
      <c r="G107" s="201">
        <v>84.144000000000005</v>
      </c>
      <c r="H107" s="201">
        <v>84.605000000000004</v>
      </c>
      <c r="I107" s="202">
        <f t="shared" si="20"/>
        <v>0.46099999999999852</v>
      </c>
      <c r="J107" s="201">
        <v>76.156000000000006</v>
      </c>
      <c r="K107" s="199">
        <v>44510.669444444444</v>
      </c>
      <c r="L107" s="201">
        <v>83.700999999999993</v>
      </c>
      <c r="M107" s="203">
        <f t="shared" si="21"/>
        <v>0.443</v>
      </c>
      <c r="N107" s="204">
        <f t="shared" si="22"/>
        <v>0.96</v>
      </c>
      <c r="O107" s="205">
        <f t="shared" si="23"/>
        <v>0</v>
      </c>
      <c r="P107" s="206">
        <f t="shared" si="24"/>
        <v>0.96</v>
      </c>
      <c r="Q107" s="206">
        <f t="shared" si="25"/>
        <v>0</v>
      </c>
      <c r="R1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262860</v>
      </c>
      <c r="T1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7" s="208">
        <f ca="1">IF(Tabla33610673[[#This Row],[Equity]]&lt;Tabla33610673[[#This Row],[Equity Peak]],(Tabla33610673[[#This Row],[Equity Peak]]-Tabla33610673[[#This Row],[Equity]])/Tabla33610673[[#This Row],[Equity Peak]],"")</f>
        <v>2.7920565067859917E-2</v>
      </c>
      <c r="V107" s="209">
        <f t="shared" si="26"/>
        <v>0.96</v>
      </c>
      <c r="W107" s="209">
        <f t="shared" si="27"/>
        <v>0</v>
      </c>
      <c r="X107" s="209">
        <f t="shared" si="28"/>
        <v>0</v>
      </c>
      <c r="Y107" s="209">
        <f t="shared" si="29"/>
        <v>0</v>
      </c>
      <c r="Z107" s="209">
        <f t="shared" si="30"/>
        <v>0</v>
      </c>
      <c r="AA107" s="205">
        <f t="shared" si="31"/>
        <v>0</v>
      </c>
      <c r="AB107" s="209">
        <f t="shared" si="32"/>
        <v>0</v>
      </c>
      <c r="AC107" s="205">
        <f t="shared" si="33"/>
        <v>0</v>
      </c>
      <c r="AD107" s="210">
        <f t="shared" si="34"/>
        <v>5.6520833333343035</v>
      </c>
      <c r="AE107" s="210">
        <f t="shared" si="35"/>
        <v>5.6520833333343035</v>
      </c>
      <c r="AF107" s="210">
        <f t="shared" si="36"/>
        <v>0</v>
      </c>
      <c r="AG107" s="210">
        <f t="shared" si="37"/>
        <v>0</v>
      </c>
    </row>
    <row r="108" spans="2:33" ht="15" customHeight="1" x14ac:dyDescent="0.3">
      <c r="B108" s="196" t="s">
        <v>19</v>
      </c>
      <c r="C108" s="197" t="s">
        <v>15</v>
      </c>
      <c r="D108" s="198" t="str">
        <f t="shared" si="19"/>
        <v>C</v>
      </c>
      <c r="E108" s="199">
        <v>44509.958333333336</v>
      </c>
      <c r="F108" s="200" t="s">
        <v>108</v>
      </c>
      <c r="G108" s="201">
        <v>84.578999999999994</v>
      </c>
      <c r="H108" s="201">
        <v>82.546999999999997</v>
      </c>
      <c r="I108" s="202">
        <f t="shared" si="20"/>
        <v>2.0319999999999965</v>
      </c>
      <c r="J108" s="201">
        <v>108.96</v>
      </c>
      <c r="K108" s="199">
        <v>44510.595138888886</v>
      </c>
      <c r="L108" s="201">
        <v>83.513999999999996</v>
      </c>
      <c r="M108" s="203">
        <f t="shared" si="21"/>
        <v>-1.0649999999999999</v>
      </c>
      <c r="N108" s="204">
        <f t="shared" si="22"/>
        <v>-0.52</v>
      </c>
      <c r="O108" s="205">
        <f t="shared" si="23"/>
        <v>0</v>
      </c>
      <c r="P108" s="206">
        <f t="shared" si="24"/>
        <v>0</v>
      </c>
      <c r="Q108" s="206">
        <f t="shared" si="25"/>
        <v>-0.52</v>
      </c>
      <c r="R1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261900</v>
      </c>
      <c r="T1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8" s="208">
        <f ca="1">IF(Tabla33610673[[#This Row],[Equity]]&lt;Tabla33610673[[#This Row],[Equity Peak]],(Tabla33610673[[#This Row],[Equity Peak]]-Tabla33610673[[#This Row],[Equity]])/Tabla33610673[[#This Row],[Equity Peak]],"")</f>
        <v>3.1470729632779852E-2</v>
      </c>
      <c r="V108" s="209">
        <f t="shared" si="26"/>
        <v>0</v>
      </c>
      <c r="W108" s="209">
        <f t="shared" si="27"/>
        <v>0</v>
      </c>
      <c r="X108" s="209">
        <f t="shared" si="28"/>
        <v>-0.52</v>
      </c>
      <c r="Y108" s="209">
        <f t="shared" si="29"/>
        <v>0</v>
      </c>
      <c r="Z108" s="209">
        <f t="shared" si="30"/>
        <v>0</v>
      </c>
      <c r="AA108" s="205">
        <f t="shared" si="31"/>
        <v>0</v>
      </c>
      <c r="AB108" s="209">
        <f t="shared" si="32"/>
        <v>0</v>
      </c>
      <c r="AC108" s="205">
        <f t="shared" si="33"/>
        <v>0</v>
      </c>
      <c r="AD108" s="210">
        <f t="shared" si="34"/>
        <v>0.63680555555038154</v>
      </c>
      <c r="AE108" s="210">
        <f t="shared" si="35"/>
        <v>0</v>
      </c>
      <c r="AF108" s="210">
        <f t="shared" si="36"/>
        <v>0.63680555555038154</v>
      </c>
      <c r="AG108" s="210">
        <f t="shared" si="37"/>
        <v>0</v>
      </c>
    </row>
    <row r="109" spans="2:33" ht="15" customHeight="1" x14ac:dyDescent="0.3">
      <c r="B109" s="196" t="s">
        <v>7</v>
      </c>
      <c r="C109" s="197" t="s">
        <v>13</v>
      </c>
      <c r="D109" s="198" t="str">
        <f t="shared" si="19"/>
        <v>C</v>
      </c>
      <c r="E109" s="199">
        <v>44504.666666666664</v>
      </c>
      <c r="F109" s="200" t="s">
        <v>117</v>
      </c>
      <c r="G109" s="201">
        <v>1.8273299999999999</v>
      </c>
      <c r="H109" s="201">
        <v>1.8423400000000001</v>
      </c>
      <c r="I109" s="202">
        <f t="shared" si="20"/>
        <v>1.501000000000019E-2</v>
      </c>
      <c r="J109" s="201">
        <v>1.7773099999999999</v>
      </c>
      <c r="K109" s="199">
        <v>44508.726388888892</v>
      </c>
      <c r="L109" s="201">
        <v>1.8283799999999999</v>
      </c>
      <c r="M109" s="203">
        <f t="shared" si="21"/>
        <v>-1.1000000000000001E-3</v>
      </c>
      <c r="N109" s="204">
        <f t="shared" si="22"/>
        <v>-7.0000000000000007E-2</v>
      </c>
      <c r="O109" s="205">
        <f t="shared" si="23"/>
        <v>0</v>
      </c>
      <c r="P109" s="206">
        <f t="shared" si="24"/>
        <v>0</v>
      </c>
      <c r="Q109" s="206">
        <f t="shared" si="25"/>
        <v>-7.0000000000000007E-2</v>
      </c>
      <c r="R1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262420</v>
      </c>
      <c r="T1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09" s="208">
        <f ca="1">IF(Tabla33610673[[#This Row],[Equity]]&lt;Tabla33610673[[#This Row],[Equity Peak]],(Tabla33610673[[#This Row],[Equity Peak]]-Tabla33610673[[#This Row],[Equity]])/Tabla33610673[[#This Row],[Equity Peak]],"")</f>
        <v>2.9547723826781554E-2</v>
      </c>
      <c r="V109" s="209">
        <f t="shared" si="26"/>
        <v>-7.0000000000000007E-2</v>
      </c>
      <c r="W109" s="209">
        <f t="shared" si="27"/>
        <v>0</v>
      </c>
      <c r="X109" s="209">
        <f t="shared" si="28"/>
        <v>0</v>
      </c>
      <c r="Y109" s="209">
        <f t="shared" si="29"/>
        <v>0</v>
      </c>
      <c r="Z109" s="209">
        <f t="shared" si="30"/>
        <v>0</v>
      </c>
      <c r="AA109" s="205">
        <f t="shared" si="31"/>
        <v>0</v>
      </c>
      <c r="AB109" s="209">
        <f t="shared" si="32"/>
        <v>0</v>
      </c>
      <c r="AC109" s="205">
        <f t="shared" si="33"/>
        <v>0</v>
      </c>
      <c r="AD109" s="210">
        <f t="shared" si="34"/>
        <v>4.0597222222277196</v>
      </c>
      <c r="AE109" s="210">
        <f t="shared" si="35"/>
        <v>0</v>
      </c>
      <c r="AF109" s="210">
        <f t="shared" si="36"/>
        <v>4.0597222222277196</v>
      </c>
      <c r="AG109" s="210">
        <f t="shared" si="37"/>
        <v>0</v>
      </c>
    </row>
    <row r="110" spans="2:33" ht="15" customHeight="1" x14ac:dyDescent="0.3">
      <c r="B110" s="196" t="s">
        <v>7</v>
      </c>
      <c r="C110" s="197" t="s">
        <v>13</v>
      </c>
      <c r="D110" s="198" t="str">
        <f t="shared" si="19"/>
        <v>C</v>
      </c>
      <c r="E110" s="199">
        <v>44498.833333333336</v>
      </c>
      <c r="F110" s="200" t="s">
        <v>118</v>
      </c>
      <c r="G110" s="201">
        <v>1.1538900000000001</v>
      </c>
      <c r="H110" s="201">
        <v>1.16275</v>
      </c>
      <c r="I110" s="202">
        <f t="shared" si="20"/>
        <v>8.859999999999868E-3</v>
      </c>
      <c r="J110" s="201">
        <v>1.09718</v>
      </c>
      <c r="K110" s="199">
        <v>44508.454861111109</v>
      </c>
      <c r="L110" s="201">
        <v>1.1573500000000001</v>
      </c>
      <c r="M110" s="203">
        <f t="shared" si="21"/>
        <v>-3.5000000000000001E-3</v>
      </c>
      <c r="N110" s="204">
        <f t="shared" si="22"/>
        <v>-0.4</v>
      </c>
      <c r="O110" s="205">
        <f t="shared" si="23"/>
        <v>0</v>
      </c>
      <c r="P110" s="206">
        <f t="shared" si="24"/>
        <v>0</v>
      </c>
      <c r="Q110" s="206">
        <f t="shared" si="25"/>
        <v>-0.4</v>
      </c>
      <c r="R1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262490</v>
      </c>
      <c r="T1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0" s="208">
        <f ca="1">IF(Tabla33610673[[#This Row],[Equity]]&lt;Tabla33610673[[#This Row],[Equity Peak]],(Tabla33610673[[#This Row],[Equity Peak]]-Tabla33610673[[#This Row],[Equity]])/Tabla33610673[[#This Row],[Equity Peak]],"")</f>
        <v>2.9288857660589477E-2</v>
      </c>
      <c r="V110" s="209">
        <f t="shared" si="26"/>
        <v>-0.4</v>
      </c>
      <c r="W110" s="209">
        <f t="shared" si="27"/>
        <v>0</v>
      </c>
      <c r="X110" s="209">
        <f t="shared" si="28"/>
        <v>0</v>
      </c>
      <c r="Y110" s="209">
        <f t="shared" si="29"/>
        <v>0</v>
      </c>
      <c r="Z110" s="209">
        <f t="shared" si="30"/>
        <v>0</v>
      </c>
      <c r="AA110" s="205">
        <f t="shared" si="31"/>
        <v>0</v>
      </c>
      <c r="AB110" s="209">
        <f t="shared" si="32"/>
        <v>0</v>
      </c>
      <c r="AC110" s="205">
        <f t="shared" si="33"/>
        <v>0</v>
      </c>
      <c r="AD110" s="210">
        <f t="shared" si="34"/>
        <v>9.6215277777737356</v>
      </c>
      <c r="AE110" s="210">
        <f t="shared" si="35"/>
        <v>0</v>
      </c>
      <c r="AF110" s="210">
        <f t="shared" si="36"/>
        <v>9.6215277777737356</v>
      </c>
      <c r="AG110" s="210">
        <f t="shared" si="37"/>
        <v>0</v>
      </c>
    </row>
    <row r="111" spans="2:33" ht="15" customHeight="1" x14ac:dyDescent="0.3">
      <c r="B111" s="196" t="s">
        <v>84</v>
      </c>
      <c r="C111" s="197" t="s">
        <v>13</v>
      </c>
      <c r="D111" s="198" t="str">
        <f t="shared" si="19"/>
        <v>C</v>
      </c>
      <c r="E111" s="199">
        <v>44505.833333333336</v>
      </c>
      <c r="F111" s="200" t="s">
        <v>80</v>
      </c>
      <c r="G111" s="201">
        <v>60950.5</v>
      </c>
      <c r="H111" s="201">
        <v>63177.08</v>
      </c>
      <c r="I111" s="202">
        <f t="shared" si="20"/>
        <v>2226.5800000000017</v>
      </c>
      <c r="J111" s="201">
        <v>27551.78</v>
      </c>
      <c r="K111" s="199">
        <v>44507.160416666666</v>
      </c>
      <c r="L111" s="201">
        <v>61749.71</v>
      </c>
      <c r="M111" s="203">
        <f t="shared" si="21"/>
        <v>-799.21</v>
      </c>
      <c r="N111" s="204">
        <f t="shared" si="22"/>
        <v>-0.36</v>
      </c>
      <c r="O111" s="205">
        <f t="shared" si="23"/>
        <v>0</v>
      </c>
      <c r="P111" s="206">
        <f t="shared" si="24"/>
        <v>0</v>
      </c>
      <c r="Q111" s="206">
        <f t="shared" si="25"/>
        <v>-0.36</v>
      </c>
      <c r="R1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262890</v>
      </c>
      <c r="T1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1" s="208">
        <f ca="1">IF(Tabla33610673[[#This Row],[Equity]]&lt;Tabla33610673[[#This Row],[Equity Peak]],(Tabla33610673[[#This Row],[Equity Peak]]-Tabla33610673[[#This Row],[Equity]])/Tabla33610673[[#This Row],[Equity Peak]],"")</f>
        <v>2.7809622425206168E-2</v>
      </c>
      <c r="V111" s="209">
        <f t="shared" si="26"/>
        <v>0</v>
      </c>
      <c r="W111" s="209">
        <f t="shared" si="27"/>
        <v>0</v>
      </c>
      <c r="X111" s="209">
        <f t="shared" si="28"/>
        <v>0</v>
      </c>
      <c r="Y111" s="209">
        <f t="shared" si="29"/>
        <v>0</v>
      </c>
      <c r="Z111" s="209">
        <f t="shared" si="30"/>
        <v>0</v>
      </c>
      <c r="AA111" s="205">
        <f t="shared" si="31"/>
        <v>0</v>
      </c>
      <c r="AB111" s="209">
        <f t="shared" si="32"/>
        <v>-0.36</v>
      </c>
      <c r="AC111" s="205">
        <f t="shared" si="33"/>
        <v>0</v>
      </c>
      <c r="AD111" s="210">
        <f t="shared" si="34"/>
        <v>1.3270833333299379</v>
      </c>
      <c r="AE111" s="210">
        <f t="shared" si="35"/>
        <v>0</v>
      </c>
      <c r="AF111" s="210">
        <f t="shared" si="36"/>
        <v>1.3270833333299379</v>
      </c>
      <c r="AG111" s="210">
        <f t="shared" si="37"/>
        <v>0</v>
      </c>
    </row>
    <row r="112" spans="2:33" ht="15" customHeight="1" x14ac:dyDescent="0.3">
      <c r="B112" s="196" t="s">
        <v>84</v>
      </c>
      <c r="C112" s="197" t="s">
        <v>15</v>
      </c>
      <c r="D112" s="198" t="str">
        <f t="shared" si="19"/>
        <v>C</v>
      </c>
      <c r="E112" s="199">
        <v>44505.5</v>
      </c>
      <c r="F112" s="200" t="s">
        <v>80</v>
      </c>
      <c r="G112" s="201">
        <v>62285.5</v>
      </c>
      <c r="H112" s="201">
        <v>60163.59</v>
      </c>
      <c r="I112" s="202">
        <f t="shared" si="20"/>
        <v>2121.9100000000035</v>
      </c>
      <c r="J112" s="201">
        <v>94114.19</v>
      </c>
      <c r="K112" s="199">
        <v>44505.833333333336</v>
      </c>
      <c r="L112" s="201">
        <v>60950.5</v>
      </c>
      <c r="M112" s="203">
        <f t="shared" si="21"/>
        <v>-1335</v>
      </c>
      <c r="N112" s="204">
        <f t="shared" si="22"/>
        <v>-0.63</v>
      </c>
      <c r="O112" s="205">
        <f t="shared" si="23"/>
        <v>0</v>
      </c>
      <c r="P112" s="206">
        <f t="shared" si="24"/>
        <v>0</v>
      </c>
      <c r="Q112" s="206">
        <f t="shared" si="25"/>
        <v>-0.63</v>
      </c>
      <c r="R1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263250</v>
      </c>
      <c r="T1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2" s="208">
        <f ca="1">IF(Tabla33610673[[#This Row],[Equity]]&lt;Tabla33610673[[#This Row],[Equity Peak]],(Tabla33610673[[#This Row],[Equity Peak]]-Tabla33610673[[#This Row],[Equity]])/Tabla33610673[[#This Row],[Equity Peak]],"")</f>
        <v>2.6478310713361191E-2</v>
      </c>
      <c r="V112" s="209">
        <f t="shared" si="26"/>
        <v>0</v>
      </c>
      <c r="W112" s="209">
        <f t="shared" si="27"/>
        <v>0</v>
      </c>
      <c r="X112" s="209">
        <f t="shared" si="28"/>
        <v>0</v>
      </c>
      <c r="Y112" s="209">
        <f t="shared" si="29"/>
        <v>0</v>
      </c>
      <c r="Z112" s="209">
        <f t="shared" si="30"/>
        <v>0</v>
      </c>
      <c r="AA112" s="205">
        <f t="shared" si="31"/>
        <v>0</v>
      </c>
      <c r="AB112" s="209">
        <f t="shared" si="32"/>
        <v>-0.63</v>
      </c>
      <c r="AC112" s="205">
        <f t="shared" si="33"/>
        <v>0</v>
      </c>
      <c r="AD112" s="210">
        <f t="shared" si="34"/>
        <v>0.33333333333575865</v>
      </c>
      <c r="AE112" s="210">
        <f t="shared" si="35"/>
        <v>0</v>
      </c>
      <c r="AF112" s="210">
        <f t="shared" si="36"/>
        <v>0.33333333333575865</v>
      </c>
      <c r="AG112" s="210">
        <f t="shared" si="37"/>
        <v>0</v>
      </c>
    </row>
    <row r="113" spans="2:33" ht="15" customHeight="1" x14ac:dyDescent="0.3">
      <c r="B113" s="196" t="s">
        <v>7</v>
      </c>
      <c r="C113" s="197" t="s">
        <v>15</v>
      </c>
      <c r="D113" s="198" t="str">
        <f t="shared" si="19"/>
        <v>C</v>
      </c>
      <c r="E113" s="199">
        <v>44505.666666666664</v>
      </c>
      <c r="F113" s="200" t="s">
        <v>114</v>
      </c>
      <c r="G113" s="201">
        <v>113.91500000000001</v>
      </c>
      <c r="H113" s="201">
        <v>113.172</v>
      </c>
      <c r="I113" s="202">
        <f t="shared" si="20"/>
        <v>0.74300000000000921</v>
      </c>
      <c r="J113" s="201">
        <v>117.381</v>
      </c>
      <c r="K113" s="199">
        <v>44505.685416666667</v>
      </c>
      <c r="L113" s="201">
        <v>113.544</v>
      </c>
      <c r="M113" s="203">
        <f t="shared" si="21"/>
        <v>-0.371</v>
      </c>
      <c r="N113" s="204">
        <f t="shared" si="22"/>
        <v>-0.5</v>
      </c>
      <c r="O113" s="205">
        <f t="shared" si="23"/>
        <v>0</v>
      </c>
      <c r="P113" s="206">
        <f t="shared" si="24"/>
        <v>0</v>
      </c>
      <c r="Q113" s="206">
        <f t="shared" si="25"/>
        <v>-0.5</v>
      </c>
      <c r="R1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263880</v>
      </c>
      <c r="T1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3" s="208">
        <f ca="1">IF(Tabla33610673[[#This Row],[Equity]]&lt;Tabla33610673[[#This Row],[Equity Peak]],(Tabla33610673[[#This Row],[Equity Peak]]-Tabla33610673[[#This Row],[Equity]])/Tabla33610673[[#This Row],[Equity Peak]],"")</f>
        <v>2.4148515217632484E-2</v>
      </c>
      <c r="V113" s="209">
        <f t="shared" si="26"/>
        <v>-0.5</v>
      </c>
      <c r="W113" s="209">
        <f t="shared" si="27"/>
        <v>0</v>
      </c>
      <c r="X113" s="209">
        <f t="shared" si="28"/>
        <v>0</v>
      </c>
      <c r="Y113" s="209">
        <f t="shared" si="29"/>
        <v>0</v>
      </c>
      <c r="Z113" s="209">
        <f t="shared" si="30"/>
        <v>0</v>
      </c>
      <c r="AA113" s="205">
        <f t="shared" si="31"/>
        <v>0</v>
      </c>
      <c r="AB113" s="209">
        <f t="shared" si="32"/>
        <v>0</v>
      </c>
      <c r="AC113" s="205">
        <f t="shared" si="33"/>
        <v>0</v>
      </c>
      <c r="AD113" s="210">
        <f t="shared" si="34"/>
        <v>1.8750000002910383E-2</v>
      </c>
      <c r="AE113" s="210">
        <f t="shared" si="35"/>
        <v>0</v>
      </c>
      <c r="AF113" s="210">
        <f t="shared" si="36"/>
        <v>1.8750000002910383E-2</v>
      </c>
      <c r="AG113" s="210">
        <f t="shared" si="37"/>
        <v>0</v>
      </c>
    </row>
    <row r="114" spans="2:33" ht="15" customHeight="1" x14ac:dyDescent="0.3">
      <c r="B114" s="196" t="s">
        <v>84</v>
      </c>
      <c r="C114" s="197" t="s">
        <v>13</v>
      </c>
      <c r="D114" s="198" t="str">
        <f t="shared" si="19"/>
        <v>C</v>
      </c>
      <c r="E114" s="199">
        <v>44505.017361111109</v>
      </c>
      <c r="F114" s="200" t="s">
        <v>80</v>
      </c>
      <c r="G114" s="201">
        <v>61439</v>
      </c>
      <c r="H114" s="201">
        <v>63556.06</v>
      </c>
      <c r="I114" s="202">
        <f t="shared" si="20"/>
        <v>2117.0599999999977</v>
      </c>
      <c r="J114" s="201">
        <v>29683.119999999999</v>
      </c>
      <c r="K114" s="199">
        <v>44505.381249999999</v>
      </c>
      <c r="L114" s="201">
        <v>62450.87</v>
      </c>
      <c r="M114" s="203">
        <f t="shared" si="21"/>
        <v>-1011.87</v>
      </c>
      <c r="N114" s="204">
        <f t="shared" si="22"/>
        <v>-0.48</v>
      </c>
      <c r="O114" s="205">
        <f t="shared" si="23"/>
        <v>0</v>
      </c>
      <c r="P114" s="206">
        <f t="shared" si="24"/>
        <v>0</v>
      </c>
      <c r="Q114" s="206">
        <f t="shared" si="25"/>
        <v>-0.48</v>
      </c>
      <c r="R1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264380</v>
      </c>
      <c r="T1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4" s="208">
        <f ca="1">IF(Tabla33610673[[#This Row],[Equity]]&lt;Tabla33610673[[#This Row],[Equity Peak]],(Tabla33610673[[#This Row],[Equity Peak]]-Tabla33610673[[#This Row],[Equity]])/Tabla33610673[[#This Row],[Equity Peak]],"")</f>
        <v>2.2299471173403352E-2</v>
      </c>
      <c r="V114" s="209">
        <f t="shared" si="26"/>
        <v>0</v>
      </c>
      <c r="W114" s="209">
        <f t="shared" si="27"/>
        <v>0</v>
      </c>
      <c r="X114" s="209">
        <f t="shared" si="28"/>
        <v>0</v>
      </c>
      <c r="Y114" s="209">
        <f t="shared" si="29"/>
        <v>0</v>
      </c>
      <c r="Z114" s="209">
        <f t="shared" si="30"/>
        <v>0</v>
      </c>
      <c r="AA114" s="205">
        <f t="shared" si="31"/>
        <v>0</v>
      </c>
      <c r="AB114" s="209">
        <f t="shared" si="32"/>
        <v>-0.48</v>
      </c>
      <c r="AC114" s="205">
        <f t="shared" si="33"/>
        <v>0</v>
      </c>
      <c r="AD114" s="210">
        <f t="shared" si="34"/>
        <v>0.36388888888905058</v>
      </c>
      <c r="AE114" s="210">
        <f t="shared" si="35"/>
        <v>0</v>
      </c>
      <c r="AF114" s="210">
        <f t="shared" si="36"/>
        <v>0.36388888888905058</v>
      </c>
      <c r="AG114" s="210">
        <f t="shared" si="37"/>
        <v>0</v>
      </c>
    </row>
    <row r="115" spans="2:33" ht="15" customHeight="1" x14ac:dyDescent="0.3">
      <c r="B115" s="196" t="s">
        <v>19</v>
      </c>
      <c r="C115" s="197" t="s">
        <v>13</v>
      </c>
      <c r="D115" s="198" t="str">
        <f t="shared" si="19"/>
        <v>C</v>
      </c>
      <c r="E115" s="199">
        <v>44504.125</v>
      </c>
      <c r="F115" s="200" t="s">
        <v>108</v>
      </c>
      <c r="G115" s="201">
        <v>79.557000000000002</v>
      </c>
      <c r="H115" s="201">
        <v>81.447000000000003</v>
      </c>
      <c r="I115" s="202">
        <f t="shared" si="20"/>
        <v>1.8900000000000006</v>
      </c>
      <c r="J115" s="201">
        <v>56.881999999999998</v>
      </c>
      <c r="K115" s="199">
        <v>44504.385416666664</v>
      </c>
      <c r="L115" s="201">
        <v>80.313000000000002</v>
      </c>
      <c r="M115" s="203">
        <f t="shared" si="21"/>
        <v>-0.75600000000000001</v>
      </c>
      <c r="N115" s="204">
        <f t="shared" si="22"/>
        <v>-0.4</v>
      </c>
      <c r="O115" s="205">
        <f t="shared" si="23"/>
        <v>0</v>
      </c>
      <c r="P115" s="206">
        <f t="shared" si="24"/>
        <v>0</v>
      </c>
      <c r="Q115" s="206">
        <f t="shared" si="25"/>
        <v>-0.4</v>
      </c>
      <c r="R1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264860</v>
      </c>
      <c r="T1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5" s="208">
        <f ca="1">IF(Tabla33610673[[#This Row],[Equity]]&lt;Tabla33610673[[#This Row],[Equity Peak]],(Tabla33610673[[#This Row],[Equity Peak]]-Tabla33610673[[#This Row],[Equity]])/Tabla33610673[[#This Row],[Equity Peak]],"")</f>
        <v>2.0524388890943383E-2</v>
      </c>
      <c r="V115" s="209">
        <f t="shared" si="26"/>
        <v>0</v>
      </c>
      <c r="W115" s="209">
        <f t="shared" si="27"/>
        <v>0</v>
      </c>
      <c r="X115" s="209">
        <f t="shared" si="28"/>
        <v>-0.4</v>
      </c>
      <c r="Y115" s="209">
        <f t="shared" si="29"/>
        <v>0</v>
      </c>
      <c r="Z115" s="209">
        <f t="shared" si="30"/>
        <v>0</v>
      </c>
      <c r="AA115" s="205">
        <f t="shared" si="31"/>
        <v>0</v>
      </c>
      <c r="AB115" s="209">
        <f t="shared" si="32"/>
        <v>0</v>
      </c>
      <c r="AC115" s="205">
        <f t="shared" si="33"/>
        <v>0</v>
      </c>
      <c r="AD115" s="210">
        <f t="shared" si="34"/>
        <v>0.26041666666424135</v>
      </c>
      <c r="AE115" s="210">
        <f t="shared" si="35"/>
        <v>0</v>
      </c>
      <c r="AF115" s="210">
        <f t="shared" si="36"/>
        <v>0.26041666666424135</v>
      </c>
      <c r="AG115" s="210">
        <f t="shared" si="37"/>
        <v>0</v>
      </c>
    </row>
    <row r="116" spans="2:33" ht="15" customHeight="1" x14ac:dyDescent="0.3">
      <c r="B116" s="196" t="s">
        <v>19</v>
      </c>
      <c r="C116" s="197" t="s">
        <v>13</v>
      </c>
      <c r="D116" s="198" t="str">
        <f t="shared" si="19"/>
        <v>C</v>
      </c>
      <c r="E116" s="199">
        <v>44503.208333333336</v>
      </c>
      <c r="F116" s="200" t="s">
        <v>88</v>
      </c>
      <c r="G116" s="201">
        <v>1783.32</v>
      </c>
      <c r="H116" s="201">
        <v>1796.65</v>
      </c>
      <c r="I116" s="202">
        <f t="shared" si="20"/>
        <v>13.330000000000155</v>
      </c>
      <c r="J116" s="201">
        <v>1697.99</v>
      </c>
      <c r="K116" s="199">
        <v>44504.240277777775</v>
      </c>
      <c r="L116" s="201">
        <v>1778.35</v>
      </c>
      <c r="M116" s="203">
        <f t="shared" si="21"/>
        <v>4.97</v>
      </c>
      <c r="N116" s="204">
        <f t="shared" si="22"/>
        <v>0.37</v>
      </c>
      <c r="O116" s="205">
        <f t="shared" si="23"/>
        <v>0</v>
      </c>
      <c r="P116" s="206">
        <f t="shared" si="24"/>
        <v>0.37</v>
      </c>
      <c r="Q116" s="206">
        <f t="shared" si="25"/>
        <v>0</v>
      </c>
      <c r="R1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265260</v>
      </c>
      <c r="T1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6" s="208">
        <f ca="1">IF(Tabla33610673[[#This Row],[Equity]]&lt;Tabla33610673[[#This Row],[Equity Peak]],(Tabla33610673[[#This Row],[Equity Peak]]-Tabla33610673[[#This Row],[Equity]])/Tabla33610673[[#This Row],[Equity Peak]],"")</f>
        <v>1.9045153655560077E-2</v>
      </c>
      <c r="V116" s="209">
        <f t="shared" si="26"/>
        <v>0</v>
      </c>
      <c r="W116" s="209">
        <f t="shared" si="27"/>
        <v>0</v>
      </c>
      <c r="X116" s="209">
        <f t="shared" si="28"/>
        <v>0.37</v>
      </c>
      <c r="Y116" s="209">
        <f t="shared" si="29"/>
        <v>0</v>
      </c>
      <c r="Z116" s="209">
        <f t="shared" si="30"/>
        <v>0</v>
      </c>
      <c r="AA116" s="205">
        <f t="shared" si="31"/>
        <v>0</v>
      </c>
      <c r="AB116" s="209">
        <f t="shared" si="32"/>
        <v>0</v>
      </c>
      <c r="AC116" s="205">
        <f t="shared" si="33"/>
        <v>0</v>
      </c>
      <c r="AD116" s="210">
        <f t="shared" si="34"/>
        <v>1.0319444444394321</v>
      </c>
      <c r="AE116" s="210">
        <f t="shared" si="35"/>
        <v>1.0319444444394321</v>
      </c>
      <c r="AF116" s="210">
        <f t="shared" si="36"/>
        <v>0</v>
      </c>
      <c r="AG116" s="210">
        <f t="shared" si="37"/>
        <v>0</v>
      </c>
    </row>
    <row r="117" spans="2:33" ht="15" customHeight="1" x14ac:dyDescent="0.3">
      <c r="B117" s="196" t="s">
        <v>19</v>
      </c>
      <c r="C117" s="197" t="s">
        <v>13</v>
      </c>
      <c r="D117" s="198" t="str">
        <f t="shared" si="19"/>
        <v>C</v>
      </c>
      <c r="E117" s="199">
        <v>44503.875</v>
      </c>
      <c r="F117" s="200" t="s">
        <v>89</v>
      </c>
      <c r="G117" s="201">
        <v>23.149000000000001</v>
      </c>
      <c r="H117" s="201">
        <v>23.690999999999999</v>
      </c>
      <c r="I117" s="202">
        <f t="shared" si="20"/>
        <v>0.54199999999999804</v>
      </c>
      <c r="J117" s="201">
        <v>20.545000000000002</v>
      </c>
      <c r="K117" s="199">
        <v>44504.121527777781</v>
      </c>
      <c r="L117" s="201">
        <v>23.690999999999999</v>
      </c>
      <c r="M117" s="203">
        <f t="shared" si="21"/>
        <v>-0.54200000000000004</v>
      </c>
      <c r="N117" s="204">
        <f t="shared" si="22"/>
        <v>-1</v>
      </c>
      <c r="O117" s="205">
        <f t="shared" si="23"/>
        <v>0</v>
      </c>
      <c r="P117" s="206">
        <f t="shared" si="24"/>
        <v>0</v>
      </c>
      <c r="Q117" s="206">
        <f t="shared" si="25"/>
        <v>-1</v>
      </c>
      <c r="R1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264890</v>
      </c>
      <c r="T1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7" s="208">
        <f ca="1">IF(Tabla33610673[[#This Row],[Equity]]&lt;Tabla33610673[[#This Row],[Equity Peak]],(Tabla33610673[[#This Row],[Equity Peak]]-Tabla33610673[[#This Row],[Equity]])/Tabla33610673[[#This Row],[Equity Peak]],"")</f>
        <v>2.0413446248289634E-2</v>
      </c>
      <c r="V117" s="209">
        <f t="shared" si="26"/>
        <v>0</v>
      </c>
      <c r="W117" s="209">
        <f t="shared" si="27"/>
        <v>0</v>
      </c>
      <c r="X117" s="209">
        <f t="shared" si="28"/>
        <v>-1</v>
      </c>
      <c r="Y117" s="209">
        <f t="shared" si="29"/>
        <v>0</v>
      </c>
      <c r="Z117" s="209">
        <f t="shared" si="30"/>
        <v>0</v>
      </c>
      <c r="AA117" s="205">
        <f t="shared" si="31"/>
        <v>0</v>
      </c>
      <c r="AB117" s="209">
        <f t="shared" si="32"/>
        <v>0</v>
      </c>
      <c r="AC117" s="205">
        <f t="shared" si="33"/>
        <v>0</v>
      </c>
      <c r="AD117" s="210">
        <f t="shared" si="34"/>
        <v>0.24652777778101154</v>
      </c>
      <c r="AE117" s="210">
        <f t="shared" si="35"/>
        <v>0</v>
      </c>
      <c r="AF117" s="210">
        <f t="shared" si="36"/>
        <v>0.24652777778101154</v>
      </c>
      <c r="AG117" s="210">
        <f t="shared" si="37"/>
        <v>0</v>
      </c>
    </row>
    <row r="118" spans="2:33" ht="15" customHeight="1" x14ac:dyDescent="0.3">
      <c r="B118" s="196" t="s">
        <v>84</v>
      </c>
      <c r="C118" s="197" t="s">
        <v>15</v>
      </c>
      <c r="D118" s="198" t="str">
        <f t="shared" si="19"/>
        <v>C</v>
      </c>
      <c r="E118" s="199">
        <v>44502.333333333336</v>
      </c>
      <c r="F118" s="200" t="s">
        <v>80</v>
      </c>
      <c r="G118" s="201">
        <v>61509</v>
      </c>
      <c r="H118" s="201">
        <v>59296.11</v>
      </c>
      <c r="I118" s="202">
        <f t="shared" si="20"/>
        <v>2212.8899999999994</v>
      </c>
      <c r="J118" s="201">
        <v>94702.31</v>
      </c>
      <c r="K118" s="199">
        <v>44503.875</v>
      </c>
      <c r="L118" s="201">
        <v>61398.400000000001</v>
      </c>
      <c r="M118" s="203">
        <f t="shared" si="21"/>
        <v>-110.6</v>
      </c>
      <c r="N118" s="204">
        <f t="shared" si="22"/>
        <v>-0.05</v>
      </c>
      <c r="O118" s="205">
        <f t="shared" si="23"/>
        <v>0</v>
      </c>
      <c r="P118" s="206">
        <f t="shared" si="24"/>
        <v>0</v>
      </c>
      <c r="Q118" s="206">
        <f t="shared" si="25"/>
        <v>-0.05</v>
      </c>
      <c r="R1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265890</v>
      </c>
      <c r="T1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8" s="208">
        <f ca="1">IF(Tabla33610673[[#This Row],[Equity]]&lt;Tabla33610673[[#This Row],[Equity Peak]],(Tabla33610673[[#This Row],[Equity Peak]]-Tabla33610673[[#This Row],[Equity]])/Tabla33610673[[#This Row],[Equity Peak]],"")</f>
        <v>1.6715358159831366E-2</v>
      </c>
      <c r="V118" s="209">
        <f t="shared" si="26"/>
        <v>0</v>
      </c>
      <c r="W118" s="209">
        <f t="shared" si="27"/>
        <v>0</v>
      </c>
      <c r="X118" s="209">
        <f t="shared" si="28"/>
        <v>0</v>
      </c>
      <c r="Y118" s="209">
        <f t="shared" si="29"/>
        <v>0</v>
      </c>
      <c r="Z118" s="209">
        <f t="shared" si="30"/>
        <v>0</v>
      </c>
      <c r="AA118" s="205">
        <f t="shared" si="31"/>
        <v>0</v>
      </c>
      <c r="AB118" s="209">
        <f t="shared" si="32"/>
        <v>-0.05</v>
      </c>
      <c r="AC118" s="205">
        <f t="shared" si="33"/>
        <v>0</v>
      </c>
      <c r="AD118" s="210">
        <f t="shared" si="34"/>
        <v>1.5416666666642413</v>
      </c>
      <c r="AE118" s="210">
        <f t="shared" si="35"/>
        <v>0</v>
      </c>
      <c r="AF118" s="210">
        <f t="shared" si="36"/>
        <v>1.5416666666642413</v>
      </c>
      <c r="AG118" s="210">
        <f t="shared" si="37"/>
        <v>0</v>
      </c>
    </row>
    <row r="119" spans="2:33" ht="15" customHeight="1" x14ac:dyDescent="0.3">
      <c r="B119" s="196" t="s">
        <v>19</v>
      </c>
      <c r="C119" s="197" t="s">
        <v>15</v>
      </c>
      <c r="D119" s="198" t="str">
        <f t="shared" si="19"/>
        <v>C</v>
      </c>
      <c r="E119" s="199">
        <v>44501.875</v>
      </c>
      <c r="F119" s="200" t="s">
        <v>88</v>
      </c>
      <c r="G119" s="201">
        <v>1793.71</v>
      </c>
      <c r="H119" s="201">
        <v>1772.07</v>
      </c>
      <c r="I119" s="202">
        <f t="shared" si="20"/>
        <v>21.6400000000001</v>
      </c>
      <c r="J119" s="201">
        <v>1932.19</v>
      </c>
      <c r="K119" s="199">
        <v>44503.208333333336</v>
      </c>
      <c r="L119" s="201">
        <v>1783.32</v>
      </c>
      <c r="M119" s="203">
        <f t="shared" si="21"/>
        <v>-10.39</v>
      </c>
      <c r="N119" s="204">
        <f t="shared" si="22"/>
        <v>-0.48</v>
      </c>
      <c r="O119" s="205">
        <f t="shared" si="23"/>
        <v>0</v>
      </c>
      <c r="P119" s="206">
        <f t="shared" si="24"/>
        <v>0</v>
      </c>
      <c r="Q119" s="206">
        <f t="shared" si="25"/>
        <v>-0.48</v>
      </c>
      <c r="R1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265940</v>
      </c>
      <c r="T1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19" s="208">
        <f ca="1">IF(Tabla33610673[[#This Row],[Equity]]&lt;Tabla33610673[[#This Row],[Equity Peak]],(Tabla33610673[[#This Row],[Equity Peak]]-Tabla33610673[[#This Row],[Equity]])/Tabla33610673[[#This Row],[Equity Peak]],"")</f>
        <v>1.6530453755408455E-2</v>
      </c>
      <c r="V119" s="209">
        <f t="shared" si="26"/>
        <v>0</v>
      </c>
      <c r="W119" s="209">
        <f t="shared" si="27"/>
        <v>0</v>
      </c>
      <c r="X119" s="209">
        <f t="shared" si="28"/>
        <v>-0.48</v>
      </c>
      <c r="Y119" s="209">
        <f t="shared" si="29"/>
        <v>0</v>
      </c>
      <c r="Z119" s="209">
        <f t="shared" si="30"/>
        <v>0</v>
      </c>
      <c r="AA119" s="205">
        <f t="shared" si="31"/>
        <v>0</v>
      </c>
      <c r="AB119" s="209">
        <f t="shared" si="32"/>
        <v>0</v>
      </c>
      <c r="AC119" s="205">
        <f t="shared" si="33"/>
        <v>0</v>
      </c>
      <c r="AD119" s="210">
        <f t="shared" si="34"/>
        <v>1.3333333333357587</v>
      </c>
      <c r="AE119" s="210">
        <f t="shared" si="35"/>
        <v>0</v>
      </c>
      <c r="AF119" s="210">
        <f t="shared" si="36"/>
        <v>1.3333333333357587</v>
      </c>
      <c r="AG119" s="210">
        <f t="shared" si="37"/>
        <v>0</v>
      </c>
    </row>
    <row r="120" spans="2:33" ht="15" customHeight="1" x14ac:dyDescent="0.3">
      <c r="B120" s="196" t="s">
        <v>84</v>
      </c>
      <c r="C120" s="197" t="s">
        <v>13</v>
      </c>
      <c r="D120" s="198" t="str">
        <f t="shared" si="19"/>
        <v>C</v>
      </c>
      <c r="E120" s="199">
        <v>44502.017361111109</v>
      </c>
      <c r="F120" s="200" t="s">
        <v>80</v>
      </c>
      <c r="G120" s="201">
        <v>60766.5</v>
      </c>
      <c r="H120" s="201">
        <v>63071.31</v>
      </c>
      <c r="I120" s="202">
        <f t="shared" si="20"/>
        <v>2304.8099999999977</v>
      </c>
      <c r="J120" s="201">
        <v>26194.33</v>
      </c>
      <c r="K120" s="199">
        <v>44502.333333333336</v>
      </c>
      <c r="L120" s="201">
        <v>61509</v>
      </c>
      <c r="M120" s="203">
        <f t="shared" si="21"/>
        <v>-742.5</v>
      </c>
      <c r="N120" s="204">
        <f t="shared" si="22"/>
        <v>-0.32</v>
      </c>
      <c r="O120" s="205">
        <f t="shared" si="23"/>
        <v>0</v>
      </c>
      <c r="P120" s="206">
        <f t="shared" si="24"/>
        <v>0</v>
      </c>
      <c r="Q120" s="206">
        <f t="shared" si="25"/>
        <v>-0.32</v>
      </c>
      <c r="R1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266420</v>
      </c>
      <c r="T1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0" s="208">
        <f ca="1">IF(Tabla33610673[[#This Row],[Equity]]&lt;Tabla33610673[[#This Row],[Equity Peak]],(Tabla33610673[[#This Row],[Equity Peak]]-Tabla33610673[[#This Row],[Equity]])/Tabla33610673[[#This Row],[Equity Peak]],"")</f>
        <v>1.4755371472948486E-2</v>
      </c>
      <c r="V120" s="209">
        <f t="shared" si="26"/>
        <v>0</v>
      </c>
      <c r="W120" s="209">
        <f t="shared" si="27"/>
        <v>0</v>
      </c>
      <c r="X120" s="209">
        <f t="shared" si="28"/>
        <v>0</v>
      </c>
      <c r="Y120" s="209">
        <f t="shared" si="29"/>
        <v>0</v>
      </c>
      <c r="Z120" s="209">
        <f t="shared" si="30"/>
        <v>0</v>
      </c>
      <c r="AA120" s="205">
        <f t="shared" si="31"/>
        <v>0</v>
      </c>
      <c r="AB120" s="209">
        <f t="shared" si="32"/>
        <v>-0.32</v>
      </c>
      <c r="AC120" s="205">
        <f t="shared" si="33"/>
        <v>0</v>
      </c>
      <c r="AD120" s="210">
        <f t="shared" si="34"/>
        <v>0.31597222222626442</v>
      </c>
      <c r="AE120" s="210">
        <f t="shared" si="35"/>
        <v>0</v>
      </c>
      <c r="AF120" s="210">
        <f t="shared" si="36"/>
        <v>0.31597222222626442</v>
      </c>
      <c r="AG120" s="210">
        <f t="shared" si="37"/>
        <v>0</v>
      </c>
    </row>
    <row r="121" spans="2:33" ht="15" customHeight="1" x14ac:dyDescent="0.3">
      <c r="B121" s="196" t="s">
        <v>84</v>
      </c>
      <c r="C121" s="197" t="s">
        <v>15</v>
      </c>
      <c r="D121" s="198" t="str">
        <f t="shared" si="19"/>
        <v>C</v>
      </c>
      <c r="E121" s="199">
        <v>44501.5</v>
      </c>
      <c r="F121" s="200" t="s">
        <v>80</v>
      </c>
      <c r="G121" s="201">
        <v>61990.77</v>
      </c>
      <c r="H121" s="201">
        <v>59776.3</v>
      </c>
      <c r="I121" s="202">
        <f t="shared" si="20"/>
        <v>2214.4699999999939</v>
      </c>
      <c r="J121" s="201">
        <v>95207.76</v>
      </c>
      <c r="K121" s="199">
        <v>44502.017361111109</v>
      </c>
      <c r="L121" s="201">
        <v>60766.5</v>
      </c>
      <c r="M121" s="203">
        <f t="shared" si="21"/>
        <v>-1224.27</v>
      </c>
      <c r="N121" s="204">
        <f t="shared" si="22"/>
        <v>-0.55000000000000004</v>
      </c>
      <c r="O121" s="205">
        <f t="shared" si="23"/>
        <v>0</v>
      </c>
      <c r="P121" s="206">
        <f t="shared" si="24"/>
        <v>0</v>
      </c>
      <c r="Q121" s="206">
        <f t="shared" si="25"/>
        <v>-0.55000000000000004</v>
      </c>
      <c r="R1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266740</v>
      </c>
      <c r="T1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1" s="208">
        <f ca="1">IF(Tabla33610673[[#This Row],[Equity]]&lt;Tabla33610673[[#This Row],[Equity Peak]],(Tabla33610673[[#This Row],[Equity Peak]]-Tabla33610673[[#This Row],[Equity]])/Tabla33610673[[#This Row],[Equity Peak]],"")</f>
        <v>1.3571983284641841E-2</v>
      </c>
      <c r="V121" s="209">
        <f t="shared" si="26"/>
        <v>0</v>
      </c>
      <c r="W121" s="209">
        <f t="shared" si="27"/>
        <v>0</v>
      </c>
      <c r="X121" s="209">
        <f t="shared" si="28"/>
        <v>0</v>
      </c>
      <c r="Y121" s="209">
        <f t="shared" si="29"/>
        <v>0</v>
      </c>
      <c r="Z121" s="209">
        <f t="shared" si="30"/>
        <v>0</v>
      </c>
      <c r="AA121" s="205">
        <f t="shared" si="31"/>
        <v>0</v>
      </c>
      <c r="AB121" s="209">
        <f t="shared" si="32"/>
        <v>-0.55000000000000004</v>
      </c>
      <c r="AC121" s="205">
        <f t="shared" si="33"/>
        <v>0</v>
      </c>
      <c r="AD121" s="210">
        <f t="shared" si="34"/>
        <v>0.51736111110949423</v>
      </c>
      <c r="AE121" s="210">
        <f t="shared" si="35"/>
        <v>0</v>
      </c>
      <c r="AF121" s="210">
        <f t="shared" si="36"/>
        <v>0.51736111110949423</v>
      </c>
      <c r="AG121" s="210">
        <f t="shared" si="37"/>
        <v>0</v>
      </c>
    </row>
    <row r="122" spans="2:33" ht="15" customHeight="1" x14ac:dyDescent="0.3">
      <c r="B122" s="196" t="s">
        <v>19</v>
      </c>
      <c r="C122" s="197" t="s">
        <v>13</v>
      </c>
      <c r="D122" s="198" t="str">
        <f t="shared" si="19"/>
        <v>C</v>
      </c>
      <c r="E122" s="199">
        <v>44498.875</v>
      </c>
      <c r="F122" s="200" t="s">
        <v>88</v>
      </c>
      <c r="G122" s="201">
        <v>1781.76</v>
      </c>
      <c r="H122" s="201">
        <v>1806.1</v>
      </c>
      <c r="I122" s="202">
        <f t="shared" si="20"/>
        <v>24.339999999999918</v>
      </c>
      <c r="J122" s="201">
        <v>1625.97</v>
      </c>
      <c r="K122" s="199">
        <v>44501.875</v>
      </c>
      <c r="L122" s="201">
        <v>1793.71</v>
      </c>
      <c r="M122" s="203">
        <f t="shared" si="21"/>
        <v>-11.95</v>
      </c>
      <c r="N122" s="204">
        <f t="shared" si="22"/>
        <v>-0.49</v>
      </c>
      <c r="O122" s="205">
        <f t="shared" si="23"/>
        <v>0</v>
      </c>
      <c r="P122" s="206">
        <f t="shared" si="24"/>
        <v>0</v>
      </c>
      <c r="Q122" s="206">
        <f t="shared" si="25"/>
        <v>-0.49</v>
      </c>
      <c r="R1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267290</v>
      </c>
      <c r="T1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2" s="208">
        <f ca="1">IF(Tabla33610673[[#This Row],[Equity]]&lt;Tabla33610673[[#This Row],[Equity Peak]],(Tabla33610673[[#This Row],[Equity Peak]]-Tabla33610673[[#This Row],[Equity]])/Tabla33610673[[#This Row],[Equity Peak]],"")</f>
        <v>1.1538034835989794E-2</v>
      </c>
      <c r="V122" s="209">
        <f t="shared" si="26"/>
        <v>0</v>
      </c>
      <c r="W122" s="209">
        <f t="shared" si="27"/>
        <v>0</v>
      </c>
      <c r="X122" s="209">
        <f t="shared" si="28"/>
        <v>-0.49</v>
      </c>
      <c r="Y122" s="209">
        <f t="shared" si="29"/>
        <v>0</v>
      </c>
      <c r="Z122" s="209">
        <f t="shared" si="30"/>
        <v>0</v>
      </c>
      <c r="AA122" s="205">
        <f t="shared" si="31"/>
        <v>0</v>
      </c>
      <c r="AB122" s="209">
        <f t="shared" si="32"/>
        <v>0</v>
      </c>
      <c r="AC122" s="205">
        <f t="shared" si="33"/>
        <v>0</v>
      </c>
      <c r="AD122" s="210">
        <f t="shared" si="34"/>
        <v>3</v>
      </c>
      <c r="AE122" s="210">
        <f t="shared" si="35"/>
        <v>0</v>
      </c>
      <c r="AF122" s="210">
        <f t="shared" si="36"/>
        <v>3</v>
      </c>
      <c r="AG122" s="210">
        <f t="shared" si="37"/>
        <v>0</v>
      </c>
    </row>
    <row r="123" spans="2:33" ht="15" customHeight="1" x14ac:dyDescent="0.3">
      <c r="B123" s="196" t="s">
        <v>84</v>
      </c>
      <c r="C123" s="197" t="s">
        <v>13</v>
      </c>
      <c r="D123" s="198" t="str">
        <f t="shared" si="19"/>
        <v>C</v>
      </c>
      <c r="E123" s="199">
        <v>44500.666666666664</v>
      </c>
      <c r="F123" s="200" t="s">
        <v>80</v>
      </c>
      <c r="G123" s="201">
        <v>60324.5</v>
      </c>
      <c r="H123" s="201">
        <v>62454.22</v>
      </c>
      <c r="I123" s="202">
        <f t="shared" si="20"/>
        <v>2129.7200000000012</v>
      </c>
      <c r="J123" s="201">
        <v>28378.74</v>
      </c>
      <c r="K123" s="199">
        <v>44501.42291666667</v>
      </c>
      <c r="L123" s="201">
        <v>61923.79</v>
      </c>
      <c r="M123" s="203">
        <f t="shared" si="21"/>
        <v>-1599.29</v>
      </c>
      <c r="N123" s="204">
        <f t="shared" si="22"/>
        <v>-0.75</v>
      </c>
      <c r="O123" s="205">
        <f t="shared" si="23"/>
        <v>0</v>
      </c>
      <c r="P123" s="206">
        <f t="shared" si="24"/>
        <v>0</v>
      </c>
      <c r="Q123" s="206">
        <f t="shared" si="25"/>
        <v>-0.75</v>
      </c>
      <c r="R1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267780</v>
      </c>
      <c r="T1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3" s="208">
        <f ca="1">IF(Tabla33610673[[#This Row],[Equity]]&lt;Tabla33610673[[#This Row],[Equity Peak]],(Tabla33610673[[#This Row],[Equity Peak]]-Tabla33610673[[#This Row],[Equity]])/Tabla33610673[[#This Row],[Equity Peak]],"")</f>
        <v>9.7259716726452432E-3</v>
      </c>
      <c r="V123" s="209">
        <f t="shared" si="26"/>
        <v>0</v>
      </c>
      <c r="W123" s="209">
        <f t="shared" si="27"/>
        <v>0</v>
      </c>
      <c r="X123" s="209">
        <f t="shared" si="28"/>
        <v>0</v>
      </c>
      <c r="Y123" s="209">
        <f t="shared" si="29"/>
        <v>0</v>
      </c>
      <c r="Z123" s="209">
        <f t="shared" si="30"/>
        <v>0</v>
      </c>
      <c r="AA123" s="205">
        <f t="shared" si="31"/>
        <v>0</v>
      </c>
      <c r="AB123" s="209">
        <f t="shared" si="32"/>
        <v>-0.75</v>
      </c>
      <c r="AC123" s="205">
        <f t="shared" si="33"/>
        <v>0</v>
      </c>
      <c r="AD123" s="210">
        <f t="shared" si="34"/>
        <v>0.75625000000582077</v>
      </c>
      <c r="AE123" s="210">
        <f t="shared" si="35"/>
        <v>0</v>
      </c>
      <c r="AF123" s="210">
        <f t="shared" si="36"/>
        <v>0.75625000000582077</v>
      </c>
      <c r="AG123" s="210">
        <f t="shared" si="37"/>
        <v>0</v>
      </c>
    </row>
    <row r="124" spans="2:33" ht="15" customHeight="1" x14ac:dyDescent="0.3">
      <c r="B124" s="196" t="s">
        <v>84</v>
      </c>
      <c r="C124" s="197" t="s">
        <v>15</v>
      </c>
      <c r="D124" s="198" t="str">
        <f t="shared" si="19"/>
        <v>C</v>
      </c>
      <c r="E124" s="199">
        <v>44498.333333333336</v>
      </c>
      <c r="F124" s="200" t="s">
        <v>80</v>
      </c>
      <c r="G124" s="201">
        <v>61574.5</v>
      </c>
      <c r="H124" s="201">
        <v>58603.56</v>
      </c>
      <c r="I124" s="202">
        <f t="shared" si="20"/>
        <v>2970.9400000000023</v>
      </c>
      <c r="J124" s="201">
        <v>106138.66</v>
      </c>
      <c r="K124" s="199">
        <v>44500.489583333336</v>
      </c>
      <c r="L124" s="201">
        <v>60688.42</v>
      </c>
      <c r="M124" s="203">
        <f t="shared" si="21"/>
        <v>-886.08</v>
      </c>
      <c r="N124" s="204">
        <f t="shared" si="22"/>
        <v>-0.3</v>
      </c>
      <c r="O124" s="205">
        <f t="shared" si="23"/>
        <v>0</v>
      </c>
      <c r="P124" s="206">
        <f t="shared" si="24"/>
        <v>0</v>
      </c>
      <c r="Q124" s="206">
        <f t="shared" si="25"/>
        <v>-0.3</v>
      </c>
      <c r="R1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268530</v>
      </c>
      <c r="T1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4" s="208">
        <f ca="1">IF(Tabla33610673[[#This Row],[Equity]]&lt;Tabla33610673[[#This Row],[Equity Peak]],(Tabla33610673[[#This Row],[Equity Peak]]-Tabla33610673[[#This Row],[Equity]])/Tabla33610673[[#This Row],[Equity Peak]],"")</f>
        <v>6.952405606301542E-3</v>
      </c>
      <c r="V124" s="209">
        <f t="shared" si="26"/>
        <v>0</v>
      </c>
      <c r="W124" s="209">
        <f t="shared" si="27"/>
        <v>0</v>
      </c>
      <c r="X124" s="209">
        <f t="shared" si="28"/>
        <v>0</v>
      </c>
      <c r="Y124" s="209">
        <f t="shared" si="29"/>
        <v>0</v>
      </c>
      <c r="Z124" s="209">
        <f t="shared" si="30"/>
        <v>0</v>
      </c>
      <c r="AA124" s="205">
        <f t="shared" si="31"/>
        <v>0</v>
      </c>
      <c r="AB124" s="209">
        <f t="shared" si="32"/>
        <v>-0.3</v>
      </c>
      <c r="AC124" s="205">
        <f t="shared" si="33"/>
        <v>0</v>
      </c>
      <c r="AD124" s="210">
        <f t="shared" si="34"/>
        <v>2.15625</v>
      </c>
      <c r="AE124" s="210">
        <f t="shared" si="35"/>
        <v>0</v>
      </c>
      <c r="AF124" s="210">
        <f t="shared" si="36"/>
        <v>2.15625</v>
      </c>
      <c r="AG124" s="210">
        <f t="shared" si="37"/>
        <v>0</v>
      </c>
    </row>
    <row r="125" spans="2:33" ht="15" customHeight="1" x14ac:dyDescent="0.3">
      <c r="B125" s="196" t="s">
        <v>5</v>
      </c>
      <c r="C125" s="197" t="s">
        <v>15</v>
      </c>
      <c r="D125" s="198" t="str">
        <f t="shared" si="19"/>
        <v>C</v>
      </c>
      <c r="E125" s="199">
        <v>44484.552083333336</v>
      </c>
      <c r="F125" s="200" t="s">
        <v>90</v>
      </c>
      <c r="G125" s="201">
        <v>7369.85</v>
      </c>
      <c r="H125" s="201">
        <v>7323.56</v>
      </c>
      <c r="I125" s="202">
        <f t="shared" si="20"/>
        <v>46.289999999999964</v>
      </c>
      <c r="J125" s="201">
        <v>7986.99</v>
      </c>
      <c r="K125" s="199">
        <v>44498.136805555558</v>
      </c>
      <c r="L125" s="201">
        <v>7386.62</v>
      </c>
      <c r="M125" s="203">
        <f t="shared" si="21"/>
        <v>16.77</v>
      </c>
      <c r="N125" s="204">
        <f t="shared" si="22"/>
        <v>0.36</v>
      </c>
      <c r="O125" s="205">
        <f t="shared" si="23"/>
        <v>0</v>
      </c>
      <c r="P125" s="206">
        <f t="shared" si="24"/>
        <v>0.36</v>
      </c>
      <c r="Q125" s="206">
        <f t="shared" si="25"/>
        <v>0</v>
      </c>
      <c r="R1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268830</v>
      </c>
      <c r="T1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5" s="208">
        <f ca="1">IF(Tabla33610673[[#This Row],[Equity]]&lt;Tabla33610673[[#This Row],[Equity Peak]],(Tabla33610673[[#This Row],[Equity Peak]]-Tabla33610673[[#This Row],[Equity]])/Tabla33610673[[#This Row],[Equity Peak]],"")</f>
        <v>5.842979179764062E-3</v>
      </c>
      <c r="V125" s="209">
        <f t="shared" si="26"/>
        <v>0</v>
      </c>
      <c r="W125" s="209">
        <f t="shared" si="27"/>
        <v>0</v>
      </c>
      <c r="X125" s="209">
        <f t="shared" si="28"/>
        <v>0</v>
      </c>
      <c r="Y125" s="209">
        <f t="shared" si="29"/>
        <v>0</v>
      </c>
      <c r="Z125" s="209">
        <f t="shared" si="30"/>
        <v>0.36</v>
      </c>
      <c r="AA125" s="205">
        <f t="shared" si="31"/>
        <v>0</v>
      </c>
      <c r="AB125" s="209">
        <f t="shared" si="32"/>
        <v>0</v>
      </c>
      <c r="AC125" s="205">
        <f t="shared" si="33"/>
        <v>0</v>
      </c>
      <c r="AD125" s="210">
        <f t="shared" si="34"/>
        <v>13.584722222221899</v>
      </c>
      <c r="AE125" s="210">
        <f t="shared" si="35"/>
        <v>13.584722222221899</v>
      </c>
      <c r="AF125" s="210">
        <f t="shared" si="36"/>
        <v>0</v>
      </c>
      <c r="AG125" s="210">
        <f t="shared" si="37"/>
        <v>0</v>
      </c>
    </row>
    <row r="126" spans="2:33" ht="15" customHeight="1" x14ac:dyDescent="0.3">
      <c r="B126" s="196" t="s">
        <v>7</v>
      </c>
      <c r="C126" s="197" t="s">
        <v>13</v>
      </c>
      <c r="D126" s="198" t="str">
        <f t="shared" si="19"/>
        <v>C</v>
      </c>
      <c r="E126" s="199">
        <v>44495.017361111109</v>
      </c>
      <c r="F126" s="200" t="s">
        <v>118</v>
      </c>
      <c r="G126" s="201">
        <v>1.1609100000000001</v>
      </c>
      <c r="H126" s="201">
        <v>1.16632</v>
      </c>
      <c r="I126" s="202">
        <f t="shared" si="20"/>
        <v>5.4099999999999149E-3</v>
      </c>
      <c r="J126" s="201">
        <v>1.12626</v>
      </c>
      <c r="K126" s="199">
        <v>44497.675694444442</v>
      </c>
      <c r="L126" s="201">
        <v>1.1643600000000001</v>
      </c>
      <c r="M126" s="203">
        <f t="shared" si="21"/>
        <v>-3.3999999999999998E-3</v>
      </c>
      <c r="N126" s="204">
        <f t="shared" si="22"/>
        <v>-0.63</v>
      </c>
      <c r="O126" s="205">
        <f t="shared" si="23"/>
        <v>0</v>
      </c>
      <c r="P126" s="206">
        <f t="shared" si="24"/>
        <v>0</v>
      </c>
      <c r="Q126" s="206">
        <f t="shared" si="25"/>
        <v>-0.63</v>
      </c>
      <c r="R1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268470</v>
      </c>
      <c r="T1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6" s="208">
        <f ca="1">IF(Tabla33610673[[#This Row],[Equity]]&lt;Tabla33610673[[#This Row],[Equity Peak]],(Tabla33610673[[#This Row],[Equity Peak]]-Tabla33610673[[#This Row],[Equity]])/Tabla33610673[[#This Row],[Equity Peak]],"")</f>
        <v>7.1742908916090382E-3</v>
      </c>
      <c r="V126" s="209">
        <f t="shared" si="26"/>
        <v>-0.63</v>
      </c>
      <c r="W126" s="209">
        <f t="shared" si="27"/>
        <v>0</v>
      </c>
      <c r="X126" s="209">
        <f t="shared" si="28"/>
        <v>0</v>
      </c>
      <c r="Y126" s="209">
        <f t="shared" si="29"/>
        <v>0</v>
      </c>
      <c r="Z126" s="209">
        <f t="shared" si="30"/>
        <v>0</v>
      </c>
      <c r="AA126" s="205">
        <f t="shared" si="31"/>
        <v>0</v>
      </c>
      <c r="AB126" s="209">
        <f t="shared" si="32"/>
        <v>0</v>
      </c>
      <c r="AC126" s="205">
        <f t="shared" si="33"/>
        <v>0</v>
      </c>
      <c r="AD126" s="210">
        <f t="shared" si="34"/>
        <v>2.6583333333328483</v>
      </c>
      <c r="AE126" s="210">
        <f t="shared" si="35"/>
        <v>0</v>
      </c>
      <c r="AF126" s="210">
        <f t="shared" si="36"/>
        <v>2.6583333333328483</v>
      </c>
      <c r="AG126" s="210">
        <f t="shared" si="37"/>
        <v>0</v>
      </c>
    </row>
    <row r="127" spans="2:33" ht="15" customHeight="1" x14ac:dyDescent="0.3">
      <c r="B127" s="196" t="s">
        <v>84</v>
      </c>
      <c r="C127" s="197" t="s">
        <v>13</v>
      </c>
      <c r="D127" s="198" t="str">
        <f t="shared" si="19"/>
        <v>C</v>
      </c>
      <c r="E127" s="199">
        <v>44496.5</v>
      </c>
      <c r="F127" s="200" t="s">
        <v>80</v>
      </c>
      <c r="G127" s="201">
        <v>59268.74</v>
      </c>
      <c r="H127" s="201">
        <v>61558.33</v>
      </c>
      <c r="I127" s="202">
        <f t="shared" si="20"/>
        <v>2289.5900000000038</v>
      </c>
      <c r="J127" s="201">
        <v>24924.83</v>
      </c>
      <c r="K127" s="199">
        <v>44497.48333333333</v>
      </c>
      <c r="L127" s="201">
        <v>60086.93</v>
      </c>
      <c r="M127" s="203">
        <f t="shared" si="21"/>
        <v>-818.19</v>
      </c>
      <c r="N127" s="204">
        <f t="shared" si="22"/>
        <v>-0.36</v>
      </c>
      <c r="O127" s="205">
        <f t="shared" si="23"/>
        <v>0</v>
      </c>
      <c r="P127" s="206">
        <f t="shared" si="24"/>
        <v>0</v>
      </c>
      <c r="Q127" s="206">
        <f t="shared" si="25"/>
        <v>-0.36</v>
      </c>
      <c r="R1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269100</v>
      </c>
      <c r="T1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7" s="208">
        <f ca="1">IF(Tabla33610673[[#This Row],[Equity]]&lt;Tabla33610673[[#This Row],[Equity Peak]],(Tabla33610673[[#This Row],[Equity Peak]]-Tabla33610673[[#This Row],[Equity]])/Tabla33610673[[#This Row],[Equity Peak]],"")</f>
        <v>4.8444953958803301E-3</v>
      </c>
      <c r="V127" s="209">
        <f t="shared" si="26"/>
        <v>0</v>
      </c>
      <c r="W127" s="209">
        <f t="shared" si="27"/>
        <v>0</v>
      </c>
      <c r="X127" s="209">
        <f t="shared" si="28"/>
        <v>0</v>
      </c>
      <c r="Y127" s="209">
        <f t="shared" si="29"/>
        <v>0</v>
      </c>
      <c r="Z127" s="209">
        <f t="shared" si="30"/>
        <v>0</v>
      </c>
      <c r="AA127" s="205">
        <f t="shared" si="31"/>
        <v>0</v>
      </c>
      <c r="AB127" s="209">
        <f t="shared" si="32"/>
        <v>-0.36</v>
      </c>
      <c r="AC127" s="205">
        <f t="shared" si="33"/>
        <v>0</v>
      </c>
      <c r="AD127" s="210">
        <f t="shared" si="34"/>
        <v>0.98333333332993789</v>
      </c>
      <c r="AE127" s="210">
        <f t="shared" si="35"/>
        <v>0</v>
      </c>
      <c r="AF127" s="210">
        <f t="shared" si="36"/>
        <v>0.98333333332993789</v>
      </c>
      <c r="AG127" s="210">
        <f t="shared" si="37"/>
        <v>0</v>
      </c>
    </row>
    <row r="128" spans="2:33" ht="15" customHeight="1" x14ac:dyDescent="0.3">
      <c r="B128" s="196" t="s">
        <v>19</v>
      </c>
      <c r="C128" s="197" t="s">
        <v>15</v>
      </c>
      <c r="D128" s="198" t="str">
        <f t="shared" si="19"/>
        <v>C</v>
      </c>
      <c r="E128" s="199">
        <v>44491.958333333336</v>
      </c>
      <c r="F128" s="200" t="s">
        <v>108</v>
      </c>
      <c r="G128" s="201">
        <v>84.683000000000007</v>
      </c>
      <c r="H128" s="201">
        <v>82.875</v>
      </c>
      <c r="I128" s="202">
        <f t="shared" si="20"/>
        <v>1.8080000000000069</v>
      </c>
      <c r="J128" s="201">
        <v>106.38200000000001</v>
      </c>
      <c r="K128" s="199">
        <v>44494.813888888886</v>
      </c>
      <c r="L128" s="201">
        <v>84.244</v>
      </c>
      <c r="M128" s="203">
        <f t="shared" si="21"/>
        <v>-0.439</v>
      </c>
      <c r="N128" s="204">
        <f t="shared" si="22"/>
        <v>-0.24</v>
      </c>
      <c r="O128" s="205">
        <f t="shared" si="23"/>
        <v>0</v>
      </c>
      <c r="P128" s="206">
        <f t="shared" si="24"/>
        <v>0</v>
      </c>
      <c r="Q128" s="206">
        <f t="shared" si="25"/>
        <v>-0.24</v>
      </c>
      <c r="R1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269460</v>
      </c>
      <c r="T1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8" s="208">
        <f ca="1">IF(Tabla33610673[[#This Row],[Equity]]&lt;Tabla33610673[[#This Row],[Equity Peak]],(Tabla33610673[[#This Row],[Equity Peak]]-Tabla33610673[[#This Row],[Equity]])/Tabla33610673[[#This Row],[Equity Peak]],"")</f>
        <v>3.5131836840353536E-3</v>
      </c>
      <c r="V128" s="209">
        <f t="shared" si="26"/>
        <v>0</v>
      </c>
      <c r="W128" s="209">
        <f t="shared" si="27"/>
        <v>0</v>
      </c>
      <c r="X128" s="209">
        <f t="shared" si="28"/>
        <v>-0.24</v>
      </c>
      <c r="Y128" s="209">
        <f t="shared" si="29"/>
        <v>0</v>
      </c>
      <c r="Z128" s="209">
        <f t="shared" si="30"/>
        <v>0</v>
      </c>
      <c r="AA128" s="205">
        <f t="shared" si="31"/>
        <v>0</v>
      </c>
      <c r="AB128" s="209">
        <f t="shared" si="32"/>
        <v>0</v>
      </c>
      <c r="AC128" s="205">
        <f t="shared" si="33"/>
        <v>0</v>
      </c>
      <c r="AD128" s="210">
        <f t="shared" si="34"/>
        <v>2.8555555555503815</v>
      </c>
      <c r="AE128" s="210">
        <f t="shared" si="35"/>
        <v>0</v>
      </c>
      <c r="AF128" s="210">
        <f t="shared" si="36"/>
        <v>2.8555555555503815</v>
      </c>
      <c r="AG128" s="210">
        <f t="shared" si="37"/>
        <v>0</v>
      </c>
    </row>
    <row r="129" spans="2:33" ht="15" customHeight="1" x14ac:dyDescent="0.3">
      <c r="B129" s="196" t="s">
        <v>84</v>
      </c>
      <c r="C129" s="197" t="s">
        <v>13</v>
      </c>
      <c r="D129" s="198" t="str">
        <f t="shared" si="19"/>
        <v>C</v>
      </c>
      <c r="E129" s="199">
        <v>44493.5</v>
      </c>
      <c r="F129" s="200" t="s">
        <v>80</v>
      </c>
      <c r="G129" s="201">
        <v>60534</v>
      </c>
      <c r="H129" s="201">
        <v>62697.14</v>
      </c>
      <c r="I129" s="202">
        <f t="shared" si="20"/>
        <v>2163.1399999999994</v>
      </c>
      <c r="J129" s="201">
        <v>28086.9</v>
      </c>
      <c r="K129" s="199">
        <v>44494.171527777777</v>
      </c>
      <c r="L129" s="201">
        <v>62064.800000000003</v>
      </c>
      <c r="M129" s="203">
        <f t="shared" si="21"/>
        <v>-1530.8</v>
      </c>
      <c r="N129" s="204">
        <f t="shared" si="22"/>
        <v>-0.71</v>
      </c>
      <c r="O129" s="205">
        <f t="shared" si="23"/>
        <v>0</v>
      </c>
      <c r="P129" s="206">
        <f t="shared" si="24"/>
        <v>0</v>
      </c>
      <c r="Q129" s="206">
        <f t="shared" si="25"/>
        <v>-0.71</v>
      </c>
      <c r="R1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269700</v>
      </c>
      <c r="T1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29" s="208">
        <f ca="1">IF(Tabla33610673[[#This Row],[Equity]]&lt;Tabla33610673[[#This Row],[Equity Peak]],(Tabla33610673[[#This Row],[Equity Peak]]-Tabla33610673[[#This Row],[Equity]])/Tabla33610673[[#This Row],[Equity Peak]],"")</f>
        <v>2.6256425428053697E-3</v>
      </c>
      <c r="V129" s="209">
        <f t="shared" si="26"/>
        <v>0</v>
      </c>
      <c r="W129" s="209">
        <f t="shared" si="27"/>
        <v>0</v>
      </c>
      <c r="X129" s="209">
        <f t="shared" si="28"/>
        <v>0</v>
      </c>
      <c r="Y129" s="209">
        <f t="shared" si="29"/>
        <v>0</v>
      </c>
      <c r="Z129" s="209">
        <f t="shared" si="30"/>
        <v>0</v>
      </c>
      <c r="AA129" s="205">
        <f t="shared" si="31"/>
        <v>0</v>
      </c>
      <c r="AB129" s="209">
        <f t="shared" si="32"/>
        <v>-0.71</v>
      </c>
      <c r="AC129" s="205">
        <f t="shared" si="33"/>
        <v>0</v>
      </c>
      <c r="AD129" s="210">
        <f t="shared" si="34"/>
        <v>0.67152777777664596</v>
      </c>
      <c r="AE129" s="210">
        <f t="shared" si="35"/>
        <v>0</v>
      </c>
      <c r="AF129" s="210">
        <f t="shared" si="36"/>
        <v>0.67152777777664596</v>
      </c>
      <c r="AG129" s="210">
        <f t="shared" si="37"/>
        <v>0</v>
      </c>
    </row>
    <row r="130" spans="2:33" ht="15" customHeight="1" x14ac:dyDescent="0.3">
      <c r="B130" s="196" t="s">
        <v>5</v>
      </c>
      <c r="C130" s="197" t="s">
        <v>15</v>
      </c>
      <c r="D130" s="198" t="str">
        <f t="shared" si="19"/>
        <v>C</v>
      </c>
      <c r="E130" s="199">
        <v>44483.875</v>
      </c>
      <c r="F130" s="200" t="s">
        <v>92</v>
      </c>
      <c r="G130" s="201">
        <v>15042.77</v>
      </c>
      <c r="H130" s="201">
        <v>14813.45</v>
      </c>
      <c r="I130" s="202">
        <f t="shared" si="20"/>
        <v>229.31999999999971</v>
      </c>
      <c r="J130" s="201">
        <v>16571.599999999999</v>
      </c>
      <c r="K130" s="199">
        <v>44491.783333333333</v>
      </c>
      <c r="L130" s="201">
        <v>15287.97</v>
      </c>
      <c r="M130" s="203">
        <f t="shared" si="21"/>
        <v>245.2</v>
      </c>
      <c r="N130" s="204">
        <f t="shared" si="22"/>
        <v>1.07</v>
      </c>
      <c r="O130" s="205">
        <f t="shared" si="23"/>
        <v>0</v>
      </c>
      <c r="P130" s="206">
        <f t="shared" si="24"/>
        <v>1.07</v>
      </c>
      <c r="Q130" s="206">
        <f t="shared" si="25"/>
        <v>0</v>
      </c>
      <c r="R1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270410</v>
      </c>
      <c r="T1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270410</v>
      </c>
      <c r="U13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0" s="209">
        <f t="shared" si="26"/>
        <v>0</v>
      </c>
      <c r="W130" s="209">
        <f t="shared" si="27"/>
        <v>0</v>
      </c>
      <c r="X130" s="209">
        <f t="shared" si="28"/>
        <v>0</v>
      </c>
      <c r="Y130" s="209">
        <f t="shared" si="29"/>
        <v>0</v>
      </c>
      <c r="Z130" s="209">
        <f t="shared" si="30"/>
        <v>1.07</v>
      </c>
      <c r="AA130" s="205">
        <f t="shared" si="31"/>
        <v>0</v>
      </c>
      <c r="AB130" s="209">
        <f t="shared" si="32"/>
        <v>0</v>
      </c>
      <c r="AC130" s="205">
        <f t="shared" si="33"/>
        <v>0</v>
      </c>
      <c r="AD130" s="210">
        <f t="shared" si="34"/>
        <v>7.9083333333328483</v>
      </c>
      <c r="AE130" s="210">
        <f t="shared" si="35"/>
        <v>7.9083333333328483</v>
      </c>
      <c r="AF130" s="210">
        <f t="shared" si="36"/>
        <v>0</v>
      </c>
      <c r="AG130" s="210">
        <f t="shared" si="37"/>
        <v>0</v>
      </c>
    </row>
    <row r="131" spans="2:33" ht="15" customHeight="1" x14ac:dyDescent="0.3">
      <c r="B131" s="196" t="s">
        <v>19</v>
      </c>
      <c r="C131" s="197" t="s">
        <v>15</v>
      </c>
      <c r="D131" s="198" t="str">
        <f t="shared" si="19"/>
        <v>C</v>
      </c>
      <c r="E131" s="199">
        <v>44482.708333333336</v>
      </c>
      <c r="F131" s="200" t="s">
        <v>89</v>
      </c>
      <c r="G131" s="201">
        <v>23.001999999999999</v>
      </c>
      <c r="H131" s="201">
        <v>22.420999999999999</v>
      </c>
      <c r="I131" s="202">
        <f t="shared" si="20"/>
        <v>0.58099999999999952</v>
      </c>
      <c r="J131" s="201">
        <v>25.79</v>
      </c>
      <c r="K131" s="199">
        <v>44491.779861111114</v>
      </c>
      <c r="L131" s="201">
        <v>24.216999999999999</v>
      </c>
      <c r="M131" s="203">
        <f t="shared" si="21"/>
        <v>1.2150000000000001</v>
      </c>
      <c r="N131" s="204">
        <f t="shared" si="22"/>
        <v>2.09</v>
      </c>
      <c r="O131" s="205">
        <f t="shared" si="23"/>
        <v>0</v>
      </c>
      <c r="P131" s="206">
        <f t="shared" si="24"/>
        <v>2.09</v>
      </c>
      <c r="Q131" s="206">
        <f t="shared" si="25"/>
        <v>0</v>
      </c>
      <c r="R1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269340</v>
      </c>
      <c r="T1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269340</v>
      </c>
      <c r="U13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1" s="209">
        <f t="shared" si="26"/>
        <v>0</v>
      </c>
      <c r="W131" s="209">
        <f t="shared" si="27"/>
        <v>0</v>
      </c>
      <c r="X131" s="209">
        <f t="shared" si="28"/>
        <v>2.09</v>
      </c>
      <c r="Y131" s="209">
        <f t="shared" si="29"/>
        <v>0</v>
      </c>
      <c r="Z131" s="209">
        <f t="shared" si="30"/>
        <v>0</v>
      </c>
      <c r="AA131" s="205">
        <f t="shared" si="31"/>
        <v>0</v>
      </c>
      <c r="AB131" s="209">
        <f t="shared" si="32"/>
        <v>0</v>
      </c>
      <c r="AC131" s="205">
        <f t="shared" si="33"/>
        <v>0</v>
      </c>
      <c r="AD131" s="210">
        <f t="shared" si="34"/>
        <v>9.0715277777781012</v>
      </c>
      <c r="AE131" s="210">
        <f t="shared" si="35"/>
        <v>9.0715277777781012</v>
      </c>
      <c r="AF131" s="210">
        <f t="shared" si="36"/>
        <v>0</v>
      </c>
      <c r="AG131" s="210">
        <f t="shared" si="37"/>
        <v>0</v>
      </c>
    </row>
    <row r="132" spans="2:33" ht="15" customHeight="1" x14ac:dyDescent="0.3">
      <c r="B132" s="196" t="s">
        <v>7</v>
      </c>
      <c r="C132" s="197" t="s">
        <v>15</v>
      </c>
      <c r="D132" s="198" t="str">
        <f t="shared" si="19"/>
        <v>C</v>
      </c>
      <c r="E132" s="199">
        <v>44488.833333333336</v>
      </c>
      <c r="F132" s="200" t="s">
        <v>122</v>
      </c>
      <c r="G132" s="201">
        <v>0.74814000000000003</v>
      </c>
      <c r="H132" s="201">
        <v>0.74461999999999995</v>
      </c>
      <c r="I132" s="202">
        <f t="shared" si="20"/>
        <v>3.5200000000000786E-3</v>
      </c>
      <c r="J132" s="201">
        <v>0.76690999999999998</v>
      </c>
      <c r="K132" s="199">
        <v>44490.86041666667</v>
      </c>
      <c r="L132" s="201">
        <v>0.74639</v>
      </c>
      <c r="M132" s="203">
        <f t="shared" si="21"/>
        <v>-1.8E-3</v>
      </c>
      <c r="N132" s="204">
        <f t="shared" si="22"/>
        <v>-0.51</v>
      </c>
      <c r="O132" s="205">
        <f t="shared" si="23"/>
        <v>0</v>
      </c>
      <c r="P132" s="206">
        <f t="shared" si="24"/>
        <v>0</v>
      </c>
      <c r="Q132" s="206">
        <f t="shared" si="25"/>
        <v>-0.51</v>
      </c>
      <c r="R1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267250</v>
      </c>
      <c r="T1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268190</v>
      </c>
      <c r="U132" s="208">
        <f ca="1">IF(Tabla33610673[[#This Row],[Equity]]&lt;Tabla33610673[[#This Row],[Equity Peak]],(Tabla33610673[[#This Row],[Equity Peak]]-Tabla33610673[[#This Row],[Equity]])/Tabla33610673[[#This Row],[Equity Peak]],"")</f>
        <v>3.5049778142361757E-3</v>
      </c>
      <c r="V132" s="209">
        <f t="shared" si="26"/>
        <v>-0.51</v>
      </c>
      <c r="W132" s="209">
        <f t="shared" si="27"/>
        <v>0</v>
      </c>
      <c r="X132" s="209">
        <f t="shared" si="28"/>
        <v>0</v>
      </c>
      <c r="Y132" s="209">
        <f t="shared" si="29"/>
        <v>0</v>
      </c>
      <c r="Z132" s="209">
        <f t="shared" si="30"/>
        <v>0</v>
      </c>
      <c r="AA132" s="205">
        <f t="shared" si="31"/>
        <v>0</v>
      </c>
      <c r="AB132" s="209">
        <f t="shared" si="32"/>
        <v>0</v>
      </c>
      <c r="AC132" s="205">
        <f t="shared" si="33"/>
        <v>0</v>
      </c>
      <c r="AD132" s="210">
        <f t="shared" si="34"/>
        <v>2.0270833333343035</v>
      </c>
      <c r="AE132" s="210">
        <f t="shared" si="35"/>
        <v>0</v>
      </c>
      <c r="AF132" s="210">
        <f t="shared" si="36"/>
        <v>2.0270833333343035</v>
      </c>
      <c r="AG132" s="210">
        <f t="shared" si="37"/>
        <v>0</v>
      </c>
    </row>
    <row r="133" spans="2:33" ht="15" customHeight="1" x14ac:dyDescent="0.3">
      <c r="B133" s="196" t="s">
        <v>19</v>
      </c>
      <c r="C133" s="197" t="s">
        <v>15</v>
      </c>
      <c r="D133" s="198" t="str">
        <f t="shared" si="19"/>
        <v>C</v>
      </c>
      <c r="E133" s="199">
        <v>44489.958333333336</v>
      </c>
      <c r="F133" s="200" t="s">
        <v>108</v>
      </c>
      <c r="G133" s="201">
        <v>83.912999999999997</v>
      </c>
      <c r="H133" s="201">
        <v>82.116</v>
      </c>
      <c r="I133" s="202">
        <f t="shared" si="20"/>
        <v>1.796999999999997</v>
      </c>
      <c r="J133" s="201">
        <v>105.477</v>
      </c>
      <c r="K133" s="199">
        <v>44490.689583333333</v>
      </c>
      <c r="L133" s="201">
        <v>83.138000000000005</v>
      </c>
      <c r="M133" s="203">
        <f t="shared" si="21"/>
        <v>-0.77500000000000002</v>
      </c>
      <c r="N133" s="204">
        <f t="shared" si="22"/>
        <v>-0.43</v>
      </c>
      <c r="O133" s="205">
        <f t="shared" si="23"/>
        <v>0</v>
      </c>
      <c r="P133" s="206">
        <f t="shared" si="24"/>
        <v>0</v>
      </c>
      <c r="Q133" s="206">
        <f t="shared" si="25"/>
        <v>-0.43</v>
      </c>
      <c r="R1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267760</v>
      </c>
      <c r="T1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268190</v>
      </c>
      <c r="U133" s="208">
        <f ca="1">IF(Tabla33610673[[#This Row],[Equity]]&lt;Tabla33610673[[#This Row],[Equity Peak]],(Tabla33610673[[#This Row],[Equity Peak]]-Tabla33610673[[#This Row],[Equity]])/Tabla33610673[[#This Row],[Equity Peak]],"")</f>
        <v>1.6033409150229315E-3</v>
      </c>
      <c r="V133" s="209">
        <f t="shared" si="26"/>
        <v>0</v>
      </c>
      <c r="W133" s="209">
        <f t="shared" si="27"/>
        <v>0</v>
      </c>
      <c r="X133" s="209">
        <f t="shared" si="28"/>
        <v>-0.43</v>
      </c>
      <c r="Y133" s="209">
        <f t="shared" si="29"/>
        <v>0</v>
      </c>
      <c r="Z133" s="209">
        <f t="shared" si="30"/>
        <v>0</v>
      </c>
      <c r="AA133" s="205">
        <f t="shared" si="31"/>
        <v>0</v>
      </c>
      <c r="AB133" s="209">
        <f t="shared" si="32"/>
        <v>0</v>
      </c>
      <c r="AC133" s="205">
        <f t="shared" si="33"/>
        <v>0</v>
      </c>
      <c r="AD133" s="210">
        <f t="shared" si="34"/>
        <v>0.73124999999708962</v>
      </c>
      <c r="AE133" s="210">
        <f t="shared" si="35"/>
        <v>0</v>
      </c>
      <c r="AF133" s="210">
        <f t="shared" si="36"/>
        <v>0.73124999999708962</v>
      </c>
      <c r="AG133" s="210">
        <f t="shared" si="37"/>
        <v>0</v>
      </c>
    </row>
    <row r="134" spans="2:33" ht="15" customHeight="1" x14ac:dyDescent="0.3">
      <c r="B134" s="196" t="s">
        <v>7</v>
      </c>
      <c r="C134" s="197" t="s">
        <v>15</v>
      </c>
      <c r="D134" s="198" t="str">
        <f t="shared" si="19"/>
        <v>C</v>
      </c>
      <c r="E134" s="199">
        <v>44480.166666666664</v>
      </c>
      <c r="F134" s="200" t="s">
        <v>123</v>
      </c>
      <c r="G134" s="201">
        <v>82.15</v>
      </c>
      <c r="H134" s="201">
        <v>81.754999999999995</v>
      </c>
      <c r="I134" s="202">
        <f t="shared" si="20"/>
        <v>0.39500000000001023</v>
      </c>
      <c r="J134" s="201">
        <v>89.001000000000005</v>
      </c>
      <c r="K134" s="199">
        <v>44490.411111111112</v>
      </c>
      <c r="L134" s="201">
        <v>85.325000000000003</v>
      </c>
      <c r="M134" s="203">
        <f t="shared" si="21"/>
        <v>3.1749999999999998</v>
      </c>
      <c r="N134" s="204">
        <f t="shared" si="22"/>
        <v>8.0399999999999991</v>
      </c>
      <c r="O134" s="205">
        <f t="shared" si="23"/>
        <v>0</v>
      </c>
      <c r="P134" s="206">
        <f t="shared" si="24"/>
        <v>8.0399999999999991</v>
      </c>
      <c r="Q134" s="206">
        <f t="shared" si="25"/>
        <v>0</v>
      </c>
      <c r="R1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268190</v>
      </c>
      <c r="T1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268190</v>
      </c>
      <c r="U13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4" s="209">
        <f t="shared" si="26"/>
        <v>8.0399999999999991</v>
      </c>
      <c r="W134" s="209">
        <f t="shared" si="27"/>
        <v>0</v>
      </c>
      <c r="X134" s="209">
        <f t="shared" si="28"/>
        <v>0</v>
      </c>
      <c r="Y134" s="209">
        <f t="shared" si="29"/>
        <v>0</v>
      </c>
      <c r="Z134" s="209">
        <f t="shared" si="30"/>
        <v>0</v>
      </c>
      <c r="AA134" s="205">
        <f t="shared" si="31"/>
        <v>0</v>
      </c>
      <c r="AB134" s="209">
        <f t="shared" si="32"/>
        <v>0</v>
      </c>
      <c r="AC134" s="205">
        <f t="shared" si="33"/>
        <v>0</v>
      </c>
      <c r="AD134" s="210">
        <f t="shared" si="34"/>
        <v>10.244444444448163</v>
      </c>
      <c r="AE134" s="210">
        <f t="shared" si="35"/>
        <v>10.244444444448163</v>
      </c>
      <c r="AF134" s="210">
        <f t="shared" si="36"/>
        <v>0</v>
      </c>
      <c r="AG134" s="210">
        <f t="shared" si="37"/>
        <v>0</v>
      </c>
    </row>
    <row r="135" spans="2:33" ht="15" customHeight="1" x14ac:dyDescent="0.3">
      <c r="B135" s="196" t="s">
        <v>5</v>
      </c>
      <c r="C135" s="197" t="s">
        <v>15</v>
      </c>
      <c r="D135" s="198" t="str">
        <f t="shared" si="19"/>
        <v>C</v>
      </c>
      <c r="E135" s="199">
        <v>44483.708333333336</v>
      </c>
      <c r="F135" s="200" t="s">
        <v>95</v>
      </c>
      <c r="G135" s="201">
        <v>34709.449999999997</v>
      </c>
      <c r="H135" s="201">
        <v>34481.82</v>
      </c>
      <c r="I135" s="202">
        <f t="shared" si="20"/>
        <v>227.62999999999738</v>
      </c>
      <c r="J135" s="201">
        <v>35619.980000000003</v>
      </c>
      <c r="K135" s="199">
        <v>44489.80972222222</v>
      </c>
      <c r="L135" s="201">
        <v>35619.980000000003</v>
      </c>
      <c r="M135" s="203">
        <f t="shared" si="21"/>
        <v>910.53</v>
      </c>
      <c r="N135" s="204">
        <f t="shared" si="22"/>
        <v>4</v>
      </c>
      <c r="O135" s="205">
        <f t="shared" si="23"/>
        <v>0</v>
      </c>
      <c r="P135" s="206">
        <f t="shared" si="24"/>
        <v>4</v>
      </c>
      <c r="Q135" s="206">
        <f t="shared" si="25"/>
        <v>0</v>
      </c>
      <c r="R1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260150</v>
      </c>
      <c r="T1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260150</v>
      </c>
      <c r="U13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5" s="209">
        <f t="shared" si="26"/>
        <v>0</v>
      </c>
      <c r="W135" s="209">
        <f t="shared" si="27"/>
        <v>0</v>
      </c>
      <c r="X135" s="209">
        <f t="shared" si="28"/>
        <v>0</v>
      </c>
      <c r="Y135" s="209">
        <f t="shared" si="29"/>
        <v>0</v>
      </c>
      <c r="Z135" s="209">
        <f t="shared" si="30"/>
        <v>4</v>
      </c>
      <c r="AA135" s="205">
        <f t="shared" si="31"/>
        <v>0</v>
      </c>
      <c r="AB135" s="209">
        <f t="shared" si="32"/>
        <v>0</v>
      </c>
      <c r="AC135" s="205">
        <f t="shared" si="33"/>
        <v>0</v>
      </c>
      <c r="AD135" s="210">
        <f t="shared" si="34"/>
        <v>6.101388888884685</v>
      </c>
      <c r="AE135" s="210">
        <f t="shared" si="35"/>
        <v>6.101388888884685</v>
      </c>
      <c r="AF135" s="210">
        <f t="shared" si="36"/>
        <v>0</v>
      </c>
      <c r="AG135" s="210">
        <f t="shared" si="37"/>
        <v>0</v>
      </c>
    </row>
    <row r="136" spans="2:33" ht="15" customHeight="1" x14ac:dyDescent="0.3">
      <c r="B136" s="196" t="s">
        <v>7</v>
      </c>
      <c r="C136" s="197" t="s">
        <v>15</v>
      </c>
      <c r="D136" s="198" t="str">
        <f t="shared" si="19"/>
        <v>C</v>
      </c>
      <c r="E136" s="199">
        <v>44484.5</v>
      </c>
      <c r="F136" s="200" t="s">
        <v>116</v>
      </c>
      <c r="G136" s="201">
        <v>156.84299999999999</v>
      </c>
      <c r="H136" s="201">
        <v>155.78200000000001</v>
      </c>
      <c r="I136" s="202">
        <f t="shared" si="20"/>
        <v>1.0609999999999786</v>
      </c>
      <c r="J136" s="201">
        <v>162.78299999999999</v>
      </c>
      <c r="K136" s="199">
        <v>44489.625694444447</v>
      </c>
      <c r="L136" s="201">
        <v>157.178</v>
      </c>
      <c r="M136" s="203">
        <f t="shared" si="21"/>
        <v>0.33500000000000002</v>
      </c>
      <c r="N136" s="204">
        <f t="shared" si="22"/>
        <v>0.32</v>
      </c>
      <c r="O136" s="205">
        <f t="shared" si="23"/>
        <v>0</v>
      </c>
      <c r="P136" s="206">
        <f t="shared" si="24"/>
        <v>0.32</v>
      </c>
      <c r="Q136" s="206">
        <f t="shared" si="25"/>
        <v>0</v>
      </c>
      <c r="R1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256150</v>
      </c>
      <c r="T1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256150</v>
      </c>
      <c r="U13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6" s="209">
        <f t="shared" si="26"/>
        <v>0.32</v>
      </c>
      <c r="W136" s="209">
        <f t="shared" si="27"/>
        <v>0</v>
      </c>
      <c r="X136" s="209">
        <f t="shared" si="28"/>
        <v>0</v>
      </c>
      <c r="Y136" s="209">
        <f t="shared" si="29"/>
        <v>0</v>
      </c>
      <c r="Z136" s="209">
        <f t="shared" si="30"/>
        <v>0</v>
      </c>
      <c r="AA136" s="205">
        <f t="shared" si="31"/>
        <v>0</v>
      </c>
      <c r="AB136" s="209">
        <f t="shared" si="32"/>
        <v>0</v>
      </c>
      <c r="AC136" s="205">
        <f t="shared" si="33"/>
        <v>0</v>
      </c>
      <c r="AD136" s="210">
        <f t="shared" si="34"/>
        <v>5.1256944444467081</v>
      </c>
      <c r="AE136" s="210">
        <f t="shared" si="35"/>
        <v>5.1256944444467081</v>
      </c>
      <c r="AF136" s="210">
        <f t="shared" si="36"/>
        <v>0</v>
      </c>
      <c r="AG136" s="210">
        <f t="shared" si="37"/>
        <v>0</v>
      </c>
    </row>
    <row r="137" spans="2:33" ht="15" customHeight="1" x14ac:dyDescent="0.3">
      <c r="B137" s="196" t="s">
        <v>5</v>
      </c>
      <c r="C137" s="197" t="s">
        <v>15</v>
      </c>
      <c r="D137" s="198" t="str">
        <f t="shared" si="19"/>
        <v>C</v>
      </c>
      <c r="E137" s="199">
        <v>44483.875</v>
      </c>
      <c r="F137" s="200" t="s">
        <v>93</v>
      </c>
      <c r="G137" s="201">
        <v>4434.66</v>
      </c>
      <c r="H137" s="201">
        <v>4401.22</v>
      </c>
      <c r="I137" s="202">
        <f t="shared" si="20"/>
        <v>33.4399999999996</v>
      </c>
      <c r="J137" s="201">
        <v>4523.83</v>
      </c>
      <c r="K137" s="199">
        <v>44488.977777777778</v>
      </c>
      <c r="L137" s="201">
        <v>4523.83</v>
      </c>
      <c r="M137" s="203">
        <f t="shared" si="21"/>
        <v>89.17</v>
      </c>
      <c r="N137" s="204">
        <f t="shared" si="22"/>
        <v>2.67</v>
      </c>
      <c r="O137" s="205">
        <f t="shared" si="23"/>
        <v>0</v>
      </c>
      <c r="P137" s="206">
        <f t="shared" si="24"/>
        <v>2.67</v>
      </c>
      <c r="Q137" s="206">
        <f t="shared" si="25"/>
        <v>0</v>
      </c>
      <c r="R1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255830</v>
      </c>
      <c r="T1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255830</v>
      </c>
      <c r="U13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7" s="209">
        <f t="shared" si="26"/>
        <v>0</v>
      </c>
      <c r="W137" s="209">
        <f t="shared" si="27"/>
        <v>0</v>
      </c>
      <c r="X137" s="209">
        <f t="shared" si="28"/>
        <v>0</v>
      </c>
      <c r="Y137" s="209">
        <f t="shared" si="29"/>
        <v>0</v>
      </c>
      <c r="Z137" s="209">
        <f t="shared" si="30"/>
        <v>2.67</v>
      </c>
      <c r="AA137" s="205">
        <f t="shared" si="31"/>
        <v>0</v>
      </c>
      <c r="AB137" s="209">
        <f t="shared" si="32"/>
        <v>0</v>
      </c>
      <c r="AC137" s="205">
        <f t="shared" si="33"/>
        <v>0</v>
      </c>
      <c r="AD137" s="210">
        <f t="shared" si="34"/>
        <v>5.1027777777781012</v>
      </c>
      <c r="AE137" s="210">
        <f t="shared" si="35"/>
        <v>5.1027777777781012</v>
      </c>
      <c r="AF137" s="210">
        <f t="shared" si="36"/>
        <v>0</v>
      </c>
      <c r="AG137" s="210">
        <f t="shared" si="37"/>
        <v>0</v>
      </c>
    </row>
    <row r="138" spans="2:33" ht="15" customHeight="1" x14ac:dyDescent="0.3">
      <c r="B138" s="196" t="s">
        <v>19</v>
      </c>
      <c r="C138" s="197" t="s">
        <v>13</v>
      </c>
      <c r="D138" s="198" t="str">
        <f t="shared" si="19"/>
        <v>C</v>
      </c>
      <c r="E138" s="199">
        <v>44487.541666666664</v>
      </c>
      <c r="F138" s="200" t="s">
        <v>88</v>
      </c>
      <c r="G138" s="201">
        <v>1762.39</v>
      </c>
      <c r="H138" s="201">
        <v>1780.03</v>
      </c>
      <c r="I138" s="202">
        <f t="shared" si="20"/>
        <v>17.639999999999873</v>
      </c>
      <c r="J138" s="201">
        <v>1649.48</v>
      </c>
      <c r="K138" s="199">
        <v>44488.418749999997</v>
      </c>
      <c r="L138" s="201">
        <v>1780.02</v>
      </c>
      <c r="M138" s="203">
        <f t="shared" si="21"/>
        <v>-17.63</v>
      </c>
      <c r="N138" s="204">
        <f t="shared" si="22"/>
        <v>-1</v>
      </c>
      <c r="O138" s="205">
        <f t="shared" si="23"/>
        <v>0</v>
      </c>
      <c r="P138" s="206">
        <f t="shared" si="24"/>
        <v>0</v>
      </c>
      <c r="Q138" s="206">
        <f t="shared" si="25"/>
        <v>-1</v>
      </c>
      <c r="R1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253160</v>
      </c>
      <c r="T1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254770</v>
      </c>
      <c r="U138" s="208">
        <f ca="1">IF(Tabla33610673[[#This Row],[Equity]]&lt;Tabla33610673[[#This Row],[Equity Peak]],(Tabla33610673[[#This Row],[Equity Peak]]-Tabla33610673[[#This Row],[Equity]])/Tabla33610673[[#This Row],[Equity Peak]],"")</f>
        <v>6.3194253640538522E-3</v>
      </c>
      <c r="V138" s="209">
        <f t="shared" si="26"/>
        <v>0</v>
      </c>
      <c r="W138" s="209">
        <f t="shared" si="27"/>
        <v>0</v>
      </c>
      <c r="X138" s="209">
        <f t="shared" si="28"/>
        <v>-1</v>
      </c>
      <c r="Y138" s="209">
        <f t="shared" si="29"/>
        <v>0</v>
      </c>
      <c r="Z138" s="209">
        <f t="shared" si="30"/>
        <v>0</v>
      </c>
      <c r="AA138" s="205">
        <f t="shared" si="31"/>
        <v>0</v>
      </c>
      <c r="AB138" s="209">
        <f t="shared" si="32"/>
        <v>0</v>
      </c>
      <c r="AC138" s="205">
        <f t="shared" si="33"/>
        <v>0</v>
      </c>
      <c r="AD138" s="210">
        <f t="shared" si="34"/>
        <v>0.87708333333284827</v>
      </c>
      <c r="AE138" s="210">
        <f t="shared" si="35"/>
        <v>0</v>
      </c>
      <c r="AF138" s="210">
        <f t="shared" si="36"/>
        <v>0.87708333333284827</v>
      </c>
      <c r="AG138" s="210">
        <f t="shared" si="37"/>
        <v>0</v>
      </c>
    </row>
    <row r="139" spans="2:33" ht="15" customHeight="1" x14ac:dyDescent="0.3">
      <c r="B139" s="196" t="s">
        <v>19</v>
      </c>
      <c r="C139" s="197" t="s">
        <v>15</v>
      </c>
      <c r="D139" s="198" t="str">
        <f t="shared" si="19"/>
        <v>C</v>
      </c>
      <c r="E139" s="199">
        <v>44487.291666666664</v>
      </c>
      <c r="F139" s="200" t="s">
        <v>108</v>
      </c>
      <c r="G139" s="201">
        <v>83.533000000000001</v>
      </c>
      <c r="H139" s="201">
        <v>81.739000000000004</v>
      </c>
      <c r="I139" s="202">
        <f t="shared" si="20"/>
        <v>1.7939999999999969</v>
      </c>
      <c r="J139" s="201">
        <v>105.066</v>
      </c>
      <c r="K139" s="199">
        <v>44487.732638888891</v>
      </c>
      <c r="L139" s="201">
        <v>82.436000000000007</v>
      </c>
      <c r="M139" s="203">
        <f t="shared" si="21"/>
        <v>-1.097</v>
      </c>
      <c r="N139" s="204">
        <f t="shared" si="22"/>
        <v>-0.61</v>
      </c>
      <c r="O139" s="205">
        <f t="shared" si="23"/>
        <v>0</v>
      </c>
      <c r="P139" s="206">
        <f t="shared" si="24"/>
        <v>0</v>
      </c>
      <c r="Q139" s="206">
        <f t="shared" si="25"/>
        <v>-0.61</v>
      </c>
      <c r="R1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254160</v>
      </c>
      <c r="T1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254770</v>
      </c>
      <c r="U139" s="208">
        <f ca="1">IF(Tabla33610673[[#This Row],[Equity]]&lt;Tabla33610673[[#This Row],[Equity Peak]],(Tabla33610673[[#This Row],[Equity Peak]]-Tabla33610673[[#This Row],[Equity]])/Tabla33610673[[#This Row],[Equity Peak]],"")</f>
        <v>2.3943164422812733E-3</v>
      </c>
      <c r="V139" s="209">
        <f t="shared" si="26"/>
        <v>0</v>
      </c>
      <c r="W139" s="209">
        <f t="shared" si="27"/>
        <v>0</v>
      </c>
      <c r="X139" s="209">
        <f t="shared" si="28"/>
        <v>-0.61</v>
      </c>
      <c r="Y139" s="209">
        <f t="shared" si="29"/>
        <v>0</v>
      </c>
      <c r="Z139" s="209">
        <f t="shared" si="30"/>
        <v>0</v>
      </c>
      <c r="AA139" s="205">
        <f t="shared" si="31"/>
        <v>0</v>
      </c>
      <c r="AB139" s="209">
        <f t="shared" si="32"/>
        <v>0</v>
      </c>
      <c r="AC139" s="205">
        <f t="shared" si="33"/>
        <v>0</v>
      </c>
      <c r="AD139" s="210">
        <f t="shared" si="34"/>
        <v>0.44097222222626442</v>
      </c>
      <c r="AE139" s="210">
        <f t="shared" si="35"/>
        <v>0</v>
      </c>
      <c r="AF139" s="210">
        <f t="shared" si="36"/>
        <v>0.44097222222626442</v>
      </c>
      <c r="AG139" s="210">
        <f t="shared" si="37"/>
        <v>0</v>
      </c>
    </row>
    <row r="140" spans="2:33" ht="15" customHeight="1" x14ac:dyDescent="0.3">
      <c r="B140" s="196" t="s">
        <v>7</v>
      </c>
      <c r="C140" s="197" t="s">
        <v>13</v>
      </c>
      <c r="D140" s="198" t="str">
        <f t="shared" si="19"/>
        <v>C</v>
      </c>
      <c r="E140" s="199">
        <v>44476.017361111109</v>
      </c>
      <c r="F140" s="200" t="s">
        <v>121</v>
      </c>
      <c r="G140" s="201">
        <v>1.58846</v>
      </c>
      <c r="H140" s="201">
        <v>1.5953599999999999</v>
      </c>
      <c r="I140" s="202">
        <f t="shared" si="20"/>
        <v>6.8999999999999062E-3</v>
      </c>
      <c r="J140" s="201">
        <v>1.51481</v>
      </c>
      <c r="K140" s="199">
        <v>44487.558333333334</v>
      </c>
      <c r="L140" s="201">
        <v>1.5688800000000001</v>
      </c>
      <c r="M140" s="203">
        <f t="shared" si="21"/>
        <v>1.9599999999999999E-2</v>
      </c>
      <c r="N140" s="204">
        <f t="shared" si="22"/>
        <v>2.84</v>
      </c>
      <c r="O140" s="205">
        <f t="shared" si="23"/>
        <v>0</v>
      </c>
      <c r="P140" s="206">
        <f t="shared" si="24"/>
        <v>2.84</v>
      </c>
      <c r="Q140" s="206">
        <f t="shared" si="25"/>
        <v>0</v>
      </c>
      <c r="R1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254770</v>
      </c>
      <c r="T1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254770</v>
      </c>
      <c r="U14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40" s="209">
        <f t="shared" si="26"/>
        <v>2.84</v>
      </c>
      <c r="W140" s="209">
        <f t="shared" si="27"/>
        <v>0</v>
      </c>
      <c r="X140" s="209">
        <f t="shared" si="28"/>
        <v>0</v>
      </c>
      <c r="Y140" s="209">
        <f t="shared" si="29"/>
        <v>0</v>
      </c>
      <c r="Z140" s="209">
        <f t="shared" si="30"/>
        <v>0</v>
      </c>
      <c r="AA140" s="205">
        <f t="shared" si="31"/>
        <v>0</v>
      </c>
      <c r="AB140" s="209">
        <f t="shared" si="32"/>
        <v>0</v>
      </c>
      <c r="AC140" s="205">
        <f t="shared" si="33"/>
        <v>0</v>
      </c>
      <c r="AD140" s="210">
        <f t="shared" si="34"/>
        <v>11.540972222224809</v>
      </c>
      <c r="AE140" s="210">
        <f t="shared" si="35"/>
        <v>11.540972222224809</v>
      </c>
      <c r="AF140" s="210">
        <f t="shared" si="36"/>
        <v>0</v>
      </c>
      <c r="AG140" s="210">
        <f t="shared" si="37"/>
        <v>0</v>
      </c>
    </row>
    <row r="141" spans="2:33" ht="15" customHeight="1" x14ac:dyDescent="0.3">
      <c r="B141" s="196" t="s">
        <v>7</v>
      </c>
      <c r="C141" s="197" t="s">
        <v>15</v>
      </c>
      <c r="D141" s="198" t="str">
        <f t="shared" si="19"/>
        <v>C</v>
      </c>
      <c r="E141" s="199">
        <v>44477.833333333336</v>
      </c>
      <c r="F141" s="200" t="s">
        <v>119</v>
      </c>
      <c r="G141" s="201">
        <v>129.76</v>
      </c>
      <c r="H141" s="201">
        <v>129.06200000000001</v>
      </c>
      <c r="I141" s="202">
        <f t="shared" si="20"/>
        <v>0.69799999999997908</v>
      </c>
      <c r="J141" s="201">
        <v>132.55099999999999</v>
      </c>
      <c r="K141" s="199">
        <v>44484.433333333334</v>
      </c>
      <c r="L141" s="201">
        <v>132.55099999999999</v>
      </c>
      <c r="M141" s="203">
        <f t="shared" si="21"/>
        <v>2.7909999999999999</v>
      </c>
      <c r="N141" s="204">
        <f t="shared" si="22"/>
        <v>4</v>
      </c>
      <c r="O141" s="205">
        <f t="shared" si="23"/>
        <v>0</v>
      </c>
      <c r="P141" s="206">
        <f t="shared" si="24"/>
        <v>4</v>
      </c>
      <c r="Q141" s="206">
        <f t="shared" si="25"/>
        <v>0</v>
      </c>
      <c r="R1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251930</v>
      </c>
      <c r="T1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251930</v>
      </c>
      <c r="U14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41" s="209">
        <f t="shared" si="26"/>
        <v>4</v>
      </c>
      <c r="W141" s="209">
        <f t="shared" si="27"/>
        <v>0</v>
      </c>
      <c r="X141" s="209">
        <f t="shared" si="28"/>
        <v>0</v>
      </c>
      <c r="Y141" s="209">
        <f t="shared" si="29"/>
        <v>0</v>
      </c>
      <c r="Z141" s="209">
        <f t="shared" si="30"/>
        <v>0</v>
      </c>
      <c r="AA141" s="205">
        <f t="shared" si="31"/>
        <v>0</v>
      </c>
      <c r="AB141" s="209">
        <f t="shared" si="32"/>
        <v>0</v>
      </c>
      <c r="AC141" s="205">
        <f t="shared" si="33"/>
        <v>0</v>
      </c>
      <c r="AD141" s="210">
        <f t="shared" si="34"/>
        <v>6.5999999999985448</v>
      </c>
      <c r="AE141" s="210">
        <f t="shared" si="35"/>
        <v>6.5999999999985448</v>
      </c>
      <c r="AF141" s="210">
        <f t="shared" si="36"/>
        <v>0</v>
      </c>
      <c r="AG141" s="210">
        <f t="shared" si="37"/>
        <v>0</v>
      </c>
    </row>
    <row r="142" spans="2:33" ht="15" customHeight="1" x14ac:dyDescent="0.3">
      <c r="B142" s="196" t="s">
        <v>7</v>
      </c>
      <c r="C142" s="197" t="s">
        <v>13</v>
      </c>
      <c r="D142" s="198" t="str">
        <f t="shared" si="19"/>
        <v>C</v>
      </c>
      <c r="E142" s="199">
        <v>44474.333333333336</v>
      </c>
      <c r="F142" s="200" t="s">
        <v>120</v>
      </c>
      <c r="G142" s="201">
        <v>0.85318000000000005</v>
      </c>
      <c r="H142" s="201">
        <v>0.85582999999999998</v>
      </c>
      <c r="I142" s="202">
        <f t="shared" si="20"/>
        <v>2.6499999999999302E-3</v>
      </c>
      <c r="J142" s="201">
        <v>0.84611999999999998</v>
      </c>
      <c r="K142" s="199">
        <v>44483.537499999999</v>
      </c>
      <c r="L142" s="201">
        <v>0.84611999999999998</v>
      </c>
      <c r="M142" s="203">
        <f t="shared" si="21"/>
        <v>7.1000000000000004E-3</v>
      </c>
      <c r="N142" s="204">
        <f t="shared" si="22"/>
        <v>2.68</v>
      </c>
      <c r="O142" s="205">
        <f t="shared" si="23"/>
        <v>0</v>
      </c>
      <c r="P142" s="206">
        <f t="shared" si="24"/>
        <v>2.68</v>
      </c>
      <c r="Q142" s="206">
        <f t="shared" si="25"/>
        <v>0</v>
      </c>
      <c r="R1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247930</v>
      </c>
      <c r="T1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2" s="208">
        <f ca="1">IF(Tabla33610673[[#This Row],[Equity]]&lt;Tabla33610673[[#This Row],[Equity Peak]],(Tabla33610673[[#This Row],[Equity Peak]]-Tabla33610673[[#This Row],[Equity]])/Tabla33610673[[#This Row],[Equity Peak]],"")</f>
        <v>1.4978148589590783E-2</v>
      </c>
      <c r="V142" s="209">
        <f t="shared" si="26"/>
        <v>2.68</v>
      </c>
      <c r="W142" s="209">
        <f t="shared" si="27"/>
        <v>0</v>
      </c>
      <c r="X142" s="209">
        <f t="shared" si="28"/>
        <v>0</v>
      </c>
      <c r="Y142" s="209">
        <f t="shared" si="29"/>
        <v>0</v>
      </c>
      <c r="Z142" s="209">
        <f t="shared" si="30"/>
        <v>0</v>
      </c>
      <c r="AA142" s="205">
        <f t="shared" si="31"/>
        <v>0</v>
      </c>
      <c r="AB142" s="209">
        <f t="shared" si="32"/>
        <v>0</v>
      </c>
      <c r="AC142" s="205">
        <f t="shared" si="33"/>
        <v>0</v>
      </c>
      <c r="AD142" s="210">
        <f t="shared" si="34"/>
        <v>9.2041666666627862</v>
      </c>
      <c r="AE142" s="210">
        <f t="shared" si="35"/>
        <v>9.2041666666627862</v>
      </c>
      <c r="AF142" s="210">
        <f t="shared" si="36"/>
        <v>0</v>
      </c>
      <c r="AG142" s="210">
        <f t="shared" si="37"/>
        <v>0</v>
      </c>
    </row>
    <row r="143" spans="2:33" ht="15" customHeight="1" x14ac:dyDescent="0.3">
      <c r="B143" s="196" t="s">
        <v>19</v>
      </c>
      <c r="C143" s="197" t="s">
        <v>13</v>
      </c>
      <c r="D143" s="198" t="str">
        <f t="shared" si="19"/>
        <v>C</v>
      </c>
      <c r="E143" s="199">
        <v>44480.875</v>
      </c>
      <c r="F143" s="200" t="s">
        <v>88</v>
      </c>
      <c r="G143" s="201">
        <v>1754.33</v>
      </c>
      <c r="H143" s="201">
        <v>1776.07</v>
      </c>
      <c r="I143" s="202">
        <f t="shared" si="20"/>
        <v>21.740000000000009</v>
      </c>
      <c r="J143" s="201">
        <v>1615.22</v>
      </c>
      <c r="K143" s="199">
        <v>44482.620138888888</v>
      </c>
      <c r="L143" s="201">
        <v>1774.19</v>
      </c>
      <c r="M143" s="203">
        <f t="shared" si="21"/>
        <v>-19.86</v>
      </c>
      <c r="N143" s="204">
        <f t="shared" si="22"/>
        <v>-0.91</v>
      </c>
      <c r="O143" s="205">
        <f t="shared" si="23"/>
        <v>0</v>
      </c>
      <c r="P143" s="206">
        <f t="shared" si="24"/>
        <v>0</v>
      </c>
      <c r="Q143" s="206">
        <f t="shared" si="25"/>
        <v>-0.91</v>
      </c>
      <c r="R1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245250</v>
      </c>
      <c r="T1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3" s="208">
        <f ca="1">IF(Tabla33610673[[#This Row],[Equity]]&lt;Tabla33610673[[#This Row],[Equity Peak]],(Tabla33610673[[#This Row],[Equity Peak]]-Tabla33610673[[#This Row],[Equity]])/Tabla33610673[[#This Row],[Equity Peak]],"")</f>
        <v>2.562574493444577E-2</v>
      </c>
      <c r="V143" s="209">
        <f t="shared" si="26"/>
        <v>0</v>
      </c>
      <c r="W143" s="209">
        <f t="shared" si="27"/>
        <v>0</v>
      </c>
      <c r="X143" s="209">
        <f t="shared" si="28"/>
        <v>-0.91</v>
      </c>
      <c r="Y143" s="209">
        <f t="shared" si="29"/>
        <v>0</v>
      </c>
      <c r="Z143" s="209">
        <f t="shared" si="30"/>
        <v>0</v>
      </c>
      <c r="AA143" s="205">
        <f t="shared" si="31"/>
        <v>0</v>
      </c>
      <c r="AB143" s="209">
        <f t="shared" si="32"/>
        <v>0</v>
      </c>
      <c r="AC143" s="205">
        <f t="shared" si="33"/>
        <v>0</v>
      </c>
      <c r="AD143" s="210">
        <f t="shared" si="34"/>
        <v>1.7451388888875954</v>
      </c>
      <c r="AE143" s="210">
        <f t="shared" si="35"/>
        <v>0</v>
      </c>
      <c r="AF143" s="210">
        <f t="shared" si="36"/>
        <v>1.7451388888875954</v>
      </c>
      <c r="AG143" s="210">
        <f t="shared" si="37"/>
        <v>0</v>
      </c>
    </row>
    <row r="144" spans="2:33" ht="15" customHeight="1" x14ac:dyDescent="0.3">
      <c r="B144" s="196" t="s">
        <v>84</v>
      </c>
      <c r="C144" s="197" t="s">
        <v>15</v>
      </c>
      <c r="D144" s="198" t="str">
        <f t="shared" si="19"/>
        <v>C</v>
      </c>
      <c r="E144" s="199">
        <v>44470.166666666664</v>
      </c>
      <c r="F144" s="200" t="s">
        <v>80</v>
      </c>
      <c r="G144" s="201">
        <v>43689.5</v>
      </c>
      <c r="H144" s="201">
        <v>41722.93</v>
      </c>
      <c r="I144" s="202">
        <f t="shared" si="20"/>
        <v>1966.5699999999997</v>
      </c>
      <c r="J144" s="201">
        <v>73188.070000000007</v>
      </c>
      <c r="K144" s="199">
        <v>44481.964583333334</v>
      </c>
      <c r="L144" s="201">
        <v>54151.32</v>
      </c>
      <c r="M144" s="203">
        <f t="shared" si="21"/>
        <v>10461.82</v>
      </c>
      <c r="N144" s="204">
        <f t="shared" si="22"/>
        <v>5.32</v>
      </c>
      <c r="O144" s="205">
        <f t="shared" si="23"/>
        <v>0</v>
      </c>
      <c r="P144" s="206">
        <f t="shared" si="24"/>
        <v>5.32</v>
      </c>
      <c r="Q144" s="206">
        <f t="shared" si="25"/>
        <v>0</v>
      </c>
      <c r="R1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246160</v>
      </c>
      <c r="T1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4" s="208">
        <f ca="1">IF(Tabla33610673[[#This Row],[Equity]]&lt;Tabla33610673[[#This Row],[Equity Peak]],(Tabla33610673[[#This Row],[Equity Peak]]-Tabla33610673[[#This Row],[Equity]])/Tabla33610673[[#This Row],[Equity Peak]],"")</f>
        <v>2.2010329757647995E-2</v>
      </c>
      <c r="V144" s="209">
        <f t="shared" si="26"/>
        <v>0</v>
      </c>
      <c r="W144" s="209">
        <f t="shared" si="27"/>
        <v>0</v>
      </c>
      <c r="X144" s="209">
        <f t="shared" si="28"/>
        <v>0</v>
      </c>
      <c r="Y144" s="209">
        <f t="shared" si="29"/>
        <v>0</v>
      </c>
      <c r="Z144" s="209">
        <f t="shared" si="30"/>
        <v>0</v>
      </c>
      <c r="AA144" s="205">
        <f t="shared" si="31"/>
        <v>0</v>
      </c>
      <c r="AB144" s="209">
        <f t="shared" si="32"/>
        <v>5.32</v>
      </c>
      <c r="AC144" s="205">
        <f t="shared" si="33"/>
        <v>0</v>
      </c>
      <c r="AD144" s="210">
        <f t="shared" si="34"/>
        <v>11.797916666670062</v>
      </c>
      <c r="AE144" s="210">
        <f t="shared" si="35"/>
        <v>11.797916666670062</v>
      </c>
      <c r="AF144" s="210">
        <f t="shared" si="36"/>
        <v>0</v>
      </c>
      <c r="AG144" s="210">
        <f t="shared" si="37"/>
        <v>0</v>
      </c>
    </row>
    <row r="145" spans="2:33" ht="15" customHeight="1" x14ac:dyDescent="0.3">
      <c r="B145" s="196" t="s">
        <v>5</v>
      </c>
      <c r="C145" s="197" t="s">
        <v>13</v>
      </c>
      <c r="D145" s="198" t="str">
        <f t="shared" ref="D145:D208" si="38">IF(E145&lt;&gt;"",IF(K145&lt;&gt;"","C","O"),"")</f>
        <v>C</v>
      </c>
      <c r="E145" s="199">
        <v>44481.208333333336</v>
      </c>
      <c r="F145" s="200" t="s">
        <v>95</v>
      </c>
      <c r="G145" s="201">
        <v>34360.559999999998</v>
      </c>
      <c r="H145" s="201">
        <v>34583.96</v>
      </c>
      <c r="I145" s="202">
        <f t="shared" ref="I145:I208" si="39">ABS(G145-H145)</f>
        <v>223.40000000000146</v>
      </c>
      <c r="J145" s="201">
        <v>33466.949999999997</v>
      </c>
      <c r="K145" s="199">
        <v>44481.644444444442</v>
      </c>
      <c r="L145" s="201">
        <v>34583.96</v>
      </c>
      <c r="M145" s="203">
        <f t="shared" ref="M145:M208" si="40">ROUND(IF(C145="L",(L145-G145),(G145-L145)),4)</f>
        <v>-223.4</v>
      </c>
      <c r="N145" s="204">
        <f t="shared" ref="N145:N208" si="41">IFERROR(ROUND((M145/I145),2),"")</f>
        <v>-1</v>
      </c>
      <c r="O145" s="205">
        <f t="shared" ref="O145:O208" si="42">IF(D145="O",IF(N145&lt;0,N145,0),0)</f>
        <v>0</v>
      </c>
      <c r="P145" s="206">
        <f t="shared" ref="P145:P208" si="43">IF(N145&gt;= 0,N145,0)</f>
        <v>0</v>
      </c>
      <c r="Q145" s="206">
        <f t="shared" ref="Q145:Q208" si="44">IF(N145&lt;0,N145,0)</f>
        <v>-1</v>
      </c>
      <c r="R1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240840</v>
      </c>
      <c r="T1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5" s="208">
        <f ca="1">IF(Tabla33610673[[#This Row],[Equity]]&lt;Tabla33610673[[#This Row],[Equity Peak]],(Tabla33610673[[#This Row],[Equity Peak]]-Tabla33610673[[#This Row],[Equity]])/Tabla33610673[[#This Row],[Equity Peak]],"")</f>
        <v>4.3146603098927296E-2</v>
      </c>
      <c r="V145" s="209">
        <f t="shared" ref="V145:V208" si="45">IF(B145="FX",N145,0)</f>
        <v>0</v>
      </c>
      <c r="W145" s="209">
        <f t="shared" ref="W145:W208" si="46">IF(D145="O",IF(V145&lt;0,V145,0),0)</f>
        <v>0</v>
      </c>
      <c r="X145" s="209">
        <f t="shared" ref="X145:X208" si="47">IF(B145="COM",N145,0)</f>
        <v>0</v>
      </c>
      <c r="Y145" s="209">
        <f t="shared" ref="Y145:Y208" si="48">IF(D145="O",IF(X145&lt;0,X145,0),0)</f>
        <v>0</v>
      </c>
      <c r="Z145" s="209">
        <f t="shared" ref="Z145:Z208" si="49">IF(B145="IND",N145,0)</f>
        <v>-1</v>
      </c>
      <c r="AA145" s="205">
        <f t="shared" ref="AA145:AA208" si="50">IF(D145="O",IF(Z145&lt;0,Z145,0),0)</f>
        <v>0</v>
      </c>
      <c r="AB145" s="209">
        <f t="shared" ref="AB145:AB208" si="51">IF(B145="CRYPTO",N145,0)</f>
        <v>0</v>
      </c>
      <c r="AC145" s="205">
        <f t="shared" ref="AC145:AC208" si="52">IF(D145="O",IF(AB145&lt;0,AB145,0),0)</f>
        <v>0</v>
      </c>
      <c r="AD145" s="210">
        <f t="shared" ref="AD145:AD208" si="53">IF(K145&lt;&gt;"",K145-E145,0)</f>
        <v>0.43611111110658385</v>
      </c>
      <c r="AE145" s="210">
        <f t="shared" ref="AE145:AE208" si="54">IF(N145&gt;0,AD145,0)</f>
        <v>0</v>
      </c>
      <c r="AF145" s="210">
        <f t="shared" ref="AF145:AF208" si="55">IF(N145&lt;0,AD145,0)</f>
        <v>0.43611111110658385</v>
      </c>
      <c r="AG145" s="210">
        <f t="shared" ref="AG145:AG208" si="56">IF(N145=0,AD145,0)</f>
        <v>0</v>
      </c>
    </row>
    <row r="146" spans="2:33" ht="15" customHeight="1" x14ac:dyDescent="0.3">
      <c r="B146" s="196" t="s">
        <v>5</v>
      </c>
      <c r="C146" s="197" t="s">
        <v>15</v>
      </c>
      <c r="D146" s="198" t="str">
        <f t="shared" si="38"/>
        <v>C</v>
      </c>
      <c r="E146" s="199">
        <v>44476.625</v>
      </c>
      <c r="F146" s="200" t="s">
        <v>94</v>
      </c>
      <c r="G146" s="201">
        <v>7065.07</v>
      </c>
      <c r="H146" s="201">
        <v>6981.66</v>
      </c>
      <c r="I146" s="202">
        <f t="shared" si="39"/>
        <v>83.409999999999854</v>
      </c>
      <c r="J146" s="201">
        <v>7482.11</v>
      </c>
      <c r="K146" s="199">
        <v>44481.37777777778</v>
      </c>
      <c r="L146" s="201">
        <v>7075.74</v>
      </c>
      <c r="M146" s="203">
        <f t="shared" si="40"/>
        <v>10.67</v>
      </c>
      <c r="N146" s="204">
        <f t="shared" si="41"/>
        <v>0.13</v>
      </c>
      <c r="O146" s="205">
        <f t="shared" si="42"/>
        <v>0</v>
      </c>
      <c r="P146" s="206">
        <f t="shared" si="43"/>
        <v>0.13</v>
      </c>
      <c r="Q146" s="206">
        <f t="shared" si="44"/>
        <v>0</v>
      </c>
      <c r="R1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241840</v>
      </c>
      <c r="T1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6" s="208">
        <f ca="1">IF(Tabla33610673[[#This Row],[Equity]]&lt;Tabla33610673[[#This Row],[Equity Peak]],(Tabla33610673[[#This Row],[Equity Peak]]-Tabla33610673[[#This Row],[Equity]])/Tabla33610673[[#This Row],[Equity Peak]],"")</f>
        <v>3.917361938816051E-2</v>
      </c>
      <c r="V146" s="209">
        <f t="shared" si="45"/>
        <v>0</v>
      </c>
      <c r="W146" s="209">
        <f t="shared" si="46"/>
        <v>0</v>
      </c>
      <c r="X146" s="209">
        <f t="shared" si="47"/>
        <v>0</v>
      </c>
      <c r="Y146" s="209">
        <f t="shared" si="48"/>
        <v>0</v>
      </c>
      <c r="Z146" s="209">
        <f t="shared" si="49"/>
        <v>0.13</v>
      </c>
      <c r="AA146" s="205">
        <f t="shared" si="50"/>
        <v>0</v>
      </c>
      <c r="AB146" s="209">
        <f t="shared" si="51"/>
        <v>0</v>
      </c>
      <c r="AC146" s="205">
        <f t="shared" si="52"/>
        <v>0</v>
      </c>
      <c r="AD146" s="210">
        <f t="shared" si="53"/>
        <v>4.7527777777795563</v>
      </c>
      <c r="AE146" s="210">
        <f t="shared" si="54"/>
        <v>4.7527777777795563</v>
      </c>
      <c r="AF146" s="210">
        <f t="shared" si="55"/>
        <v>0</v>
      </c>
      <c r="AG146" s="210">
        <f t="shared" si="56"/>
        <v>0</v>
      </c>
    </row>
    <row r="147" spans="2:33" ht="15" customHeight="1" x14ac:dyDescent="0.3">
      <c r="B147" s="196" t="s">
        <v>19</v>
      </c>
      <c r="C147" s="197" t="s">
        <v>15</v>
      </c>
      <c r="D147" s="198" t="str">
        <f t="shared" si="38"/>
        <v>C</v>
      </c>
      <c r="E147" s="199">
        <v>44480.291666666664</v>
      </c>
      <c r="F147" s="200" t="s">
        <v>108</v>
      </c>
      <c r="G147" s="201">
        <v>80.953000000000003</v>
      </c>
      <c r="H147" s="201">
        <v>79.149000000000001</v>
      </c>
      <c r="I147" s="202">
        <f t="shared" si="39"/>
        <v>1.804000000000002</v>
      </c>
      <c r="J147" s="201">
        <v>102.60599999999999</v>
      </c>
      <c r="K147" s="199">
        <v>44480.668749999997</v>
      </c>
      <c r="L147" s="201">
        <v>80.846000000000004</v>
      </c>
      <c r="M147" s="203">
        <f t="shared" si="40"/>
        <v>-0.107</v>
      </c>
      <c r="N147" s="204">
        <f t="shared" si="41"/>
        <v>-0.06</v>
      </c>
      <c r="O147" s="205">
        <f t="shared" si="42"/>
        <v>0</v>
      </c>
      <c r="P147" s="206">
        <f t="shared" si="43"/>
        <v>0</v>
      </c>
      <c r="Q147" s="206">
        <f t="shared" si="44"/>
        <v>-0.06</v>
      </c>
      <c r="R1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241710</v>
      </c>
      <c r="T1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7" s="208">
        <f ca="1">IF(Tabla33610673[[#This Row],[Equity]]&lt;Tabla33610673[[#This Row],[Equity Peak]],(Tabla33610673[[#This Row],[Equity Peak]]-Tabla33610673[[#This Row],[Equity]])/Tabla33610673[[#This Row],[Equity Peak]],"")</f>
        <v>3.9690107270560188E-2</v>
      </c>
      <c r="V147" s="209">
        <f t="shared" si="45"/>
        <v>0</v>
      </c>
      <c r="W147" s="209">
        <f t="shared" si="46"/>
        <v>0</v>
      </c>
      <c r="X147" s="209">
        <f t="shared" si="47"/>
        <v>-0.06</v>
      </c>
      <c r="Y147" s="209">
        <f t="shared" si="48"/>
        <v>0</v>
      </c>
      <c r="Z147" s="209">
        <f t="shared" si="49"/>
        <v>0</v>
      </c>
      <c r="AA147" s="205">
        <f t="shared" si="50"/>
        <v>0</v>
      </c>
      <c r="AB147" s="209">
        <f t="shared" si="51"/>
        <v>0</v>
      </c>
      <c r="AC147" s="205">
        <f t="shared" si="52"/>
        <v>0</v>
      </c>
      <c r="AD147" s="210">
        <f t="shared" si="53"/>
        <v>0.37708333333284827</v>
      </c>
      <c r="AE147" s="210">
        <f t="shared" si="54"/>
        <v>0</v>
      </c>
      <c r="AF147" s="210">
        <f t="shared" si="55"/>
        <v>0.37708333333284827</v>
      </c>
      <c r="AG147" s="210">
        <f t="shared" si="56"/>
        <v>0</v>
      </c>
    </row>
    <row r="148" spans="2:33" ht="15" customHeight="1" x14ac:dyDescent="0.3">
      <c r="B148" s="196" t="s">
        <v>7</v>
      </c>
      <c r="C148" s="197" t="s">
        <v>13</v>
      </c>
      <c r="D148" s="198" t="str">
        <f t="shared" si="38"/>
        <v>C</v>
      </c>
      <c r="E148" s="199">
        <v>44453.833333333336</v>
      </c>
      <c r="F148" s="200" t="s">
        <v>122</v>
      </c>
      <c r="G148" s="201">
        <v>0.73309999999999997</v>
      </c>
      <c r="H148" s="201">
        <v>0.73702999999999996</v>
      </c>
      <c r="I148" s="202">
        <f t="shared" si="39"/>
        <v>3.9299999999999891E-3</v>
      </c>
      <c r="J148" s="201">
        <v>0.71211999999999998</v>
      </c>
      <c r="K148" s="199">
        <v>44477.652083333334</v>
      </c>
      <c r="L148" s="201">
        <v>0.73328000000000004</v>
      </c>
      <c r="M148" s="203">
        <f t="shared" si="40"/>
        <v>-2.0000000000000001E-4</v>
      </c>
      <c r="N148" s="204">
        <f t="shared" si="41"/>
        <v>-0.05</v>
      </c>
      <c r="O148" s="205">
        <f t="shared" si="42"/>
        <v>0</v>
      </c>
      <c r="P148" s="206">
        <f t="shared" si="43"/>
        <v>0</v>
      </c>
      <c r="Q148" s="206">
        <f t="shared" si="44"/>
        <v>-0.05</v>
      </c>
      <c r="R1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241770</v>
      </c>
      <c r="T1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8" s="208">
        <f ca="1">IF(Tabla33610673[[#This Row],[Equity]]&lt;Tabla33610673[[#This Row],[Equity Peak]],(Tabla33610673[[#This Row],[Equity Peak]]-Tabla33610673[[#This Row],[Equity]])/Tabla33610673[[#This Row],[Equity Peak]],"")</f>
        <v>3.9451728247914181E-2</v>
      </c>
      <c r="V148" s="209">
        <f t="shared" si="45"/>
        <v>-0.05</v>
      </c>
      <c r="W148" s="209">
        <f t="shared" si="46"/>
        <v>0</v>
      </c>
      <c r="X148" s="209">
        <f t="shared" si="47"/>
        <v>0</v>
      </c>
      <c r="Y148" s="209">
        <f t="shared" si="48"/>
        <v>0</v>
      </c>
      <c r="Z148" s="209">
        <f t="shared" si="49"/>
        <v>0</v>
      </c>
      <c r="AA148" s="205">
        <f t="shared" si="50"/>
        <v>0</v>
      </c>
      <c r="AB148" s="209">
        <f t="shared" si="51"/>
        <v>0</v>
      </c>
      <c r="AC148" s="205">
        <f t="shared" si="52"/>
        <v>0</v>
      </c>
      <c r="AD148" s="210">
        <f t="shared" si="53"/>
        <v>23.818749999998545</v>
      </c>
      <c r="AE148" s="210">
        <f t="shared" si="54"/>
        <v>0</v>
      </c>
      <c r="AF148" s="210">
        <f t="shared" si="55"/>
        <v>23.818749999998545</v>
      </c>
      <c r="AG148" s="210">
        <f t="shared" si="56"/>
        <v>0</v>
      </c>
    </row>
    <row r="149" spans="2:33" ht="15" customHeight="1" x14ac:dyDescent="0.3">
      <c r="B149" s="196" t="s">
        <v>5</v>
      </c>
      <c r="C149" s="197" t="s">
        <v>15</v>
      </c>
      <c r="D149" s="198" t="str">
        <f t="shared" si="38"/>
        <v>C</v>
      </c>
      <c r="E149" s="199">
        <v>44476.708333333336</v>
      </c>
      <c r="F149" s="200" t="s">
        <v>95</v>
      </c>
      <c r="G149" s="201">
        <v>34879.26</v>
      </c>
      <c r="H149" s="201">
        <v>34656.949999999997</v>
      </c>
      <c r="I149" s="202">
        <f t="shared" si="39"/>
        <v>222.31000000000495</v>
      </c>
      <c r="J149" s="201">
        <v>35768.49</v>
      </c>
      <c r="K149" s="199">
        <v>44477.647916666669</v>
      </c>
      <c r="L149" s="201">
        <v>34656.949999999997</v>
      </c>
      <c r="M149" s="203">
        <f t="shared" si="40"/>
        <v>-222.31</v>
      </c>
      <c r="N149" s="204">
        <f t="shared" si="41"/>
        <v>-1</v>
      </c>
      <c r="O149" s="205">
        <f t="shared" si="42"/>
        <v>0</v>
      </c>
      <c r="P149" s="206">
        <f t="shared" si="43"/>
        <v>0</v>
      </c>
      <c r="Q149" s="206">
        <f t="shared" si="44"/>
        <v>-1</v>
      </c>
      <c r="R1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241820</v>
      </c>
      <c r="T1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49" s="208">
        <f ca="1">IF(Tabla33610673[[#This Row],[Equity]]&lt;Tabla33610673[[#This Row],[Equity Peak]],(Tabla33610673[[#This Row],[Equity Peak]]-Tabla33610673[[#This Row],[Equity]])/Tabla33610673[[#This Row],[Equity Peak]],"")</f>
        <v>3.9253079062375844E-2</v>
      </c>
      <c r="V149" s="209">
        <f t="shared" si="45"/>
        <v>0</v>
      </c>
      <c r="W149" s="209">
        <f t="shared" si="46"/>
        <v>0</v>
      </c>
      <c r="X149" s="209">
        <f t="shared" si="47"/>
        <v>0</v>
      </c>
      <c r="Y149" s="209">
        <f t="shared" si="48"/>
        <v>0</v>
      </c>
      <c r="Z149" s="209">
        <f t="shared" si="49"/>
        <v>-1</v>
      </c>
      <c r="AA149" s="205">
        <f t="shared" si="50"/>
        <v>0</v>
      </c>
      <c r="AB149" s="209">
        <f t="shared" si="51"/>
        <v>0</v>
      </c>
      <c r="AC149" s="205">
        <f t="shared" si="52"/>
        <v>0</v>
      </c>
      <c r="AD149" s="210">
        <f t="shared" si="53"/>
        <v>0.93958333333284827</v>
      </c>
      <c r="AE149" s="210">
        <f t="shared" si="54"/>
        <v>0</v>
      </c>
      <c r="AF149" s="210">
        <f t="shared" si="55"/>
        <v>0.93958333333284827</v>
      </c>
      <c r="AG149" s="210">
        <f t="shared" si="56"/>
        <v>0</v>
      </c>
    </row>
    <row r="150" spans="2:33" ht="15" customHeight="1" x14ac:dyDescent="0.3">
      <c r="B150" s="196" t="s">
        <v>19</v>
      </c>
      <c r="C150" s="197" t="s">
        <v>13</v>
      </c>
      <c r="D150" s="198" t="str">
        <f t="shared" si="38"/>
        <v>C</v>
      </c>
      <c r="E150" s="199">
        <v>44475.375</v>
      </c>
      <c r="F150" s="200" t="s">
        <v>88</v>
      </c>
      <c r="G150" s="201">
        <v>1751.16</v>
      </c>
      <c r="H150" s="201">
        <v>1772.64</v>
      </c>
      <c r="I150" s="202">
        <f t="shared" si="39"/>
        <v>21.480000000000018</v>
      </c>
      <c r="J150" s="201">
        <v>1613.69</v>
      </c>
      <c r="K150" s="199">
        <v>44477.647222222222</v>
      </c>
      <c r="L150" s="201">
        <v>1770.7</v>
      </c>
      <c r="M150" s="203">
        <f t="shared" si="40"/>
        <v>-19.54</v>
      </c>
      <c r="N150" s="204">
        <f t="shared" si="41"/>
        <v>-0.91</v>
      </c>
      <c r="O150" s="205">
        <f t="shared" si="42"/>
        <v>0</v>
      </c>
      <c r="P150" s="206">
        <f t="shared" si="43"/>
        <v>0</v>
      </c>
      <c r="Q150" s="206">
        <f t="shared" si="44"/>
        <v>-0.91</v>
      </c>
      <c r="R1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242820</v>
      </c>
      <c r="T1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0" s="208">
        <f ca="1">IF(Tabla33610673[[#This Row],[Equity]]&lt;Tabla33610673[[#This Row],[Equity Peak]],(Tabla33610673[[#This Row],[Equity Peak]]-Tabla33610673[[#This Row],[Equity]])/Tabla33610673[[#This Row],[Equity Peak]],"")</f>
        <v>3.5280095351609059E-2</v>
      </c>
      <c r="V150" s="209">
        <f t="shared" si="45"/>
        <v>0</v>
      </c>
      <c r="W150" s="209">
        <f t="shared" si="46"/>
        <v>0</v>
      </c>
      <c r="X150" s="209">
        <f t="shared" si="47"/>
        <v>-0.91</v>
      </c>
      <c r="Y150" s="209">
        <f t="shared" si="48"/>
        <v>0</v>
      </c>
      <c r="Z150" s="209">
        <f t="shared" si="49"/>
        <v>0</v>
      </c>
      <c r="AA150" s="205">
        <f t="shared" si="50"/>
        <v>0</v>
      </c>
      <c r="AB150" s="209">
        <f t="shared" si="51"/>
        <v>0</v>
      </c>
      <c r="AC150" s="205">
        <f t="shared" si="52"/>
        <v>0</v>
      </c>
      <c r="AD150" s="210">
        <f t="shared" si="53"/>
        <v>2.2722222222218988</v>
      </c>
      <c r="AE150" s="210">
        <f t="shared" si="54"/>
        <v>0</v>
      </c>
      <c r="AF150" s="210">
        <f t="shared" si="55"/>
        <v>2.2722222222218988</v>
      </c>
      <c r="AG150" s="210">
        <f t="shared" si="56"/>
        <v>0</v>
      </c>
    </row>
    <row r="151" spans="2:33" ht="15" customHeight="1" x14ac:dyDescent="0.3">
      <c r="B151" s="196" t="s">
        <v>5</v>
      </c>
      <c r="C151" s="197" t="s">
        <v>13</v>
      </c>
      <c r="D151" s="198" t="str">
        <f t="shared" si="38"/>
        <v>C</v>
      </c>
      <c r="E151" s="199">
        <v>44475.458333333336</v>
      </c>
      <c r="F151" s="200" t="s">
        <v>94</v>
      </c>
      <c r="G151" s="201">
        <v>6983.09</v>
      </c>
      <c r="H151" s="201">
        <v>7071.2</v>
      </c>
      <c r="I151" s="202">
        <f t="shared" si="39"/>
        <v>88.109999999999673</v>
      </c>
      <c r="J151" s="201">
        <v>6542.56</v>
      </c>
      <c r="K151" s="199">
        <v>44475.90347222222</v>
      </c>
      <c r="L151" s="201">
        <v>7033.19</v>
      </c>
      <c r="M151" s="203">
        <f t="shared" si="40"/>
        <v>-50.1</v>
      </c>
      <c r="N151" s="204">
        <f t="shared" si="41"/>
        <v>-0.56999999999999995</v>
      </c>
      <c r="O151" s="205">
        <f t="shared" si="42"/>
        <v>0</v>
      </c>
      <c r="P151" s="206">
        <f t="shared" si="43"/>
        <v>0</v>
      </c>
      <c r="Q151" s="206">
        <f t="shared" si="44"/>
        <v>-0.56999999999999995</v>
      </c>
      <c r="R1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243730</v>
      </c>
      <c r="T1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1" s="208">
        <f ca="1">IF(Tabla33610673[[#This Row],[Equity]]&lt;Tabla33610673[[#This Row],[Equity Peak]],(Tabla33610673[[#This Row],[Equity Peak]]-Tabla33610673[[#This Row],[Equity]])/Tabla33610673[[#This Row],[Equity Peak]],"")</f>
        <v>3.1664680174811284E-2</v>
      </c>
      <c r="V151" s="209">
        <f t="shared" si="45"/>
        <v>0</v>
      </c>
      <c r="W151" s="209">
        <f t="shared" si="46"/>
        <v>0</v>
      </c>
      <c r="X151" s="209">
        <f t="shared" si="47"/>
        <v>0</v>
      </c>
      <c r="Y151" s="209">
        <f t="shared" si="48"/>
        <v>0</v>
      </c>
      <c r="Z151" s="209">
        <f t="shared" si="49"/>
        <v>-0.56999999999999995</v>
      </c>
      <c r="AA151" s="205">
        <f t="shared" si="50"/>
        <v>0</v>
      </c>
      <c r="AB151" s="209">
        <f t="shared" si="51"/>
        <v>0</v>
      </c>
      <c r="AC151" s="205">
        <f t="shared" si="52"/>
        <v>0</v>
      </c>
      <c r="AD151" s="210">
        <f t="shared" si="53"/>
        <v>0.445138888884685</v>
      </c>
      <c r="AE151" s="210">
        <f t="shared" si="54"/>
        <v>0</v>
      </c>
      <c r="AF151" s="210">
        <f t="shared" si="55"/>
        <v>0.445138888884685</v>
      </c>
      <c r="AG151" s="210">
        <f t="shared" si="56"/>
        <v>0</v>
      </c>
    </row>
    <row r="152" spans="2:33" ht="15" customHeight="1" x14ac:dyDescent="0.3">
      <c r="B152" s="196" t="s">
        <v>7</v>
      </c>
      <c r="C152" s="197" t="s">
        <v>15</v>
      </c>
      <c r="D152" s="198" t="str">
        <f t="shared" si="38"/>
        <v>C</v>
      </c>
      <c r="E152" s="199">
        <v>44475.166666666664</v>
      </c>
      <c r="F152" s="200" t="s">
        <v>116</v>
      </c>
      <c r="G152" s="201">
        <v>152.11500000000001</v>
      </c>
      <c r="H152" s="201">
        <v>151.005</v>
      </c>
      <c r="I152" s="202">
        <f t="shared" si="39"/>
        <v>1.1100000000000136</v>
      </c>
      <c r="J152" s="201">
        <v>158.33199999999999</v>
      </c>
      <c r="K152" s="199">
        <v>44475.706944444442</v>
      </c>
      <c r="L152" s="201">
        <v>151.005</v>
      </c>
      <c r="M152" s="203">
        <f t="shared" si="40"/>
        <v>-1.1100000000000001</v>
      </c>
      <c r="N152" s="204">
        <f t="shared" si="41"/>
        <v>-1</v>
      </c>
      <c r="O152" s="205">
        <f t="shared" si="42"/>
        <v>0</v>
      </c>
      <c r="P152" s="206">
        <f t="shared" si="43"/>
        <v>0</v>
      </c>
      <c r="Q152" s="206">
        <f t="shared" si="44"/>
        <v>-1</v>
      </c>
      <c r="R1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244300</v>
      </c>
      <c r="T1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2" s="208">
        <f ca="1">IF(Tabla33610673[[#This Row],[Equity]]&lt;Tabla33610673[[#This Row],[Equity Peak]],(Tabla33610673[[#This Row],[Equity Peak]]-Tabla33610673[[#This Row],[Equity]])/Tabla33610673[[#This Row],[Equity Peak]],"")</f>
        <v>2.9400079459674214E-2</v>
      </c>
      <c r="V152" s="209">
        <f t="shared" si="45"/>
        <v>-1</v>
      </c>
      <c r="W152" s="209">
        <f t="shared" si="46"/>
        <v>0</v>
      </c>
      <c r="X152" s="209">
        <f t="shared" si="47"/>
        <v>0</v>
      </c>
      <c r="Y152" s="209">
        <f t="shared" si="48"/>
        <v>0</v>
      </c>
      <c r="Z152" s="209">
        <f t="shared" si="49"/>
        <v>0</v>
      </c>
      <c r="AA152" s="205">
        <f t="shared" si="50"/>
        <v>0</v>
      </c>
      <c r="AB152" s="209">
        <f t="shared" si="51"/>
        <v>0</v>
      </c>
      <c r="AC152" s="205">
        <f t="shared" si="52"/>
        <v>0</v>
      </c>
      <c r="AD152" s="210">
        <f t="shared" si="53"/>
        <v>0.54027777777810115</v>
      </c>
      <c r="AE152" s="210">
        <f t="shared" si="54"/>
        <v>0</v>
      </c>
      <c r="AF152" s="210">
        <f t="shared" si="55"/>
        <v>0.54027777777810115</v>
      </c>
      <c r="AG152" s="210">
        <f t="shared" si="56"/>
        <v>0</v>
      </c>
    </row>
    <row r="153" spans="2:33" ht="15" customHeight="1" x14ac:dyDescent="0.3">
      <c r="B153" s="196" t="s">
        <v>19</v>
      </c>
      <c r="C153" s="197" t="s">
        <v>15</v>
      </c>
      <c r="D153" s="198" t="str">
        <f t="shared" si="38"/>
        <v>C</v>
      </c>
      <c r="E153" s="199">
        <v>44473.791666666664</v>
      </c>
      <c r="F153" s="200" t="s">
        <v>108</v>
      </c>
      <c r="G153" s="201">
        <v>78.043000000000006</v>
      </c>
      <c r="H153" s="201">
        <v>76.221999999999994</v>
      </c>
      <c r="I153" s="202">
        <f t="shared" si="39"/>
        <v>1.8210000000000122</v>
      </c>
      <c r="J153" s="201">
        <v>99.897000000000006</v>
      </c>
      <c r="K153" s="199">
        <v>44475.623611111114</v>
      </c>
      <c r="L153" s="201">
        <v>77.986999999999995</v>
      </c>
      <c r="M153" s="203">
        <f t="shared" si="40"/>
        <v>-5.6000000000000001E-2</v>
      </c>
      <c r="N153" s="204">
        <f t="shared" si="41"/>
        <v>-0.03</v>
      </c>
      <c r="O153" s="205">
        <f t="shared" si="42"/>
        <v>0</v>
      </c>
      <c r="P153" s="206">
        <f t="shared" si="43"/>
        <v>0</v>
      </c>
      <c r="Q153" s="206">
        <f t="shared" si="44"/>
        <v>-0.03</v>
      </c>
      <c r="R1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245300</v>
      </c>
      <c r="T1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3" s="208">
        <f ca="1">IF(Tabla33610673[[#This Row],[Equity]]&lt;Tabla33610673[[#This Row],[Equity Peak]],(Tabla33610673[[#This Row],[Equity Peak]]-Tabla33610673[[#This Row],[Equity]])/Tabla33610673[[#This Row],[Equity Peak]],"")</f>
        <v>2.5427095748907429E-2</v>
      </c>
      <c r="V153" s="209">
        <f t="shared" si="45"/>
        <v>0</v>
      </c>
      <c r="W153" s="209">
        <f t="shared" si="46"/>
        <v>0</v>
      </c>
      <c r="X153" s="209">
        <f t="shared" si="47"/>
        <v>-0.03</v>
      </c>
      <c r="Y153" s="209">
        <f t="shared" si="48"/>
        <v>0</v>
      </c>
      <c r="Z153" s="209">
        <f t="shared" si="49"/>
        <v>0</v>
      </c>
      <c r="AA153" s="205">
        <f t="shared" si="50"/>
        <v>0</v>
      </c>
      <c r="AB153" s="209">
        <f t="shared" si="51"/>
        <v>0</v>
      </c>
      <c r="AC153" s="205">
        <f t="shared" si="52"/>
        <v>0</v>
      </c>
      <c r="AD153" s="210">
        <f t="shared" si="53"/>
        <v>1.8319444444496185</v>
      </c>
      <c r="AE153" s="210">
        <f t="shared" si="54"/>
        <v>0</v>
      </c>
      <c r="AF153" s="210">
        <f t="shared" si="55"/>
        <v>1.8319444444496185</v>
      </c>
      <c r="AG153" s="210">
        <f t="shared" si="56"/>
        <v>0</v>
      </c>
    </row>
    <row r="154" spans="2:33" ht="15" customHeight="1" x14ac:dyDescent="0.3">
      <c r="B154" s="196" t="s">
        <v>5</v>
      </c>
      <c r="C154" s="197" t="s">
        <v>15</v>
      </c>
      <c r="D154" s="198" t="str">
        <f t="shared" si="38"/>
        <v>C</v>
      </c>
      <c r="E154" s="199">
        <v>44474.791666666664</v>
      </c>
      <c r="F154" s="200" t="s">
        <v>94</v>
      </c>
      <c r="G154" s="201">
        <v>7079.24</v>
      </c>
      <c r="H154" s="201">
        <v>6985.57</v>
      </c>
      <c r="I154" s="202">
        <f t="shared" si="39"/>
        <v>93.670000000000073</v>
      </c>
      <c r="J154" s="201">
        <v>7547.61</v>
      </c>
      <c r="K154" s="199">
        <v>44475.421527777777</v>
      </c>
      <c r="L154" s="201">
        <v>7008.16</v>
      </c>
      <c r="M154" s="203">
        <f t="shared" si="40"/>
        <v>-71.08</v>
      </c>
      <c r="N154" s="204">
        <f t="shared" si="41"/>
        <v>-0.76</v>
      </c>
      <c r="O154" s="205">
        <f t="shared" si="42"/>
        <v>0</v>
      </c>
      <c r="P154" s="206">
        <f t="shared" si="43"/>
        <v>0</v>
      </c>
      <c r="Q154" s="206">
        <f t="shared" si="44"/>
        <v>-0.76</v>
      </c>
      <c r="R1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245330</v>
      </c>
      <c r="T1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4" s="208">
        <f ca="1">IF(Tabla33610673[[#This Row],[Equity]]&lt;Tabla33610673[[#This Row],[Equity Peak]],(Tabla33610673[[#This Row],[Equity Peak]]-Tabla33610673[[#This Row],[Equity]])/Tabla33610673[[#This Row],[Equity Peak]],"")</f>
        <v>2.5307906237584426E-2</v>
      </c>
      <c r="V154" s="209">
        <f t="shared" si="45"/>
        <v>0</v>
      </c>
      <c r="W154" s="209">
        <f t="shared" si="46"/>
        <v>0</v>
      </c>
      <c r="X154" s="209">
        <f t="shared" si="47"/>
        <v>0</v>
      </c>
      <c r="Y154" s="209">
        <f t="shared" si="48"/>
        <v>0</v>
      </c>
      <c r="Z154" s="209">
        <f t="shared" si="49"/>
        <v>-0.76</v>
      </c>
      <c r="AA154" s="205">
        <f t="shared" si="50"/>
        <v>0</v>
      </c>
      <c r="AB154" s="209">
        <f t="shared" si="51"/>
        <v>0</v>
      </c>
      <c r="AC154" s="205">
        <f t="shared" si="52"/>
        <v>0</v>
      </c>
      <c r="AD154" s="210">
        <f t="shared" si="53"/>
        <v>0.62986111111240461</v>
      </c>
      <c r="AE154" s="210">
        <f t="shared" si="54"/>
        <v>0</v>
      </c>
      <c r="AF154" s="210">
        <f t="shared" si="55"/>
        <v>0.62986111111240461</v>
      </c>
      <c r="AG154" s="210">
        <f t="shared" si="56"/>
        <v>0</v>
      </c>
    </row>
    <row r="155" spans="2:33" ht="15" customHeight="1" x14ac:dyDescent="0.3">
      <c r="B155" s="196" t="s">
        <v>7</v>
      </c>
      <c r="C155" s="197" t="s">
        <v>13</v>
      </c>
      <c r="D155" s="198" t="str">
        <f t="shared" si="38"/>
        <v>C</v>
      </c>
      <c r="E155" s="199">
        <v>44470.017361111109</v>
      </c>
      <c r="F155" s="200" t="s">
        <v>119</v>
      </c>
      <c r="G155" s="201">
        <v>128.88300000000001</v>
      </c>
      <c r="H155" s="201">
        <v>129.73500000000001</v>
      </c>
      <c r="I155" s="202">
        <f t="shared" si="39"/>
        <v>0.85200000000000387</v>
      </c>
      <c r="J155" s="201">
        <v>125.47499999999999</v>
      </c>
      <c r="K155" s="199">
        <v>44475.29791666667</v>
      </c>
      <c r="L155" s="201">
        <v>129.48500000000001</v>
      </c>
      <c r="M155" s="203">
        <f t="shared" si="40"/>
        <v>-0.60199999999999998</v>
      </c>
      <c r="N155" s="204">
        <f t="shared" si="41"/>
        <v>-0.71</v>
      </c>
      <c r="O155" s="205">
        <f t="shared" si="42"/>
        <v>0</v>
      </c>
      <c r="P155" s="206">
        <f t="shared" si="43"/>
        <v>0</v>
      </c>
      <c r="Q155" s="206">
        <f t="shared" si="44"/>
        <v>-0.71</v>
      </c>
      <c r="R1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246090</v>
      </c>
      <c r="T1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5" s="208">
        <f ca="1">IF(Tabla33610673[[#This Row],[Equity]]&lt;Tabla33610673[[#This Row],[Equity Peak]],(Tabla33610673[[#This Row],[Equity Peak]]-Tabla33610673[[#This Row],[Equity]])/Tabla33610673[[#This Row],[Equity Peak]],"")</f>
        <v>2.2288438617401669E-2</v>
      </c>
      <c r="V155" s="209">
        <f t="shared" si="45"/>
        <v>-0.71</v>
      </c>
      <c r="W155" s="209">
        <f t="shared" si="46"/>
        <v>0</v>
      </c>
      <c r="X155" s="209">
        <f t="shared" si="47"/>
        <v>0</v>
      </c>
      <c r="Y155" s="209">
        <f t="shared" si="48"/>
        <v>0</v>
      </c>
      <c r="Z155" s="209">
        <f t="shared" si="49"/>
        <v>0</v>
      </c>
      <c r="AA155" s="205">
        <f t="shared" si="50"/>
        <v>0</v>
      </c>
      <c r="AB155" s="209">
        <f t="shared" si="51"/>
        <v>0</v>
      </c>
      <c r="AC155" s="205">
        <f t="shared" si="52"/>
        <v>0</v>
      </c>
      <c r="AD155" s="210">
        <f t="shared" si="53"/>
        <v>5.2805555555605679</v>
      </c>
      <c r="AE155" s="210">
        <f t="shared" si="54"/>
        <v>0</v>
      </c>
      <c r="AF155" s="210">
        <f t="shared" si="55"/>
        <v>5.2805555555605679</v>
      </c>
      <c r="AG155" s="210">
        <f t="shared" si="56"/>
        <v>0</v>
      </c>
    </row>
    <row r="156" spans="2:33" ht="15" customHeight="1" x14ac:dyDescent="0.3">
      <c r="B156" s="196" t="s">
        <v>5</v>
      </c>
      <c r="C156" s="197" t="s">
        <v>13</v>
      </c>
      <c r="D156" s="198" t="str">
        <f t="shared" si="38"/>
        <v>C</v>
      </c>
      <c r="E156" s="199">
        <v>44470.625</v>
      </c>
      <c r="F156" s="200" t="s">
        <v>94</v>
      </c>
      <c r="G156" s="201">
        <v>7035.06</v>
      </c>
      <c r="H156" s="201">
        <v>7126.01</v>
      </c>
      <c r="I156" s="202">
        <f t="shared" si="39"/>
        <v>90.949999999999818</v>
      </c>
      <c r="J156" s="201">
        <v>6580.3</v>
      </c>
      <c r="K156" s="199">
        <v>44474.791666666664</v>
      </c>
      <c r="L156" s="201">
        <v>7079.24</v>
      </c>
      <c r="M156" s="203">
        <f t="shared" si="40"/>
        <v>-44.18</v>
      </c>
      <c r="N156" s="204">
        <f t="shared" si="41"/>
        <v>-0.49</v>
      </c>
      <c r="O156" s="205">
        <f t="shared" si="42"/>
        <v>0</v>
      </c>
      <c r="P156" s="206">
        <f t="shared" si="43"/>
        <v>0</v>
      </c>
      <c r="Q156" s="206">
        <f t="shared" si="44"/>
        <v>-0.49</v>
      </c>
      <c r="R1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246800</v>
      </c>
      <c r="T1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6" s="208">
        <f ca="1">IF(Tabla33610673[[#This Row],[Equity]]&lt;Tabla33610673[[#This Row],[Equity Peak]],(Tabla33610673[[#This Row],[Equity Peak]]-Tabla33610673[[#This Row],[Equity]])/Tabla33610673[[#This Row],[Equity Peak]],"")</f>
        <v>1.9467620182757252E-2</v>
      </c>
      <c r="V156" s="209">
        <f t="shared" si="45"/>
        <v>0</v>
      </c>
      <c r="W156" s="209">
        <f t="shared" si="46"/>
        <v>0</v>
      </c>
      <c r="X156" s="209">
        <f t="shared" si="47"/>
        <v>0</v>
      </c>
      <c r="Y156" s="209">
        <f t="shared" si="48"/>
        <v>0</v>
      </c>
      <c r="Z156" s="209">
        <f t="shared" si="49"/>
        <v>-0.49</v>
      </c>
      <c r="AA156" s="205">
        <f t="shared" si="50"/>
        <v>0</v>
      </c>
      <c r="AB156" s="209">
        <f t="shared" si="51"/>
        <v>0</v>
      </c>
      <c r="AC156" s="205">
        <f t="shared" si="52"/>
        <v>0</v>
      </c>
      <c r="AD156" s="210">
        <f t="shared" si="53"/>
        <v>4.1666666666642413</v>
      </c>
      <c r="AE156" s="210">
        <f t="shared" si="54"/>
        <v>0</v>
      </c>
      <c r="AF156" s="210">
        <f t="shared" si="55"/>
        <v>4.1666666666642413</v>
      </c>
      <c r="AG156" s="210">
        <f t="shared" si="56"/>
        <v>0</v>
      </c>
    </row>
    <row r="157" spans="2:33" ht="15" customHeight="1" x14ac:dyDescent="0.3">
      <c r="B157" s="196" t="s">
        <v>7</v>
      </c>
      <c r="C157" s="197" t="s">
        <v>13</v>
      </c>
      <c r="D157" s="198" t="str">
        <f t="shared" si="38"/>
        <v>C</v>
      </c>
      <c r="E157" s="199">
        <v>44468.5</v>
      </c>
      <c r="F157" s="200" t="s">
        <v>116</v>
      </c>
      <c r="G157" s="201">
        <v>150.309</v>
      </c>
      <c r="H157" s="201">
        <v>151.643</v>
      </c>
      <c r="I157" s="202">
        <f t="shared" si="39"/>
        <v>1.3340000000000032</v>
      </c>
      <c r="J157" s="201">
        <v>142.84</v>
      </c>
      <c r="K157" s="199">
        <v>44473.53402777778</v>
      </c>
      <c r="L157" s="201">
        <v>151.017</v>
      </c>
      <c r="M157" s="203">
        <f t="shared" si="40"/>
        <v>-0.70799999999999996</v>
      </c>
      <c r="N157" s="204">
        <f t="shared" si="41"/>
        <v>-0.53</v>
      </c>
      <c r="O157" s="205">
        <f t="shared" si="42"/>
        <v>0</v>
      </c>
      <c r="P157" s="206">
        <f t="shared" si="43"/>
        <v>0</v>
      </c>
      <c r="Q157" s="206">
        <f t="shared" si="44"/>
        <v>-0.53</v>
      </c>
      <c r="R1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247290</v>
      </c>
      <c r="T1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7" s="208">
        <f ca="1">IF(Tabla33610673[[#This Row],[Equity]]&lt;Tabla33610673[[#This Row],[Equity Peak]],(Tabla33610673[[#This Row],[Equity Peak]]-Tabla33610673[[#This Row],[Equity]])/Tabla33610673[[#This Row],[Equity Peak]],"")</f>
        <v>1.7520858164481526E-2</v>
      </c>
      <c r="V157" s="209">
        <f t="shared" si="45"/>
        <v>-0.53</v>
      </c>
      <c r="W157" s="209">
        <f t="shared" si="46"/>
        <v>0</v>
      </c>
      <c r="X157" s="209">
        <f t="shared" si="47"/>
        <v>0</v>
      </c>
      <c r="Y157" s="209">
        <f t="shared" si="48"/>
        <v>0</v>
      </c>
      <c r="Z157" s="209">
        <f t="shared" si="49"/>
        <v>0</v>
      </c>
      <c r="AA157" s="205">
        <f t="shared" si="50"/>
        <v>0</v>
      </c>
      <c r="AB157" s="209">
        <f t="shared" si="51"/>
        <v>0</v>
      </c>
      <c r="AC157" s="205">
        <f t="shared" si="52"/>
        <v>0</v>
      </c>
      <c r="AD157" s="210">
        <f t="shared" si="53"/>
        <v>5.0340277777795563</v>
      </c>
      <c r="AE157" s="210">
        <f t="shared" si="54"/>
        <v>0</v>
      </c>
      <c r="AF157" s="210">
        <f t="shared" si="55"/>
        <v>5.0340277777795563</v>
      </c>
      <c r="AG157" s="210">
        <f t="shared" si="56"/>
        <v>0</v>
      </c>
    </row>
    <row r="158" spans="2:33" ht="15" customHeight="1" x14ac:dyDescent="0.3">
      <c r="B158" s="196" t="s">
        <v>84</v>
      </c>
      <c r="C158" s="197" t="s">
        <v>13</v>
      </c>
      <c r="D158" s="198" t="str">
        <f t="shared" si="38"/>
        <v>C</v>
      </c>
      <c r="E158" s="199">
        <v>44458.017361111109</v>
      </c>
      <c r="F158" s="200" t="s">
        <v>82</v>
      </c>
      <c r="G158" s="201">
        <v>3391.75</v>
      </c>
      <c r="H158" s="201">
        <v>3522.51</v>
      </c>
      <c r="I158" s="202">
        <f t="shared" si="39"/>
        <v>130.76000000000022</v>
      </c>
      <c r="J158" s="201">
        <v>950.95</v>
      </c>
      <c r="K158" s="199">
        <v>44470.666666666664</v>
      </c>
      <c r="L158" s="201">
        <v>3224.86</v>
      </c>
      <c r="M158" s="203">
        <f t="shared" si="40"/>
        <v>166.89</v>
      </c>
      <c r="N158" s="204">
        <f t="shared" si="41"/>
        <v>1.28</v>
      </c>
      <c r="O158" s="205">
        <f t="shared" si="42"/>
        <v>0</v>
      </c>
      <c r="P158" s="206">
        <f t="shared" si="43"/>
        <v>1.28</v>
      </c>
      <c r="Q158" s="206">
        <f t="shared" si="44"/>
        <v>0</v>
      </c>
      <c r="R1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247820</v>
      </c>
      <c r="T1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8" s="208">
        <f ca="1">IF(Tabla33610673[[#This Row],[Equity]]&lt;Tabla33610673[[#This Row],[Equity Peak]],(Tabla33610673[[#This Row],[Equity Peak]]-Tabla33610673[[#This Row],[Equity]])/Tabla33610673[[#This Row],[Equity Peak]],"")</f>
        <v>1.541517679777513E-2</v>
      </c>
      <c r="V158" s="209">
        <f t="shared" si="45"/>
        <v>0</v>
      </c>
      <c r="W158" s="209">
        <f t="shared" si="46"/>
        <v>0</v>
      </c>
      <c r="X158" s="209">
        <f t="shared" si="47"/>
        <v>0</v>
      </c>
      <c r="Y158" s="209">
        <f t="shared" si="48"/>
        <v>0</v>
      </c>
      <c r="Z158" s="209">
        <f t="shared" si="49"/>
        <v>0</v>
      </c>
      <c r="AA158" s="205">
        <f t="shared" si="50"/>
        <v>0</v>
      </c>
      <c r="AB158" s="209">
        <f t="shared" si="51"/>
        <v>1.28</v>
      </c>
      <c r="AC158" s="205">
        <f t="shared" si="52"/>
        <v>0</v>
      </c>
      <c r="AD158" s="210">
        <f t="shared" si="53"/>
        <v>12.649305555554747</v>
      </c>
      <c r="AE158" s="210">
        <f t="shared" si="54"/>
        <v>12.649305555554747</v>
      </c>
      <c r="AF158" s="210">
        <f t="shared" si="55"/>
        <v>0</v>
      </c>
      <c r="AG158" s="210">
        <f t="shared" si="56"/>
        <v>0</v>
      </c>
    </row>
    <row r="159" spans="2:33" ht="15" customHeight="1" x14ac:dyDescent="0.3">
      <c r="B159" s="196" t="s">
        <v>5</v>
      </c>
      <c r="C159" s="197" t="s">
        <v>13</v>
      </c>
      <c r="D159" s="198" t="str">
        <f t="shared" si="38"/>
        <v>C</v>
      </c>
      <c r="E159" s="199">
        <v>44470.208333333336</v>
      </c>
      <c r="F159" s="200" t="s">
        <v>93</v>
      </c>
      <c r="G159" s="201">
        <v>4281.87</v>
      </c>
      <c r="H159" s="201">
        <v>4324.97</v>
      </c>
      <c r="I159" s="202">
        <f t="shared" si="39"/>
        <v>43.100000000000364</v>
      </c>
      <c r="J159" s="201">
        <v>4166.9399999999996</v>
      </c>
      <c r="K159" s="199">
        <v>44470.616666666669</v>
      </c>
      <c r="L159" s="201">
        <v>4324.97</v>
      </c>
      <c r="M159" s="203">
        <f t="shared" si="40"/>
        <v>-43.1</v>
      </c>
      <c r="N159" s="204">
        <f t="shared" si="41"/>
        <v>-1</v>
      </c>
      <c r="O159" s="205">
        <f t="shared" si="42"/>
        <v>0</v>
      </c>
      <c r="P159" s="206">
        <f t="shared" si="43"/>
        <v>0</v>
      </c>
      <c r="Q159" s="206">
        <f t="shared" si="44"/>
        <v>-1</v>
      </c>
      <c r="R1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246540</v>
      </c>
      <c r="T1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59" s="208">
        <f ca="1">IF(Tabla33610673[[#This Row],[Equity]]&lt;Tabla33610673[[#This Row],[Equity Peak]],(Tabla33610673[[#This Row],[Equity Peak]]-Tabla33610673[[#This Row],[Equity]])/Tabla33610673[[#This Row],[Equity Peak]],"")</f>
        <v>2.0500595947556616E-2</v>
      </c>
      <c r="V159" s="209">
        <f t="shared" si="45"/>
        <v>0</v>
      </c>
      <c r="W159" s="209">
        <f t="shared" si="46"/>
        <v>0</v>
      </c>
      <c r="X159" s="209">
        <f t="shared" si="47"/>
        <v>0</v>
      </c>
      <c r="Y159" s="209">
        <f t="shared" si="48"/>
        <v>0</v>
      </c>
      <c r="Z159" s="209">
        <f t="shared" si="49"/>
        <v>-1</v>
      </c>
      <c r="AA159" s="205">
        <f t="shared" si="50"/>
        <v>0</v>
      </c>
      <c r="AB159" s="209">
        <f t="shared" si="51"/>
        <v>0</v>
      </c>
      <c r="AC159" s="205">
        <f t="shared" si="52"/>
        <v>0</v>
      </c>
      <c r="AD159" s="210">
        <f t="shared" si="53"/>
        <v>0.40833333333284827</v>
      </c>
      <c r="AE159" s="210">
        <f t="shared" si="54"/>
        <v>0</v>
      </c>
      <c r="AF159" s="210">
        <f t="shared" si="55"/>
        <v>0.40833333333284827</v>
      </c>
      <c r="AG159" s="210">
        <f t="shared" si="56"/>
        <v>0</v>
      </c>
    </row>
    <row r="160" spans="2:33" ht="15" customHeight="1" x14ac:dyDescent="0.3">
      <c r="B160" s="196" t="s">
        <v>7</v>
      </c>
      <c r="C160" s="197" t="s">
        <v>13</v>
      </c>
      <c r="D160" s="198" t="str">
        <f t="shared" si="38"/>
        <v>C</v>
      </c>
      <c r="E160" s="199">
        <v>44469.666666666664</v>
      </c>
      <c r="F160" s="200" t="s">
        <v>121</v>
      </c>
      <c r="G160" s="201">
        <v>1.60768</v>
      </c>
      <c r="H160" s="201">
        <v>1.6153900000000001</v>
      </c>
      <c r="I160" s="202">
        <f t="shared" si="39"/>
        <v>7.7100000000001057E-3</v>
      </c>
      <c r="J160" s="201">
        <v>1.52542</v>
      </c>
      <c r="K160" s="199">
        <v>44470.39166666667</v>
      </c>
      <c r="L160" s="201">
        <v>1.60927</v>
      </c>
      <c r="M160" s="203">
        <f t="shared" si="40"/>
        <v>-1.6000000000000001E-3</v>
      </c>
      <c r="N160" s="204">
        <f t="shared" si="41"/>
        <v>-0.21</v>
      </c>
      <c r="O160" s="205">
        <f t="shared" si="42"/>
        <v>0</v>
      </c>
      <c r="P160" s="206">
        <f t="shared" si="43"/>
        <v>0</v>
      </c>
      <c r="Q160" s="206">
        <f t="shared" si="44"/>
        <v>-0.21</v>
      </c>
      <c r="R1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247540</v>
      </c>
      <c r="T1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0" s="208">
        <f ca="1">IF(Tabla33610673[[#This Row],[Equity]]&lt;Tabla33610673[[#This Row],[Equity Peak]],(Tabla33610673[[#This Row],[Equity Peak]]-Tabla33610673[[#This Row],[Equity]])/Tabla33610673[[#This Row],[Equity Peak]],"")</f>
        <v>1.6527612236789828E-2</v>
      </c>
      <c r="V160" s="209">
        <f t="shared" si="45"/>
        <v>-0.21</v>
      </c>
      <c r="W160" s="209">
        <f t="shared" si="46"/>
        <v>0</v>
      </c>
      <c r="X160" s="209">
        <f t="shared" si="47"/>
        <v>0</v>
      </c>
      <c r="Y160" s="209">
        <f t="shared" si="48"/>
        <v>0</v>
      </c>
      <c r="Z160" s="209">
        <f t="shared" si="49"/>
        <v>0</v>
      </c>
      <c r="AA160" s="205">
        <f t="shared" si="50"/>
        <v>0</v>
      </c>
      <c r="AB160" s="209">
        <f t="shared" si="51"/>
        <v>0</v>
      </c>
      <c r="AC160" s="205">
        <f t="shared" si="52"/>
        <v>0</v>
      </c>
      <c r="AD160" s="210">
        <f t="shared" si="53"/>
        <v>0.72500000000582077</v>
      </c>
      <c r="AE160" s="210">
        <f t="shared" si="54"/>
        <v>0</v>
      </c>
      <c r="AF160" s="210">
        <f t="shared" si="55"/>
        <v>0.72500000000582077</v>
      </c>
      <c r="AG160" s="210">
        <f t="shared" si="56"/>
        <v>0</v>
      </c>
    </row>
    <row r="161" spans="2:33" ht="15" customHeight="1" x14ac:dyDescent="0.3">
      <c r="B161" s="196" t="s">
        <v>84</v>
      </c>
      <c r="C161" s="197" t="s">
        <v>13</v>
      </c>
      <c r="D161" s="198" t="str">
        <f t="shared" si="38"/>
        <v>C</v>
      </c>
      <c r="E161" s="199">
        <v>44459.333333333336</v>
      </c>
      <c r="F161" s="200" t="s">
        <v>80</v>
      </c>
      <c r="G161" s="201">
        <v>45648</v>
      </c>
      <c r="H161" s="201">
        <v>47206.14</v>
      </c>
      <c r="I161" s="202">
        <f t="shared" si="39"/>
        <v>1558.1399999999994</v>
      </c>
      <c r="J161" s="201">
        <v>22275.86</v>
      </c>
      <c r="K161" s="199">
        <v>44469.902083333334</v>
      </c>
      <c r="L161" s="201">
        <v>43976.89</v>
      </c>
      <c r="M161" s="203">
        <f t="shared" si="40"/>
        <v>1671.11</v>
      </c>
      <c r="N161" s="204">
        <f t="shared" si="41"/>
        <v>1.07</v>
      </c>
      <c r="O161" s="205">
        <f t="shared" si="42"/>
        <v>0</v>
      </c>
      <c r="P161" s="206">
        <f t="shared" si="43"/>
        <v>1.07</v>
      </c>
      <c r="Q161" s="206">
        <f t="shared" si="44"/>
        <v>0</v>
      </c>
      <c r="R1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247750</v>
      </c>
      <c r="T1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1" s="208">
        <f ca="1">IF(Tabla33610673[[#This Row],[Equity]]&lt;Tabla33610673[[#This Row],[Equity Peak]],(Tabla33610673[[#This Row],[Equity Peak]]-Tabla33610673[[#This Row],[Equity]])/Tabla33610673[[#This Row],[Equity Peak]],"")</f>
        <v>1.5693285657528804E-2</v>
      </c>
      <c r="V161" s="209">
        <f t="shared" si="45"/>
        <v>0</v>
      </c>
      <c r="W161" s="209">
        <f t="shared" si="46"/>
        <v>0</v>
      </c>
      <c r="X161" s="209">
        <f t="shared" si="47"/>
        <v>0</v>
      </c>
      <c r="Y161" s="209">
        <f t="shared" si="48"/>
        <v>0</v>
      </c>
      <c r="Z161" s="209">
        <f t="shared" si="49"/>
        <v>0</v>
      </c>
      <c r="AA161" s="205">
        <f t="shared" si="50"/>
        <v>0</v>
      </c>
      <c r="AB161" s="209">
        <f t="shared" si="51"/>
        <v>1.07</v>
      </c>
      <c r="AC161" s="205">
        <f t="shared" si="52"/>
        <v>0</v>
      </c>
      <c r="AD161" s="210">
        <f t="shared" si="53"/>
        <v>10.568749999998545</v>
      </c>
      <c r="AE161" s="210">
        <f t="shared" si="54"/>
        <v>10.568749999998545</v>
      </c>
      <c r="AF161" s="210">
        <f t="shared" si="55"/>
        <v>0</v>
      </c>
      <c r="AG161" s="210">
        <f t="shared" si="56"/>
        <v>0</v>
      </c>
    </row>
    <row r="162" spans="2:33" ht="15" customHeight="1" x14ac:dyDescent="0.3">
      <c r="B162" s="196" t="s">
        <v>7</v>
      </c>
      <c r="C162" s="197" t="s">
        <v>15</v>
      </c>
      <c r="D162" s="198" t="str">
        <f t="shared" si="38"/>
        <v>C</v>
      </c>
      <c r="E162" s="199">
        <v>44462.666666666664</v>
      </c>
      <c r="F162" s="200" t="s">
        <v>114</v>
      </c>
      <c r="G162" s="201">
        <v>110.07599999999999</v>
      </c>
      <c r="H162" s="201">
        <v>109.41200000000001</v>
      </c>
      <c r="I162" s="202">
        <f t="shared" si="39"/>
        <v>0.66399999999998727</v>
      </c>
      <c r="J162" s="201">
        <v>113.176</v>
      </c>
      <c r="K162" s="199">
        <v>44469.762499999997</v>
      </c>
      <c r="L162" s="201">
        <v>111.42400000000001</v>
      </c>
      <c r="M162" s="203">
        <f t="shared" si="40"/>
        <v>1.3480000000000001</v>
      </c>
      <c r="N162" s="204">
        <f t="shared" si="41"/>
        <v>2.0299999999999998</v>
      </c>
      <c r="O162" s="205">
        <f t="shared" si="42"/>
        <v>0</v>
      </c>
      <c r="P162" s="206">
        <f t="shared" si="43"/>
        <v>2.0299999999999998</v>
      </c>
      <c r="Q162" s="206">
        <f t="shared" si="44"/>
        <v>0</v>
      </c>
      <c r="R1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246680</v>
      </c>
      <c r="T1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2" s="208">
        <f ca="1">IF(Tabla33610673[[#This Row],[Equity]]&lt;Tabla33610673[[#This Row],[Equity Peak]],(Tabla33610673[[#This Row],[Equity Peak]]-Tabla33610673[[#This Row],[Equity]])/Tabla33610673[[#This Row],[Equity Peak]],"")</f>
        <v>1.9944378228049266E-2</v>
      </c>
      <c r="V162" s="209">
        <f t="shared" si="45"/>
        <v>2.0299999999999998</v>
      </c>
      <c r="W162" s="209">
        <f t="shared" si="46"/>
        <v>0</v>
      </c>
      <c r="X162" s="209">
        <f t="shared" si="47"/>
        <v>0</v>
      </c>
      <c r="Y162" s="209">
        <f t="shared" si="48"/>
        <v>0</v>
      </c>
      <c r="Z162" s="209">
        <f t="shared" si="49"/>
        <v>0</v>
      </c>
      <c r="AA162" s="205">
        <f t="shared" si="50"/>
        <v>0</v>
      </c>
      <c r="AB162" s="209">
        <f t="shared" si="51"/>
        <v>0</v>
      </c>
      <c r="AC162" s="205">
        <f t="shared" si="52"/>
        <v>0</v>
      </c>
      <c r="AD162" s="210">
        <f t="shared" si="53"/>
        <v>7.0958333333328483</v>
      </c>
      <c r="AE162" s="210">
        <f t="shared" si="54"/>
        <v>7.0958333333328483</v>
      </c>
      <c r="AF162" s="210">
        <f t="shared" si="55"/>
        <v>0</v>
      </c>
      <c r="AG162" s="210">
        <f t="shared" si="56"/>
        <v>0</v>
      </c>
    </row>
    <row r="163" spans="2:33" ht="15" customHeight="1" x14ac:dyDescent="0.3">
      <c r="B163" s="196" t="s">
        <v>7</v>
      </c>
      <c r="C163" s="197" t="s">
        <v>15</v>
      </c>
      <c r="D163" s="198" t="str">
        <f t="shared" si="38"/>
        <v>C</v>
      </c>
      <c r="E163" s="199">
        <v>44467.666666666664</v>
      </c>
      <c r="F163" s="200" t="s">
        <v>120</v>
      </c>
      <c r="G163" s="201">
        <v>0.86231999999999998</v>
      </c>
      <c r="H163" s="201">
        <v>0.85890999999999995</v>
      </c>
      <c r="I163" s="202">
        <f t="shared" si="39"/>
        <v>3.4100000000000241E-3</v>
      </c>
      <c r="J163" s="201">
        <v>0.87141000000000002</v>
      </c>
      <c r="K163" s="199">
        <v>44469.714583333334</v>
      </c>
      <c r="L163" s="201">
        <v>0.85890999999999995</v>
      </c>
      <c r="M163" s="203">
        <f t="shared" si="40"/>
        <v>-3.3999999999999998E-3</v>
      </c>
      <c r="N163" s="204">
        <f t="shared" si="41"/>
        <v>-1</v>
      </c>
      <c r="O163" s="205">
        <f t="shared" si="42"/>
        <v>0</v>
      </c>
      <c r="P163" s="206">
        <f t="shared" si="43"/>
        <v>0</v>
      </c>
      <c r="Q163" s="206">
        <f t="shared" si="44"/>
        <v>-1</v>
      </c>
      <c r="R1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244650</v>
      </c>
      <c r="T1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3" s="208">
        <f ca="1">IF(Tabla33610673[[#This Row],[Equity]]&lt;Tabla33610673[[#This Row],[Equity Peak]],(Tabla33610673[[#This Row],[Equity Peak]]-Tabla33610673[[#This Row],[Equity]])/Tabla33610673[[#This Row],[Equity Peak]],"")</f>
        <v>2.8009535160905839E-2</v>
      </c>
      <c r="V163" s="209">
        <f t="shared" si="45"/>
        <v>-1</v>
      </c>
      <c r="W163" s="209">
        <f t="shared" si="46"/>
        <v>0</v>
      </c>
      <c r="X163" s="209">
        <f t="shared" si="47"/>
        <v>0</v>
      </c>
      <c r="Y163" s="209">
        <f t="shared" si="48"/>
        <v>0</v>
      </c>
      <c r="Z163" s="209">
        <f t="shared" si="49"/>
        <v>0</v>
      </c>
      <c r="AA163" s="205">
        <f t="shared" si="50"/>
        <v>0</v>
      </c>
      <c r="AB163" s="209">
        <f t="shared" si="51"/>
        <v>0</v>
      </c>
      <c r="AC163" s="205">
        <f t="shared" si="52"/>
        <v>0</v>
      </c>
      <c r="AD163" s="210">
        <f t="shared" si="53"/>
        <v>2.0479166666700621</v>
      </c>
      <c r="AE163" s="210">
        <f t="shared" si="54"/>
        <v>0</v>
      </c>
      <c r="AF163" s="210">
        <f t="shared" si="55"/>
        <v>2.0479166666700621</v>
      </c>
      <c r="AG163" s="210">
        <f t="shared" si="56"/>
        <v>0</v>
      </c>
    </row>
    <row r="164" spans="2:33" ht="15" customHeight="1" x14ac:dyDescent="0.3">
      <c r="B164" s="196" t="s">
        <v>19</v>
      </c>
      <c r="C164" s="197" t="s">
        <v>15</v>
      </c>
      <c r="D164" s="198" t="str">
        <f t="shared" si="38"/>
        <v>C</v>
      </c>
      <c r="E164" s="199">
        <v>44462.791666666664</v>
      </c>
      <c r="F164" s="200" t="s">
        <v>108</v>
      </c>
      <c r="G164" s="201">
        <v>73.582999999999998</v>
      </c>
      <c r="H164" s="201">
        <v>71.808999999999997</v>
      </c>
      <c r="I164" s="202">
        <f t="shared" si="39"/>
        <v>1.7740000000000009</v>
      </c>
      <c r="J164" s="201">
        <v>94.875</v>
      </c>
      <c r="K164" s="199">
        <v>44469.693055555559</v>
      </c>
      <c r="L164" s="201">
        <v>73.512</v>
      </c>
      <c r="M164" s="203">
        <f t="shared" si="40"/>
        <v>-7.0999999999999994E-2</v>
      </c>
      <c r="N164" s="204">
        <f t="shared" si="41"/>
        <v>-0.04</v>
      </c>
      <c r="O164" s="205">
        <f t="shared" si="42"/>
        <v>0</v>
      </c>
      <c r="P164" s="206">
        <f t="shared" si="43"/>
        <v>0</v>
      </c>
      <c r="Q164" s="206">
        <f t="shared" si="44"/>
        <v>-0.04</v>
      </c>
      <c r="R1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245650</v>
      </c>
      <c r="T1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4" s="208">
        <f ca="1">IF(Tabla33610673[[#This Row],[Equity]]&lt;Tabla33610673[[#This Row],[Equity Peak]],(Tabla33610673[[#This Row],[Equity Peak]]-Tabla33610673[[#This Row],[Equity]])/Tabla33610673[[#This Row],[Equity Peak]],"")</f>
        <v>2.4036551450139054E-2</v>
      </c>
      <c r="V164" s="209">
        <f t="shared" si="45"/>
        <v>0</v>
      </c>
      <c r="W164" s="209">
        <f t="shared" si="46"/>
        <v>0</v>
      </c>
      <c r="X164" s="209">
        <f t="shared" si="47"/>
        <v>-0.04</v>
      </c>
      <c r="Y164" s="209">
        <f t="shared" si="48"/>
        <v>0</v>
      </c>
      <c r="Z164" s="209">
        <f t="shared" si="49"/>
        <v>0</v>
      </c>
      <c r="AA164" s="205">
        <f t="shared" si="50"/>
        <v>0</v>
      </c>
      <c r="AB164" s="209">
        <f t="shared" si="51"/>
        <v>0</v>
      </c>
      <c r="AC164" s="205">
        <f t="shared" si="52"/>
        <v>0</v>
      </c>
      <c r="AD164" s="210">
        <f t="shared" si="53"/>
        <v>6.9013888888948713</v>
      </c>
      <c r="AE164" s="210">
        <f t="shared" si="54"/>
        <v>0</v>
      </c>
      <c r="AF164" s="210">
        <f t="shared" si="55"/>
        <v>6.9013888888948713</v>
      </c>
      <c r="AG164" s="210">
        <f t="shared" si="56"/>
        <v>0</v>
      </c>
    </row>
    <row r="165" spans="2:33" ht="15" customHeight="1" x14ac:dyDescent="0.3">
      <c r="B165" s="196" t="s">
        <v>5</v>
      </c>
      <c r="C165" s="197" t="s">
        <v>15</v>
      </c>
      <c r="D165" s="198" t="str">
        <f t="shared" si="38"/>
        <v>C</v>
      </c>
      <c r="E165" s="199">
        <v>44468.458333333336</v>
      </c>
      <c r="F165" s="200" t="s">
        <v>94</v>
      </c>
      <c r="G165" s="201">
        <v>7089.21</v>
      </c>
      <c r="H165" s="201">
        <v>7003.78</v>
      </c>
      <c r="I165" s="202">
        <f t="shared" si="39"/>
        <v>85.430000000000291</v>
      </c>
      <c r="J165" s="201">
        <v>7516.34</v>
      </c>
      <c r="K165" s="199">
        <v>44469.693055555559</v>
      </c>
      <c r="L165" s="201">
        <v>7086.94</v>
      </c>
      <c r="M165" s="203">
        <f t="shared" si="40"/>
        <v>-2.27</v>
      </c>
      <c r="N165" s="204">
        <f t="shared" si="41"/>
        <v>-0.03</v>
      </c>
      <c r="O165" s="205">
        <f t="shared" si="42"/>
        <v>0</v>
      </c>
      <c r="P165" s="206">
        <f t="shared" si="43"/>
        <v>0</v>
      </c>
      <c r="Q165" s="206">
        <f t="shared" si="44"/>
        <v>-0.03</v>
      </c>
      <c r="R1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245690</v>
      </c>
      <c r="T1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5" s="208">
        <f ca="1">IF(Tabla33610673[[#This Row],[Equity]]&lt;Tabla33610673[[#This Row],[Equity Peak]],(Tabla33610673[[#This Row],[Equity Peak]]-Tabla33610673[[#This Row],[Equity]])/Tabla33610673[[#This Row],[Equity Peak]],"")</f>
        <v>2.3877632101708384E-2</v>
      </c>
      <c r="V165" s="209">
        <f t="shared" si="45"/>
        <v>0</v>
      </c>
      <c r="W165" s="209">
        <f t="shared" si="46"/>
        <v>0</v>
      </c>
      <c r="X165" s="209">
        <f t="shared" si="47"/>
        <v>0</v>
      </c>
      <c r="Y165" s="209">
        <f t="shared" si="48"/>
        <v>0</v>
      </c>
      <c r="Z165" s="209">
        <f t="shared" si="49"/>
        <v>-0.03</v>
      </c>
      <c r="AA165" s="205">
        <f t="shared" si="50"/>
        <v>0</v>
      </c>
      <c r="AB165" s="209">
        <f t="shared" si="51"/>
        <v>0</v>
      </c>
      <c r="AC165" s="205">
        <f t="shared" si="52"/>
        <v>0</v>
      </c>
      <c r="AD165" s="210">
        <f t="shared" si="53"/>
        <v>1.234722222223354</v>
      </c>
      <c r="AE165" s="210">
        <f t="shared" si="54"/>
        <v>0</v>
      </c>
      <c r="AF165" s="210">
        <f t="shared" si="55"/>
        <v>1.234722222223354</v>
      </c>
      <c r="AG165" s="210">
        <f t="shared" si="56"/>
        <v>0</v>
      </c>
    </row>
    <row r="166" spans="2:33" ht="15" customHeight="1" x14ac:dyDescent="0.3">
      <c r="B166" s="196" t="s">
        <v>7</v>
      </c>
      <c r="C166" s="197" t="s">
        <v>15</v>
      </c>
      <c r="D166" s="198" t="str">
        <f t="shared" si="38"/>
        <v>C</v>
      </c>
      <c r="E166" s="199">
        <v>44468.017361111109</v>
      </c>
      <c r="F166" s="200" t="s">
        <v>121</v>
      </c>
      <c r="G166" s="201">
        <v>1.6131</v>
      </c>
      <c r="H166" s="201">
        <v>1.60545</v>
      </c>
      <c r="I166" s="202">
        <f t="shared" si="39"/>
        <v>7.6499999999999346E-3</v>
      </c>
      <c r="J166" s="201">
        <v>1.6947000000000001</v>
      </c>
      <c r="K166" s="199">
        <v>44469.652083333334</v>
      </c>
      <c r="L166" s="201">
        <v>1.60781</v>
      </c>
      <c r="M166" s="203">
        <f t="shared" si="40"/>
        <v>-5.3E-3</v>
      </c>
      <c r="N166" s="204">
        <f t="shared" si="41"/>
        <v>-0.69</v>
      </c>
      <c r="O166" s="205">
        <f t="shared" si="42"/>
        <v>0</v>
      </c>
      <c r="P166" s="206">
        <f t="shared" si="43"/>
        <v>0</v>
      </c>
      <c r="Q166" s="206">
        <f t="shared" si="44"/>
        <v>-0.69</v>
      </c>
      <c r="R1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245720</v>
      </c>
      <c r="T1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6" s="208">
        <f ca="1">IF(Tabla33610673[[#This Row],[Equity]]&lt;Tabla33610673[[#This Row],[Equity Peak]],(Tabla33610673[[#This Row],[Equity Peak]]-Tabla33610673[[#This Row],[Equity]])/Tabla33610673[[#This Row],[Equity Peak]],"")</f>
        <v>2.3758442590385381E-2</v>
      </c>
      <c r="V166" s="209">
        <f t="shared" si="45"/>
        <v>-0.69</v>
      </c>
      <c r="W166" s="209">
        <f t="shared" si="46"/>
        <v>0</v>
      </c>
      <c r="X166" s="209">
        <f t="shared" si="47"/>
        <v>0</v>
      </c>
      <c r="Y166" s="209">
        <f t="shared" si="48"/>
        <v>0</v>
      </c>
      <c r="Z166" s="209">
        <f t="shared" si="49"/>
        <v>0</v>
      </c>
      <c r="AA166" s="205">
        <f t="shared" si="50"/>
        <v>0</v>
      </c>
      <c r="AB166" s="209">
        <f t="shared" si="51"/>
        <v>0</v>
      </c>
      <c r="AC166" s="205">
        <f t="shared" si="52"/>
        <v>0</v>
      </c>
      <c r="AD166" s="210">
        <f t="shared" si="53"/>
        <v>1.6347222222248092</v>
      </c>
      <c r="AE166" s="210">
        <f t="shared" si="54"/>
        <v>0</v>
      </c>
      <c r="AF166" s="210">
        <f t="shared" si="55"/>
        <v>1.6347222222248092</v>
      </c>
      <c r="AG166" s="210">
        <f t="shared" si="56"/>
        <v>0</v>
      </c>
    </row>
    <row r="167" spans="2:33" ht="15" customHeight="1" x14ac:dyDescent="0.3">
      <c r="B167" s="196" t="s">
        <v>7</v>
      </c>
      <c r="C167" s="197" t="s">
        <v>15</v>
      </c>
      <c r="D167" s="198" t="str">
        <f t="shared" si="38"/>
        <v>C</v>
      </c>
      <c r="E167" s="199">
        <v>44466.017361111109</v>
      </c>
      <c r="F167" s="200" t="s">
        <v>123</v>
      </c>
      <c r="G167" s="201">
        <v>80.289000000000001</v>
      </c>
      <c r="H167" s="201">
        <v>79.754000000000005</v>
      </c>
      <c r="I167" s="202">
        <f t="shared" si="39"/>
        <v>0.53499999999999659</v>
      </c>
      <c r="J167" s="201">
        <v>89.554000000000002</v>
      </c>
      <c r="K167" s="199">
        <v>44468.662499999999</v>
      </c>
      <c r="L167" s="201">
        <v>80.391999999999996</v>
      </c>
      <c r="M167" s="203">
        <f t="shared" si="40"/>
        <v>0.10299999999999999</v>
      </c>
      <c r="N167" s="204">
        <f t="shared" si="41"/>
        <v>0.19</v>
      </c>
      <c r="O167" s="205">
        <f t="shared" si="42"/>
        <v>0</v>
      </c>
      <c r="P167" s="206">
        <f t="shared" si="43"/>
        <v>0.19</v>
      </c>
      <c r="Q167" s="206">
        <f t="shared" si="44"/>
        <v>0</v>
      </c>
      <c r="R1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246410</v>
      </c>
      <c r="T1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7" s="208">
        <f ca="1">IF(Tabla33610673[[#This Row],[Equity]]&lt;Tabla33610673[[#This Row],[Equity Peak]],(Tabla33610673[[#This Row],[Equity Peak]]-Tabla33610673[[#This Row],[Equity]])/Tabla33610673[[#This Row],[Equity Peak]],"")</f>
        <v>2.1017083829956297E-2</v>
      </c>
      <c r="V167" s="209">
        <f t="shared" si="45"/>
        <v>0.19</v>
      </c>
      <c r="W167" s="209">
        <f t="shared" si="46"/>
        <v>0</v>
      </c>
      <c r="X167" s="209">
        <f t="shared" si="47"/>
        <v>0</v>
      </c>
      <c r="Y167" s="209">
        <f t="shared" si="48"/>
        <v>0</v>
      </c>
      <c r="Z167" s="209">
        <f t="shared" si="49"/>
        <v>0</v>
      </c>
      <c r="AA167" s="205">
        <f t="shared" si="50"/>
        <v>0</v>
      </c>
      <c r="AB167" s="209">
        <f t="shared" si="51"/>
        <v>0</v>
      </c>
      <c r="AC167" s="205">
        <f t="shared" si="52"/>
        <v>0</v>
      </c>
      <c r="AD167" s="210">
        <f t="shared" si="53"/>
        <v>2.6451388888890506</v>
      </c>
      <c r="AE167" s="210">
        <f t="shared" si="54"/>
        <v>2.6451388888890506</v>
      </c>
      <c r="AF167" s="210">
        <f t="shared" si="55"/>
        <v>0</v>
      </c>
      <c r="AG167" s="210">
        <f t="shared" si="56"/>
        <v>0</v>
      </c>
    </row>
    <row r="168" spans="2:33" ht="15" customHeight="1" x14ac:dyDescent="0.3">
      <c r="B168" s="196" t="s">
        <v>7</v>
      </c>
      <c r="C168" s="197" t="s">
        <v>15</v>
      </c>
      <c r="D168" s="198" t="str">
        <f t="shared" si="38"/>
        <v>C</v>
      </c>
      <c r="E168" s="199">
        <v>44463.333333333336</v>
      </c>
      <c r="F168" s="200" t="s">
        <v>119</v>
      </c>
      <c r="G168" s="201">
        <v>129.63200000000001</v>
      </c>
      <c r="H168" s="201">
        <v>128.89099999999999</v>
      </c>
      <c r="I168" s="202">
        <f t="shared" si="39"/>
        <v>0.74100000000001387</v>
      </c>
      <c r="J168" s="201">
        <v>132.59700000000001</v>
      </c>
      <c r="K168" s="199">
        <v>44468.433333333334</v>
      </c>
      <c r="L168" s="201">
        <v>129.87299999999999</v>
      </c>
      <c r="M168" s="203">
        <f t="shared" si="40"/>
        <v>0.24099999999999999</v>
      </c>
      <c r="N168" s="204">
        <f t="shared" si="41"/>
        <v>0.33</v>
      </c>
      <c r="O168" s="205">
        <f t="shared" si="42"/>
        <v>0</v>
      </c>
      <c r="P168" s="206">
        <f t="shared" si="43"/>
        <v>0.33</v>
      </c>
      <c r="Q168" s="206">
        <f t="shared" si="44"/>
        <v>0</v>
      </c>
      <c r="R1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246220</v>
      </c>
      <c r="T1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8" s="208">
        <f ca="1">IF(Tabla33610673[[#This Row],[Equity]]&lt;Tabla33610673[[#This Row],[Equity Peak]],(Tabla33610673[[#This Row],[Equity Peak]]-Tabla33610673[[#This Row],[Equity]])/Tabla33610673[[#This Row],[Equity Peak]],"")</f>
        <v>2.1771950735001988E-2</v>
      </c>
      <c r="V168" s="209">
        <f t="shared" si="45"/>
        <v>0.33</v>
      </c>
      <c r="W168" s="209">
        <f t="shared" si="46"/>
        <v>0</v>
      </c>
      <c r="X168" s="209">
        <f t="shared" si="47"/>
        <v>0</v>
      </c>
      <c r="Y168" s="209">
        <f t="shared" si="48"/>
        <v>0</v>
      </c>
      <c r="Z168" s="209">
        <f t="shared" si="49"/>
        <v>0</v>
      </c>
      <c r="AA168" s="205">
        <f t="shared" si="50"/>
        <v>0</v>
      </c>
      <c r="AB168" s="209">
        <f t="shared" si="51"/>
        <v>0</v>
      </c>
      <c r="AC168" s="205">
        <f t="shared" si="52"/>
        <v>0</v>
      </c>
      <c r="AD168" s="210">
        <f t="shared" si="53"/>
        <v>5.0999999999985448</v>
      </c>
      <c r="AE168" s="210">
        <f t="shared" si="54"/>
        <v>5.0999999999985448</v>
      </c>
      <c r="AF168" s="210">
        <f t="shared" si="55"/>
        <v>0</v>
      </c>
      <c r="AG168" s="210">
        <f t="shared" si="56"/>
        <v>0</v>
      </c>
    </row>
    <row r="169" spans="2:33" ht="15" customHeight="1" x14ac:dyDescent="0.3">
      <c r="B169" s="196" t="s">
        <v>5</v>
      </c>
      <c r="C169" s="197" t="s">
        <v>13</v>
      </c>
      <c r="D169" s="198" t="str">
        <f t="shared" si="38"/>
        <v>C</v>
      </c>
      <c r="E169" s="199">
        <v>44467.791666666664</v>
      </c>
      <c r="F169" s="200" t="s">
        <v>94</v>
      </c>
      <c r="G169" s="201">
        <v>7025.15</v>
      </c>
      <c r="H169" s="201">
        <v>7102.93</v>
      </c>
      <c r="I169" s="202">
        <f t="shared" si="39"/>
        <v>77.780000000000655</v>
      </c>
      <c r="J169" s="201">
        <v>6636.24</v>
      </c>
      <c r="K169" s="199">
        <v>44468.432638888888</v>
      </c>
      <c r="L169" s="201">
        <v>7081.07</v>
      </c>
      <c r="M169" s="203">
        <f t="shared" si="40"/>
        <v>-55.92</v>
      </c>
      <c r="N169" s="204">
        <f t="shared" si="41"/>
        <v>-0.72</v>
      </c>
      <c r="O169" s="205">
        <f t="shared" si="42"/>
        <v>0</v>
      </c>
      <c r="P169" s="206">
        <f t="shared" si="43"/>
        <v>0</v>
      </c>
      <c r="Q169" s="206">
        <f t="shared" si="44"/>
        <v>-0.72</v>
      </c>
      <c r="R1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245890</v>
      </c>
      <c r="T1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69" s="208">
        <f ca="1">IF(Tabla33610673[[#This Row],[Equity]]&lt;Tabla33610673[[#This Row],[Equity Peak]],(Tabla33610673[[#This Row],[Equity Peak]]-Tabla33610673[[#This Row],[Equity]])/Tabla33610673[[#This Row],[Equity Peak]],"")</f>
        <v>2.3083035359555026E-2</v>
      </c>
      <c r="V169" s="209">
        <f t="shared" si="45"/>
        <v>0</v>
      </c>
      <c r="W169" s="209">
        <f t="shared" si="46"/>
        <v>0</v>
      </c>
      <c r="X169" s="209">
        <f t="shared" si="47"/>
        <v>0</v>
      </c>
      <c r="Y169" s="209">
        <f t="shared" si="48"/>
        <v>0</v>
      </c>
      <c r="Z169" s="209">
        <f t="shared" si="49"/>
        <v>-0.72</v>
      </c>
      <c r="AA169" s="205">
        <f t="shared" si="50"/>
        <v>0</v>
      </c>
      <c r="AB169" s="209">
        <f t="shared" si="51"/>
        <v>0</v>
      </c>
      <c r="AC169" s="205">
        <f t="shared" si="52"/>
        <v>0</v>
      </c>
      <c r="AD169" s="210">
        <f t="shared" si="53"/>
        <v>0.64097222222335404</v>
      </c>
      <c r="AE169" s="210">
        <f t="shared" si="54"/>
        <v>0</v>
      </c>
      <c r="AF169" s="210">
        <f t="shared" si="55"/>
        <v>0.64097222222335404</v>
      </c>
      <c r="AG169" s="210">
        <f t="shared" si="56"/>
        <v>0</v>
      </c>
    </row>
    <row r="170" spans="2:33" ht="15" customHeight="1" x14ac:dyDescent="0.3">
      <c r="B170" s="196" t="s">
        <v>7</v>
      </c>
      <c r="C170" s="197" t="s">
        <v>15</v>
      </c>
      <c r="D170" s="198" t="str">
        <f t="shared" si="38"/>
        <v>C</v>
      </c>
      <c r="E170" s="199">
        <v>44467.017361111109</v>
      </c>
      <c r="F170" s="200" t="s">
        <v>116</v>
      </c>
      <c r="G170" s="201">
        <v>152.06100000000001</v>
      </c>
      <c r="H170" s="201">
        <v>150.965</v>
      </c>
      <c r="I170" s="202">
        <f t="shared" si="39"/>
        <v>1.0960000000000036</v>
      </c>
      <c r="J170" s="201">
        <v>158.19999999999999</v>
      </c>
      <c r="K170" s="199">
        <v>44467.648611111108</v>
      </c>
      <c r="L170" s="201">
        <v>151.22999999999999</v>
      </c>
      <c r="M170" s="203">
        <f t="shared" si="40"/>
        <v>-0.83099999999999996</v>
      </c>
      <c r="N170" s="204">
        <f t="shared" si="41"/>
        <v>-0.76</v>
      </c>
      <c r="O170" s="205">
        <f t="shared" si="42"/>
        <v>0</v>
      </c>
      <c r="P170" s="206">
        <f t="shared" si="43"/>
        <v>0</v>
      </c>
      <c r="Q170" s="206">
        <f t="shared" si="44"/>
        <v>-0.76</v>
      </c>
      <c r="R1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246610</v>
      </c>
      <c r="T1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0" s="208">
        <f ca="1">IF(Tabla33610673[[#This Row],[Equity]]&lt;Tabla33610673[[#This Row],[Equity Peak]],(Tabla33610673[[#This Row],[Equity Peak]]-Tabla33610673[[#This Row],[Equity]])/Tabla33610673[[#This Row],[Equity Peak]],"")</f>
        <v>2.0222487087802939E-2</v>
      </c>
      <c r="V170" s="209">
        <f t="shared" si="45"/>
        <v>-0.76</v>
      </c>
      <c r="W170" s="209">
        <f t="shared" si="46"/>
        <v>0</v>
      </c>
      <c r="X170" s="209">
        <f t="shared" si="47"/>
        <v>0</v>
      </c>
      <c r="Y170" s="209">
        <f t="shared" si="48"/>
        <v>0</v>
      </c>
      <c r="Z170" s="209">
        <f t="shared" si="49"/>
        <v>0</v>
      </c>
      <c r="AA170" s="205">
        <f t="shared" si="50"/>
        <v>0</v>
      </c>
      <c r="AB170" s="209">
        <f t="shared" si="51"/>
        <v>0</v>
      </c>
      <c r="AC170" s="205">
        <f t="shared" si="52"/>
        <v>0</v>
      </c>
      <c r="AD170" s="210">
        <f t="shared" si="53"/>
        <v>0.63124999999854481</v>
      </c>
      <c r="AE170" s="210">
        <f t="shared" si="54"/>
        <v>0</v>
      </c>
      <c r="AF170" s="210">
        <f t="shared" si="55"/>
        <v>0.63124999999854481</v>
      </c>
      <c r="AG170" s="210">
        <f t="shared" si="56"/>
        <v>0</v>
      </c>
    </row>
    <row r="171" spans="2:33" ht="15" customHeight="1" x14ac:dyDescent="0.3">
      <c r="B171" s="196" t="s">
        <v>7</v>
      </c>
      <c r="C171" s="197" t="s">
        <v>15</v>
      </c>
      <c r="D171" s="198" t="str">
        <f t="shared" si="38"/>
        <v>C</v>
      </c>
      <c r="E171" s="199">
        <v>44449.5</v>
      </c>
      <c r="F171" s="200" t="s">
        <v>117</v>
      </c>
      <c r="G171" s="201">
        <v>1.8734299999999999</v>
      </c>
      <c r="H171" s="201">
        <v>1.8601700000000001</v>
      </c>
      <c r="I171" s="202">
        <f t="shared" si="39"/>
        <v>1.3259999999999827E-2</v>
      </c>
      <c r="J171" s="201">
        <v>1.9176200000000001</v>
      </c>
      <c r="K171" s="199">
        <v>44467.640277777777</v>
      </c>
      <c r="L171" s="201">
        <v>1.8733599999999999</v>
      </c>
      <c r="M171" s="203">
        <f t="shared" si="40"/>
        <v>-1E-4</v>
      </c>
      <c r="N171" s="204">
        <f t="shared" si="41"/>
        <v>-0.01</v>
      </c>
      <c r="O171" s="205">
        <f t="shared" si="42"/>
        <v>0</v>
      </c>
      <c r="P171" s="206">
        <f t="shared" si="43"/>
        <v>0</v>
      </c>
      <c r="Q171" s="206">
        <f t="shared" si="44"/>
        <v>-0.01</v>
      </c>
      <c r="R1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247370</v>
      </c>
      <c r="T1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1" s="208">
        <f ca="1">IF(Tabla33610673[[#This Row],[Equity]]&lt;Tabla33610673[[#This Row],[Equity Peak]],(Tabla33610673[[#This Row],[Equity Peak]]-Tabla33610673[[#This Row],[Equity]])/Tabla33610673[[#This Row],[Equity Peak]],"")</f>
        <v>1.7203019467620182E-2</v>
      </c>
      <c r="V171" s="209">
        <f t="shared" si="45"/>
        <v>-0.01</v>
      </c>
      <c r="W171" s="209">
        <f t="shared" si="46"/>
        <v>0</v>
      </c>
      <c r="X171" s="209">
        <f t="shared" si="47"/>
        <v>0</v>
      </c>
      <c r="Y171" s="209">
        <f t="shared" si="48"/>
        <v>0</v>
      </c>
      <c r="Z171" s="209">
        <f t="shared" si="49"/>
        <v>0</v>
      </c>
      <c r="AA171" s="205">
        <f t="shared" si="50"/>
        <v>0</v>
      </c>
      <c r="AB171" s="209">
        <f t="shared" si="51"/>
        <v>0</v>
      </c>
      <c r="AC171" s="205">
        <f t="shared" si="52"/>
        <v>0</v>
      </c>
      <c r="AD171" s="210">
        <f t="shared" si="53"/>
        <v>18.140277777776646</v>
      </c>
      <c r="AE171" s="210">
        <f t="shared" si="54"/>
        <v>0</v>
      </c>
      <c r="AF171" s="210">
        <f t="shared" si="55"/>
        <v>18.140277777776646</v>
      </c>
      <c r="AG171" s="210">
        <f t="shared" si="56"/>
        <v>0</v>
      </c>
    </row>
    <row r="172" spans="2:33" ht="15" customHeight="1" x14ac:dyDescent="0.3">
      <c r="B172" s="196" t="s">
        <v>7</v>
      </c>
      <c r="C172" s="197" t="s">
        <v>13</v>
      </c>
      <c r="D172" s="198" t="str">
        <f t="shared" si="38"/>
        <v>C</v>
      </c>
      <c r="E172" s="199">
        <v>44467.017361111109</v>
      </c>
      <c r="F172" s="200" t="s">
        <v>120</v>
      </c>
      <c r="G172" s="201">
        <v>0.85353999999999997</v>
      </c>
      <c r="H172" s="201">
        <v>0.85609999999999997</v>
      </c>
      <c r="I172" s="202">
        <f t="shared" si="39"/>
        <v>2.5600000000000067E-3</v>
      </c>
      <c r="J172" s="201">
        <v>0.84672000000000003</v>
      </c>
      <c r="K172" s="199">
        <v>44467.542361111111</v>
      </c>
      <c r="L172" s="201">
        <v>0.85609999999999997</v>
      </c>
      <c r="M172" s="203">
        <f t="shared" si="40"/>
        <v>-2.5999999999999999E-3</v>
      </c>
      <c r="N172" s="204">
        <f t="shared" si="41"/>
        <v>-1.02</v>
      </c>
      <c r="O172" s="205">
        <f t="shared" si="42"/>
        <v>0</v>
      </c>
      <c r="P172" s="206">
        <f t="shared" si="43"/>
        <v>0</v>
      </c>
      <c r="Q172" s="206">
        <f t="shared" si="44"/>
        <v>-1.02</v>
      </c>
      <c r="R1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247380</v>
      </c>
      <c r="T1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2" s="208">
        <f ca="1">IF(Tabla33610673[[#This Row],[Equity]]&lt;Tabla33610673[[#This Row],[Equity Peak]],(Tabla33610673[[#This Row],[Equity Peak]]-Tabla33610673[[#This Row],[Equity]])/Tabla33610673[[#This Row],[Equity Peak]],"")</f>
        <v>1.7163289630512515E-2</v>
      </c>
      <c r="V172" s="209">
        <f t="shared" si="45"/>
        <v>-1.02</v>
      </c>
      <c r="W172" s="209">
        <f t="shared" si="46"/>
        <v>0</v>
      </c>
      <c r="X172" s="209">
        <f t="shared" si="47"/>
        <v>0</v>
      </c>
      <c r="Y172" s="209">
        <f t="shared" si="48"/>
        <v>0</v>
      </c>
      <c r="Z172" s="209">
        <f t="shared" si="49"/>
        <v>0</v>
      </c>
      <c r="AA172" s="205">
        <f t="shared" si="50"/>
        <v>0</v>
      </c>
      <c r="AB172" s="209">
        <f t="shared" si="51"/>
        <v>0</v>
      </c>
      <c r="AC172" s="205">
        <f t="shared" si="52"/>
        <v>0</v>
      </c>
      <c r="AD172" s="210">
        <f t="shared" si="53"/>
        <v>0.52500000000145519</v>
      </c>
      <c r="AE172" s="210">
        <f t="shared" si="54"/>
        <v>0</v>
      </c>
      <c r="AF172" s="210">
        <f t="shared" si="55"/>
        <v>0.52500000000145519</v>
      </c>
      <c r="AG172" s="210">
        <f t="shared" si="56"/>
        <v>0</v>
      </c>
    </row>
    <row r="173" spans="2:33" ht="15" customHeight="1" x14ac:dyDescent="0.3">
      <c r="B173" s="196" t="s">
        <v>7</v>
      </c>
      <c r="C173" s="197" t="s">
        <v>13</v>
      </c>
      <c r="D173" s="198" t="str">
        <f t="shared" si="38"/>
        <v>C</v>
      </c>
      <c r="E173" s="199">
        <v>44466.333333333336</v>
      </c>
      <c r="F173" s="200" t="s">
        <v>121</v>
      </c>
      <c r="G173" s="201">
        <v>1.60968</v>
      </c>
      <c r="H173" s="201">
        <v>1.61643</v>
      </c>
      <c r="I173" s="202">
        <f t="shared" si="39"/>
        <v>6.7500000000000338E-3</v>
      </c>
      <c r="J173" s="201">
        <v>1.5376300000000001</v>
      </c>
      <c r="K173" s="199">
        <v>44467.536805555559</v>
      </c>
      <c r="L173" s="201">
        <v>1.60999</v>
      </c>
      <c r="M173" s="203">
        <f t="shared" si="40"/>
        <v>-2.9999999999999997E-4</v>
      </c>
      <c r="N173" s="204">
        <f t="shared" si="41"/>
        <v>-0.04</v>
      </c>
      <c r="O173" s="205">
        <f t="shared" si="42"/>
        <v>0</v>
      </c>
      <c r="P173" s="206">
        <f t="shared" si="43"/>
        <v>0</v>
      </c>
      <c r="Q173" s="206">
        <f t="shared" si="44"/>
        <v>-0.04</v>
      </c>
      <c r="R1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248400</v>
      </c>
      <c r="T1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3" s="208">
        <f ca="1">IF(Tabla33610673[[#This Row],[Equity]]&lt;Tabla33610673[[#This Row],[Equity Peak]],(Tabla33610673[[#This Row],[Equity Peak]]-Tabla33610673[[#This Row],[Equity]])/Tabla33610673[[#This Row],[Equity Peak]],"")</f>
        <v>1.3110846245530394E-2</v>
      </c>
      <c r="V173" s="209">
        <f t="shared" si="45"/>
        <v>-0.04</v>
      </c>
      <c r="W173" s="209">
        <f t="shared" si="46"/>
        <v>0</v>
      </c>
      <c r="X173" s="209">
        <f t="shared" si="47"/>
        <v>0</v>
      </c>
      <c r="Y173" s="209">
        <f t="shared" si="48"/>
        <v>0</v>
      </c>
      <c r="Z173" s="209">
        <f t="shared" si="49"/>
        <v>0</v>
      </c>
      <c r="AA173" s="205">
        <f t="shared" si="50"/>
        <v>0</v>
      </c>
      <c r="AB173" s="209">
        <f t="shared" si="51"/>
        <v>0</v>
      </c>
      <c r="AC173" s="205">
        <f t="shared" si="52"/>
        <v>0</v>
      </c>
      <c r="AD173" s="210">
        <f t="shared" si="53"/>
        <v>1.203472222223354</v>
      </c>
      <c r="AE173" s="210">
        <f t="shared" si="54"/>
        <v>0</v>
      </c>
      <c r="AF173" s="210">
        <f t="shared" si="55"/>
        <v>1.203472222223354</v>
      </c>
      <c r="AG173" s="210">
        <f t="shared" si="56"/>
        <v>0</v>
      </c>
    </row>
    <row r="174" spans="2:33" ht="15" customHeight="1" x14ac:dyDescent="0.3">
      <c r="B174" s="196" t="s">
        <v>5</v>
      </c>
      <c r="C174" s="197" t="s">
        <v>15</v>
      </c>
      <c r="D174" s="198" t="str">
        <f t="shared" si="38"/>
        <v>C</v>
      </c>
      <c r="E174" s="199">
        <v>44461.791666666664</v>
      </c>
      <c r="F174" s="200" t="s">
        <v>94</v>
      </c>
      <c r="G174" s="201">
        <v>7091.41</v>
      </c>
      <c r="H174" s="201">
        <v>6980.28</v>
      </c>
      <c r="I174" s="202">
        <f t="shared" si="39"/>
        <v>111.13000000000011</v>
      </c>
      <c r="J174" s="201">
        <v>7647.05</v>
      </c>
      <c r="K174" s="199">
        <v>44467.435416666667</v>
      </c>
      <c r="L174" s="201">
        <v>7037.81</v>
      </c>
      <c r="M174" s="203">
        <f t="shared" si="40"/>
        <v>-53.6</v>
      </c>
      <c r="N174" s="204">
        <f t="shared" si="41"/>
        <v>-0.48</v>
      </c>
      <c r="O174" s="205">
        <f t="shared" si="42"/>
        <v>0</v>
      </c>
      <c r="P174" s="206">
        <f t="shared" si="43"/>
        <v>0</v>
      </c>
      <c r="Q174" s="206">
        <f t="shared" si="44"/>
        <v>-0.48</v>
      </c>
      <c r="R1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248440</v>
      </c>
      <c r="T1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4" s="208">
        <f ca="1">IF(Tabla33610673[[#This Row],[Equity]]&lt;Tabla33610673[[#This Row],[Equity Peak]],(Tabla33610673[[#This Row],[Equity Peak]]-Tabla33610673[[#This Row],[Equity]])/Tabla33610673[[#This Row],[Equity Peak]],"")</f>
        <v>1.2951926897099722E-2</v>
      </c>
      <c r="V174" s="209">
        <f t="shared" si="45"/>
        <v>0</v>
      </c>
      <c r="W174" s="209">
        <f t="shared" si="46"/>
        <v>0</v>
      </c>
      <c r="X174" s="209">
        <f t="shared" si="47"/>
        <v>0</v>
      </c>
      <c r="Y174" s="209">
        <f t="shared" si="48"/>
        <v>0</v>
      </c>
      <c r="Z174" s="209">
        <f t="shared" si="49"/>
        <v>-0.48</v>
      </c>
      <c r="AA174" s="205">
        <f t="shared" si="50"/>
        <v>0</v>
      </c>
      <c r="AB174" s="209">
        <f t="shared" si="51"/>
        <v>0</v>
      </c>
      <c r="AC174" s="205">
        <f t="shared" si="52"/>
        <v>0</v>
      </c>
      <c r="AD174" s="210">
        <f t="shared" si="53"/>
        <v>5.6437500000029104</v>
      </c>
      <c r="AE174" s="210">
        <f t="shared" si="54"/>
        <v>0</v>
      </c>
      <c r="AF174" s="210">
        <f t="shared" si="55"/>
        <v>5.6437500000029104</v>
      </c>
      <c r="AG174" s="210">
        <f t="shared" si="56"/>
        <v>0</v>
      </c>
    </row>
    <row r="175" spans="2:33" ht="15" customHeight="1" x14ac:dyDescent="0.3">
      <c r="B175" s="196" t="s">
        <v>5</v>
      </c>
      <c r="C175" s="197" t="s">
        <v>15</v>
      </c>
      <c r="D175" s="198" t="str">
        <f t="shared" si="38"/>
        <v>C</v>
      </c>
      <c r="E175" s="199">
        <v>44466.208333333336</v>
      </c>
      <c r="F175" s="200" t="s">
        <v>95</v>
      </c>
      <c r="G175" s="201">
        <v>34972.69</v>
      </c>
      <c r="H175" s="201">
        <v>34773.9</v>
      </c>
      <c r="I175" s="202">
        <f t="shared" si="39"/>
        <v>198.79000000000087</v>
      </c>
      <c r="J175" s="201">
        <v>35767.839999999997</v>
      </c>
      <c r="K175" s="199">
        <v>44467.433333333334</v>
      </c>
      <c r="L175" s="201">
        <v>34773.9</v>
      </c>
      <c r="M175" s="203">
        <f t="shared" si="40"/>
        <v>-198.79</v>
      </c>
      <c r="N175" s="204">
        <f t="shared" si="41"/>
        <v>-1</v>
      </c>
      <c r="O175" s="205">
        <f t="shared" si="42"/>
        <v>0</v>
      </c>
      <c r="P175" s="206">
        <f t="shared" si="43"/>
        <v>0</v>
      </c>
      <c r="Q175" s="206">
        <f t="shared" si="44"/>
        <v>-1</v>
      </c>
      <c r="R1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248920</v>
      </c>
      <c r="T1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5" s="208">
        <f ca="1">IF(Tabla33610673[[#This Row],[Equity]]&lt;Tabla33610673[[#This Row],[Equity Peak]],(Tabla33610673[[#This Row],[Equity Peak]]-Tabla33610673[[#This Row],[Equity]])/Tabla33610673[[#This Row],[Equity Peak]],"")</f>
        <v>1.1044894715931664E-2</v>
      </c>
      <c r="V175" s="209">
        <f t="shared" si="45"/>
        <v>0</v>
      </c>
      <c r="W175" s="209">
        <f t="shared" si="46"/>
        <v>0</v>
      </c>
      <c r="X175" s="209">
        <f t="shared" si="47"/>
        <v>0</v>
      </c>
      <c r="Y175" s="209">
        <f t="shared" si="48"/>
        <v>0</v>
      </c>
      <c r="Z175" s="209">
        <f t="shared" si="49"/>
        <v>-1</v>
      </c>
      <c r="AA175" s="205">
        <f t="shared" si="50"/>
        <v>0</v>
      </c>
      <c r="AB175" s="209">
        <f t="shared" si="51"/>
        <v>0</v>
      </c>
      <c r="AC175" s="205">
        <f t="shared" si="52"/>
        <v>0</v>
      </c>
      <c r="AD175" s="210">
        <f t="shared" si="53"/>
        <v>1.2249999999985448</v>
      </c>
      <c r="AE175" s="210">
        <f t="shared" si="54"/>
        <v>0</v>
      </c>
      <c r="AF175" s="210">
        <f t="shared" si="55"/>
        <v>1.2249999999985448</v>
      </c>
      <c r="AG175" s="210">
        <f t="shared" si="56"/>
        <v>0</v>
      </c>
    </row>
    <row r="176" spans="2:33" ht="15" customHeight="1" x14ac:dyDescent="0.3">
      <c r="B176" s="196" t="s">
        <v>7</v>
      </c>
      <c r="C176" s="197" t="s">
        <v>15</v>
      </c>
      <c r="D176" s="198" t="str">
        <f t="shared" si="38"/>
        <v>C</v>
      </c>
      <c r="E176" s="199">
        <v>44463.666666666664</v>
      </c>
      <c r="F176" s="200" t="s">
        <v>121</v>
      </c>
      <c r="G176" s="201">
        <v>1.61683</v>
      </c>
      <c r="H176" s="201">
        <v>1.6096200000000001</v>
      </c>
      <c r="I176" s="202">
        <f t="shared" si="39"/>
        <v>7.2099999999999387E-3</v>
      </c>
      <c r="J176" s="201">
        <v>1.6937</v>
      </c>
      <c r="K176" s="199">
        <v>44466.17291666667</v>
      </c>
      <c r="L176" s="201">
        <v>1.6096200000000001</v>
      </c>
      <c r="M176" s="203">
        <f t="shared" si="40"/>
        <v>-7.1999999999999998E-3</v>
      </c>
      <c r="N176" s="204">
        <f t="shared" si="41"/>
        <v>-1</v>
      </c>
      <c r="O176" s="205">
        <f t="shared" si="42"/>
        <v>0</v>
      </c>
      <c r="P176" s="206">
        <f t="shared" si="43"/>
        <v>0</v>
      </c>
      <c r="Q176" s="206">
        <f t="shared" si="44"/>
        <v>-1</v>
      </c>
      <c r="R1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249920</v>
      </c>
      <c r="T1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6" s="208">
        <f ca="1">IF(Tabla33610673[[#This Row],[Equity]]&lt;Tabla33610673[[#This Row],[Equity Peak]],(Tabla33610673[[#This Row],[Equity Peak]]-Tabla33610673[[#This Row],[Equity]])/Tabla33610673[[#This Row],[Equity Peak]],"")</f>
        <v>7.0719110051648791E-3</v>
      </c>
      <c r="V176" s="209">
        <f t="shared" si="45"/>
        <v>-1</v>
      </c>
      <c r="W176" s="209">
        <f t="shared" si="46"/>
        <v>0</v>
      </c>
      <c r="X176" s="209">
        <f t="shared" si="47"/>
        <v>0</v>
      </c>
      <c r="Y176" s="209">
        <f t="shared" si="48"/>
        <v>0</v>
      </c>
      <c r="Z176" s="209">
        <f t="shared" si="49"/>
        <v>0</v>
      </c>
      <c r="AA176" s="205">
        <f t="shared" si="50"/>
        <v>0</v>
      </c>
      <c r="AB176" s="209">
        <f t="shared" si="51"/>
        <v>0</v>
      </c>
      <c r="AC176" s="205">
        <f t="shared" si="52"/>
        <v>0</v>
      </c>
      <c r="AD176" s="210">
        <f t="shared" si="53"/>
        <v>2.5062500000058208</v>
      </c>
      <c r="AE176" s="210">
        <f t="shared" si="54"/>
        <v>0</v>
      </c>
      <c r="AF176" s="210">
        <f t="shared" si="55"/>
        <v>2.5062500000058208</v>
      </c>
      <c r="AG176" s="210">
        <f t="shared" si="56"/>
        <v>0</v>
      </c>
    </row>
    <row r="177" spans="2:33" ht="15" customHeight="1" x14ac:dyDescent="0.3">
      <c r="B177" s="196" t="s">
        <v>7</v>
      </c>
      <c r="C177" s="197" t="s">
        <v>13</v>
      </c>
      <c r="D177" s="198" t="str">
        <f t="shared" si="38"/>
        <v>C</v>
      </c>
      <c r="E177" s="199">
        <v>44462.833333333336</v>
      </c>
      <c r="F177" s="200" t="s">
        <v>121</v>
      </c>
      <c r="G177" s="201">
        <v>1.60789</v>
      </c>
      <c r="H177" s="201">
        <v>1.6154900000000001</v>
      </c>
      <c r="I177" s="202">
        <f t="shared" si="39"/>
        <v>7.6000000000000512E-3</v>
      </c>
      <c r="J177" s="201">
        <v>1.5268299999999999</v>
      </c>
      <c r="K177" s="199">
        <v>44463.463194444441</v>
      </c>
      <c r="L177" s="201">
        <v>1.6137699999999999</v>
      </c>
      <c r="M177" s="203">
        <f t="shared" si="40"/>
        <v>-5.8999999999999999E-3</v>
      </c>
      <c r="N177" s="204">
        <f t="shared" si="41"/>
        <v>-0.78</v>
      </c>
      <c r="O177" s="205">
        <f t="shared" si="42"/>
        <v>0</v>
      </c>
      <c r="P177" s="206">
        <f t="shared" si="43"/>
        <v>0</v>
      </c>
      <c r="Q177" s="206">
        <f t="shared" si="44"/>
        <v>-0.78</v>
      </c>
      <c r="R1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250920</v>
      </c>
      <c r="T1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7" s="208">
        <f ca="1">IF(Tabla33610673[[#This Row],[Equity]]&lt;Tabla33610673[[#This Row],[Equity Peak]],(Tabla33610673[[#This Row],[Equity Peak]]-Tabla33610673[[#This Row],[Equity]])/Tabla33610673[[#This Row],[Equity Peak]],"")</f>
        <v>3.0989272943980932E-3</v>
      </c>
      <c r="V177" s="209">
        <f t="shared" si="45"/>
        <v>-0.78</v>
      </c>
      <c r="W177" s="209">
        <f t="shared" si="46"/>
        <v>0</v>
      </c>
      <c r="X177" s="209">
        <f t="shared" si="47"/>
        <v>0</v>
      </c>
      <c r="Y177" s="209">
        <f t="shared" si="48"/>
        <v>0</v>
      </c>
      <c r="Z177" s="209">
        <f t="shared" si="49"/>
        <v>0</v>
      </c>
      <c r="AA177" s="205">
        <f t="shared" si="50"/>
        <v>0</v>
      </c>
      <c r="AB177" s="209">
        <f t="shared" si="51"/>
        <v>0</v>
      </c>
      <c r="AC177" s="205">
        <f t="shared" si="52"/>
        <v>0</v>
      </c>
      <c r="AD177" s="210">
        <f t="shared" si="53"/>
        <v>0.62986111110512866</v>
      </c>
      <c r="AE177" s="210">
        <f t="shared" si="54"/>
        <v>0</v>
      </c>
      <c r="AF177" s="210">
        <f t="shared" si="55"/>
        <v>0.62986111110512866</v>
      </c>
      <c r="AG177" s="210">
        <f t="shared" si="56"/>
        <v>0</v>
      </c>
    </row>
    <row r="178" spans="2:33" ht="15" customHeight="1" x14ac:dyDescent="0.3">
      <c r="B178" s="196" t="s">
        <v>7</v>
      </c>
      <c r="C178" s="197" t="s">
        <v>13</v>
      </c>
      <c r="D178" s="198" t="str">
        <f t="shared" si="38"/>
        <v>C</v>
      </c>
      <c r="E178" s="199">
        <v>44456.333333333336</v>
      </c>
      <c r="F178" s="200" t="s">
        <v>115</v>
      </c>
      <c r="G178" s="201">
        <v>1.38066</v>
      </c>
      <c r="H178" s="201">
        <v>1.3874599999999999</v>
      </c>
      <c r="I178" s="202">
        <f t="shared" si="39"/>
        <v>6.7999999999999172E-3</v>
      </c>
      <c r="J178" s="201">
        <v>1.35347</v>
      </c>
      <c r="K178" s="199">
        <v>44462.714583333334</v>
      </c>
      <c r="L178" s="201">
        <v>1.37443</v>
      </c>
      <c r="M178" s="203">
        <f t="shared" si="40"/>
        <v>6.1999999999999998E-3</v>
      </c>
      <c r="N178" s="204">
        <f t="shared" si="41"/>
        <v>0.91</v>
      </c>
      <c r="O178" s="205">
        <f t="shared" si="42"/>
        <v>0</v>
      </c>
      <c r="P178" s="206">
        <f t="shared" si="43"/>
        <v>0.91</v>
      </c>
      <c r="Q178" s="206">
        <f t="shared" si="44"/>
        <v>0</v>
      </c>
      <c r="R1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251700</v>
      </c>
      <c r="T1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251700</v>
      </c>
      <c r="U17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78" s="209">
        <f t="shared" si="45"/>
        <v>0.91</v>
      </c>
      <c r="W178" s="209">
        <f t="shared" si="46"/>
        <v>0</v>
      </c>
      <c r="X178" s="209">
        <f t="shared" si="47"/>
        <v>0</v>
      </c>
      <c r="Y178" s="209">
        <f t="shared" si="48"/>
        <v>0</v>
      </c>
      <c r="Z178" s="209">
        <f t="shared" si="49"/>
        <v>0</v>
      </c>
      <c r="AA178" s="205">
        <f t="shared" si="50"/>
        <v>0</v>
      </c>
      <c r="AB178" s="209">
        <f t="shared" si="51"/>
        <v>0</v>
      </c>
      <c r="AC178" s="205">
        <f t="shared" si="52"/>
        <v>0</v>
      </c>
      <c r="AD178" s="210">
        <f t="shared" si="53"/>
        <v>6.3812499999985448</v>
      </c>
      <c r="AE178" s="210">
        <f t="shared" si="54"/>
        <v>6.3812499999985448</v>
      </c>
      <c r="AF178" s="210">
        <f t="shared" si="55"/>
        <v>0</v>
      </c>
      <c r="AG178" s="210">
        <f t="shared" si="56"/>
        <v>0</v>
      </c>
    </row>
    <row r="179" spans="2:33" ht="15" customHeight="1" x14ac:dyDescent="0.3">
      <c r="B179" s="196" t="s">
        <v>7</v>
      </c>
      <c r="C179" s="197" t="s">
        <v>13</v>
      </c>
      <c r="D179" s="198" t="str">
        <f t="shared" si="38"/>
        <v>C</v>
      </c>
      <c r="E179" s="199">
        <v>44455.333333333336</v>
      </c>
      <c r="F179" s="200" t="s">
        <v>116</v>
      </c>
      <c r="G179" s="201">
        <v>151.185</v>
      </c>
      <c r="H179" s="201">
        <v>152.251</v>
      </c>
      <c r="I179" s="202">
        <f t="shared" si="39"/>
        <v>1.0660000000000025</v>
      </c>
      <c r="J179" s="201">
        <v>145.214</v>
      </c>
      <c r="K179" s="199">
        <v>44462.506249999999</v>
      </c>
      <c r="L179" s="201">
        <v>150.41999999999999</v>
      </c>
      <c r="M179" s="203">
        <f t="shared" si="40"/>
        <v>0.76500000000000001</v>
      </c>
      <c r="N179" s="204">
        <f t="shared" si="41"/>
        <v>0.72</v>
      </c>
      <c r="O179" s="205">
        <f t="shared" si="42"/>
        <v>0</v>
      </c>
      <c r="P179" s="206">
        <f t="shared" si="43"/>
        <v>0.72</v>
      </c>
      <c r="Q179" s="206">
        <f t="shared" si="44"/>
        <v>0</v>
      </c>
      <c r="R1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250790</v>
      </c>
      <c r="T1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250790</v>
      </c>
      <c r="U17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79" s="209">
        <f t="shared" si="45"/>
        <v>0.72</v>
      </c>
      <c r="W179" s="209">
        <f t="shared" si="46"/>
        <v>0</v>
      </c>
      <c r="X179" s="209">
        <f t="shared" si="47"/>
        <v>0</v>
      </c>
      <c r="Y179" s="209">
        <f t="shared" si="48"/>
        <v>0</v>
      </c>
      <c r="Z179" s="209">
        <f t="shared" si="49"/>
        <v>0</v>
      </c>
      <c r="AA179" s="205">
        <f t="shared" si="50"/>
        <v>0</v>
      </c>
      <c r="AB179" s="209">
        <f t="shared" si="51"/>
        <v>0</v>
      </c>
      <c r="AC179" s="205">
        <f t="shared" si="52"/>
        <v>0</v>
      </c>
      <c r="AD179" s="210">
        <f t="shared" si="53"/>
        <v>7.1729166666627862</v>
      </c>
      <c r="AE179" s="210">
        <f t="shared" si="54"/>
        <v>7.1729166666627862</v>
      </c>
      <c r="AF179" s="210">
        <f t="shared" si="55"/>
        <v>0</v>
      </c>
      <c r="AG179" s="210">
        <f t="shared" si="56"/>
        <v>0</v>
      </c>
    </row>
    <row r="180" spans="2:33" ht="15" customHeight="1" x14ac:dyDescent="0.3">
      <c r="B180" s="196" t="s">
        <v>7</v>
      </c>
      <c r="C180" s="197" t="s">
        <v>13</v>
      </c>
      <c r="D180" s="198" t="str">
        <f t="shared" si="38"/>
        <v>C</v>
      </c>
      <c r="E180" s="199">
        <v>44455.666666666664</v>
      </c>
      <c r="F180" s="200" t="s">
        <v>118</v>
      </c>
      <c r="G180" s="201">
        <v>1.1755</v>
      </c>
      <c r="H180" s="201">
        <v>1.18106</v>
      </c>
      <c r="I180" s="202">
        <f t="shared" si="39"/>
        <v>5.5600000000000094E-3</v>
      </c>
      <c r="J180" s="201">
        <v>1.1398999999999999</v>
      </c>
      <c r="K180" s="199">
        <v>44462.474999999999</v>
      </c>
      <c r="L180" s="201">
        <v>1.17275</v>
      </c>
      <c r="M180" s="203">
        <f t="shared" si="40"/>
        <v>2.8E-3</v>
      </c>
      <c r="N180" s="204">
        <f t="shared" si="41"/>
        <v>0.5</v>
      </c>
      <c r="O180" s="205">
        <f t="shared" si="42"/>
        <v>0</v>
      </c>
      <c r="P180" s="206">
        <f t="shared" si="43"/>
        <v>0.5</v>
      </c>
      <c r="Q180" s="206">
        <f t="shared" si="44"/>
        <v>0</v>
      </c>
      <c r="R1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250070</v>
      </c>
      <c r="T1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250070</v>
      </c>
      <c r="U18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0" s="209">
        <f t="shared" si="45"/>
        <v>0.5</v>
      </c>
      <c r="W180" s="209">
        <f t="shared" si="46"/>
        <v>0</v>
      </c>
      <c r="X180" s="209">
        <f t="shared" si="47"/>
        <v>0</v>
      </c>
      <c r="Y180" s="209">
        <f t="shared" si="48"/>
        <v>0</v>
      </c>
      <c r="Z180" s="209">
        <f t="shared" si="49"/>
        <v>0</v>
      </c>
      <c r="AA180" s="205">
        <f t="shared" si="50"/>
        <v>0</v>
      </c>
      <c r="AB180" s="209">
        <f t="shared" si="51"/>
        <v>0</v>
      </c>
      <c r="AC180" s="205">
        <f t="shared" si="52"/>
        <v>0</v>
      </c>
      <c r="AD180" s="210">
        <f t="shared" si="53"/>
        <v>6.8083333333343035</v>
      </c>
      <c r="AE180" s="210">
        <f t="shared" si="54"/>
        <v>6.8083333333343035</v>
      </c>
      <c r="AF180" s="210">
        <f t="shared" si="55"/>
        <v>0</v>
      </c>
      <c r="AG180" s="210">
        <f t="shared" si="56"/>
        <v>0</v>
      </c>
    </row>
    <row r="181" spans="2:33" ht="15" customHeight="1" x14ac:dyDescent="0.3">
      <c r="B181" s="196" t="s">
        <v>7</v>
      </c>
      <c r="C181" s="197" t="s">
        <v>13</v>
      </c>
      <c r="D181" s="198" t="str">
        <f t="shared" si="38"/>
        <v>C</v>
      </c>
      <c r="E181" s="199">
        <v>44454.017361111109</v>
      </c>
      <c r="F181" s="200" t="s">
        <v>123</v>
      </c>
      <c r="G181" s="201">
        <v>80.266000000000005</v>
      </c>
      <c r="H181" s="201">
        <v>80.73</v>
      </c>
      <c r="I181" s="202">
        <f t="shared" si="39"/>
        <v>0.46399999999999864</v>
      </c>
      <c r="J181" s="201">
        <v>72.227999999999994</v>
      </c>
      <c r="K181" s="199">
        <v>44461.881249999999</v>
      </c>
      <c r="L181" s="201">
        <v>79.822999999999993</v>
      </c>
      <c r="M181" s="203">
        <f t="shared" si="40"/>
        <v>0.443</v>
      </c>
      <c r="N181" s="204">
        <f t="shared" si="41"/>
        <v>0.95</v>
      </c>
      <c r="O181" s="205">
        <f t="shared" si="42"/>
        <v>0</v>
      </c>
      <c r="P181" s="206">
        <f t="shared" si="43"/>
        <v>0.95</v>
      </c>
      <c r="Q181" s="206">
        <f t="shared" si="44"/>
        <v>0</v>
      </c>
      <c r="R1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249570</v>
      </c>
      <c r="T1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249570</v>
      </c>
      <c r="U18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1" s="209">
        <f t="shared" si="45"/>
        <v>0.95</v>
      </c>
      <c r="W181" s="209">
        <f t="shared" si="46"/>
        <v>0</v>
      </c>
      <c r="X181" s="209">
        <f t="shared" si="47"/>
        <v>0</v>
      </c>
      <c r="Y181" s="209">
        <f t="shared" si="48"/>
        <v>0</v>
      </c>
      <c r="Z181" s="209">
        <f t="shared" si="49"/>
        <v>0</v>
      </c>
      <c r="AA181" s="205">
        <f t="shared" si="50"/>
        <v>0</v>
      </c>
      <c r="AB181" s="209">
        <f t="shared" si="51"/>
        <v>0</v>
      </c>
      <c r="AC181" s="205">
        <f t="shared" si="52"/>
        <v>0</v>
      </c>
      <c r="AD181" s="210">
        <f t="shared" si="53"/>
        <v>7.8638888888890506</v>
      </c>
      <c r="AE181" s="210">
        <f t="shared" si="54"/>
        <v>7.8638888888890506</v>
      </c>
      <c r="AF181" s="210">
        <f t="shared" si="55"/>
        <v>0</v>
      </c>
      <c r="AG181" s="210">
        <f t="shared" si="56"/>
        <v>0</v>
      </c>
    </row>
    <row r="182" spans="2:33" ht="15" customHeight="1" x14ac:dyDescent="0.3">
      <c r="B182" s="196" t="s">
        <v>19</v>
      </c>
      <c r="C182" s="197" t="s">
        <v>13</v>
      </c>
      <c r="D182" s="198" t="str">
        <f t="shared" si="38"/>
        <v>C</v>
      </c>
      <c r="E182" s="199">
        <v>44454.875</v>
      </c>
      <c r="F182" s="200" t="s">
        <v>88</v>
      </c>
      <c r="G182" s="201">
        <v>1792.4</v>
      </c>
      <c r="H182" s="201">
        <v>1811.01</v>
      </c>
      <c r="I182" s="202">
        <f t="shared" si="39"/>
        <v>18.6099999999999</v>
      </c>
      <c r="J182" s="201">
        <v>1673.27</v>
      </c>
      <c r="K182" s="199">
        <v>44460.629166666666</v>
      </c>
      <c r="L182" s="201">
        <v>1769.73</v>
      </c>
      <c r="M182" s="203">
        <f t="shared" si="40"/>
        <v>22.67</v>
      </c>
      <c r="N182" s="204">
        <f t="shared" si="41"/>
        <v>1.22</v>
      </c>
      <c r="O182" s="205">
        <f t="shared" si="42"/>
        <v>0</v>
      </c>
      <c r="P182" s="206">
        <f t="shared" si="43"/>
        <v>1.22</v>
      </c>
      <c r="Q182" s="206">
        <f t="shared" si="44"/>
        <v>0</v>
      </c>
      <c r="R1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248620</v>
      </c>
      <c r="T1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248620</v>
      </c>
      <c r="U18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2" s="209">
        <f t="shared" si="45"/>
        <v>0</v>
      </c>
      <c r="W182" s="209">
        <f t="shared" si="46"/>
        <v>0</v>
      </c>
      <c r="X182" s="209">
        <f t="shared" si="47"/>
        <v>1.22</v>
      </c>
      <c r="Y182" s="209">
        <f t="shared" si="48"/>
        <v>0</v>
      </c>
      <c r="Z182" s="209">
        <f t="shared" si="49"/>
        <v>0</v>
      </c>
      <c r="AA182" s="205">
        <f t="shared" si="50"/>
        <v>0</v>
      </c>
      <c r="AB182" s="209">
        <f t="shared" si="51"/>
        <v>0</v>
      </c>
      <c r="AC182" s="205">
        <f t="shared" si="52"/>
        <v>0</v>
      </c>
      <c r="AD182" s="210">
        <f t="shared" si="53"/>
        <v>5.7541666666656965</v>
      </c>
      <c r="AE182" s="210">
        <f t="shared" si="54"/>
        <v>5.7541666666656965</v>
      </c>
      <c r="AF182" s="210">
        <f t="shared" si="55"/>
        <v>0</v>
      </c>
      <c r="AG182" s="210">
        <f t="shared" si="56"/>
        <v>0</v>
      </c>
    </row>
    <row r="183" spans="2:33" ht="15" customHeight="1" x14ac:dyDescent="0.3">
      <c r="B183" s="196" t="s">
        <v>19</v>
      </c>
      <c r="C183" s="197" t="s">
        <v>13</v>
      </c>
      <c r="D183" s="198" t="str">
        <f t="shared" si="38"/>
        <v>C</v>
      </c>
      <c r="E183" s="199">
        <v>44452.375</v>
      </c>
      <c r="F183" s="200" t="s">
        <v>89</v>
      </c>
      <c r="G183" s="201">
        <v>23.763999999999999</v>
      </c>
      <c r="H183" s="201">
        <v>24.231000000000002</v>
      </c>
      <c r="I183" s="202">
        <f t="shared" si="39"/>
        <v>0.4670000000000023</v>
      </c>
      <c r="J183" s="201">
        <v>21.524000000000001</v>
      </c>
      <c r="K183" s="199">
        <v>44460.563194444447</v>
      </c>
      <c r="L183" s="201">
        <v>22.617000000000001</v>
      </c>
      <c r="M183" s="203">
        <f t="shared" si="40"/>
        <v>1.147</v>
      </c>
      <c r="N183" s="204">
        <f t="shared" si="41"/>
        <v>2.46</v>
      </c>
      <c r="O183" s="205">
        <f t="shared" si="42"/>
        <v>0</v>
      </c>
      <c r="P183" s="206">
        <f t="shared" si="43"/>
        <v>2.46</v>
      </c>
      <c r="Q183" s="206">
        <f t="shared" si="44"/>
        <v>0</v>
      </c>
      <c r="R1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247400</v>
      </c>
      <c r="T1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247400</v>
      </c>
      <c r="U18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3" s="209">
        <f t="shared" si="45"/>
        <v>0</v>
      </c>
      <c r="W183" s="209">
        <f t="shared" si="46"/>
        <v>0</v>
      </c>
      <c r="X183" s="209">
        <f t="shared" si="47"/>
        <v>2.46</v>
      </c>
      <c r="Y183" s="209">
        <f t="shared" si="48"/>
        <v>0</v>
      </c>
      <c r="Z183" s="209">
        <f t="shared" si="49"/>
        <v>0</v>
      </c>
      <c r="AA183" s="205">
        <f t="shared" si="50"/>
        <v>0</v>
      </c>
      <c r="AB183" s="209">
        <f t="shared" si="51"/>
        <v>0</v>
      </c>
      <c r="AC183" s="205">
        <f t="shared" si="52"/>
        <v>0</v>
      </c>
      <c r="AD183" s="210">
        <f t="shared" si="53"/>
        <v>8.1881944444467081</v>
      </c>
      <c r="AE183" s="210">
        <f t="shared" si="54"/>
        <v>8.1881944444467081</v>
      </c>
      <c r="AF183" s="210">
        <f t="shared" si="55"/>
        <v>0</v>
      </c>
      <c r="AG183" s="210">
        <f t="shared" si="56"/>
        <v>0</v>
      </c>
    </row>
    <row r="184" spans="2:33" ht="15" customHeight="1" x14ac:dyDescent="0.3">
      <c r="B184" s="196" t="s">
        <v>5</v>
      </c>
      <c r="C184" s="197" t="s">
        <v>13</v>
      </c>
      <c r="D184" s="198" t="str">
        <f t="shared" si="38"/>
        <v>C</v>
      </c>
      <c r="E184" s="199">
        <v>44459.541666666664</v>
      </c>
      <c r="F184" s="200" t="s">
        <v>93</v>
      </c>
      <c r="G184" s="201">
        <v>4369.5</v>
      </c>
      <c r="H184" s="201">
        <v>4399.3500000000004</v>
      </c>
      <c r="I184" s="202">
        <f t="shared" si="39"/>
        <v>29.850000000000364</v>
      </c>
      <c r="J184" s="201">
        <v>4289.8999999999996</v>
      </c>
      <c r="K184" s="199">
        <v>44460.452777777777</v>
      </c>
      <c r="L184" s="201">
        <v>4399.3500000000004</v>
      </c>
      <c r="M184" s="203">
        <f t="shared" si="40"/>
        <v>-29.85</v>
      </c>
      <c r="N184" s="204">
        <f t="shared" si="41"/>
        <v>-1</v>
      </c>
      <c r="O184" s="205">
        <f t="shared" si="42"/>
        <v>0</v>
      </c>
      <c r="P184" s="206">
        <f t="shared" si="43"/>
        <v>0</v>
      </c>
      <c r="Q184" s="206">
        <f t="shared" si="44"/>
        <v>-1</v>
      </c>
      <c r="R1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244940</v>
      </c>
      <c r="T1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246270</v>
      </c>
      <c r="U184" s="208">
        <f ca="1">IF(Tabla33610673[[#This Row],[Equity]]&lt;Tabla33610673[[#This Row],[Equity Peak]],(Tabla33610673[[#This Row],[Equity Peak]]-Tabla33610673[[#This Row],[Equity]])/Tabla33610673[[#This Row],[Equity Peak]],"")</f>
        <v>5.4005766029154995E-3</v>
      </c>
      <c r="V184" s="209">
        <f t="shared" si="45"/>
        <v>0</v>
      </c>
      <c r="W184" s="209">
        <f t="shared" si="46"/>
        <v>0</v>
      </c>
      <c r="X184" s="209">
        <f t="shared" si="47"/>
        <v>0</v>
      </c>
      <c r="Y184" s="209">
        <f t="shared" si="48"/>
        <v>0</v>
      </c>
      <c r="Z184" s="209">
        <f t="shared" si="49"/>
        <v>-1</v>
      </c>
      <c r="AA184" s="205">
        <f t="shared" si="50"/>
        <v>0</v>
      </c>
      <c r="AB184" s="209">
        <f t="shared" si="51"/>
        <v>0</v>
      </c>
      <c r="AC184" s="205">
        <f t="shared" si="52"/>
        <v>0</v>
      </c>
      <c r="AD184" s="210">
        <f t="shared" si="53"/>
        <v>0.91111111111240461</v>
      </c>
      <c r="AE184" s="210">
        <f t="shared" si="54"/>
        <v>0</v>
      </c>
      <c r="AF184" s="210">
        <f t="shared" si="55"/>
        <v>0.91111111111240461</v>
      </c>
      <c r="AG184" s="210">
        <f t="shared" si="56"/>
        <v>0</v>
      </c>
    </row>
    <row r="185" spans="2:33" ht="15" customHeight="1" x14ac:dyDescent="0.3">
      <c r="B185" s="196" t="s">
        <v>7</v>
      </c>
      <c r="C185" s="197" t="s">
        <v>13</v>
      </c>
      <c r="D185" s="198" t="str">
        <f t="shared" si="38"/>
        <v>C</v>
      </c>
      <c r="E185" s="199">
        <v>44459.666666666664</v>
      </c>
      <c r="F185" s="200" t="s">
        <v>114</v>
      </c>
      <c r="G185" s="201">
        <v>109.498</v>
      </c>
      <c r="H185" s="201">
        <v>110.06100000000001</v>
      </c>
      <c r="I185" s="202">
        <f t="shared" si="39"/>
        <v>0.56300000000000239</v>
      </c>
      <c r="J185" s="201">
        <v>106.869</v>
      </c>
      <c r="K185" s="199">
        <v>44460.431944444441</v>
      </c>
      <c r="L185" s="201">
        <v>109.682</v>
      </c>
      <c r="M185" s="203">
        <f t="shared" si="40"/>
        <v>-0.184</v>
      </c>
      <c r="N185" s="204">
        <f t="shared" si="41"/>
        <v>-0.33</v>
      </c>
      <c r="O185" s="205">
        <f t="shared" si="42"/>
        <v>0</v>
      </c>
      <c r="P185" s="206">
        <f t="shared" si="43"/>
        <v>0</v>
      </c>
      <c r="Q185" s="206">
        <f t="shared" si="44"/>
        <v>-0.33</v>
      </c>
      <c r="R1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245940</v>
      </c>
      <c r="T1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246270</v>
      </c>
      <c r="U185" s="208">
        <f ca="1">IF(Tabla33610673[[#This Row],[Equity]]&lt;Tabla33610673[[#This Row],[Equity Peak]],(Tabla33610673[[#This Row],[Equity Peak]]-Tabla33610673[[#This Row],[Equity]])/Tabla33610673[[#This Row],[Equity Peak]],"")</f>
        <v>1.3399926909489586E-3</v>
      </c>
      <c r="V185" s="209">
        <f t="shared" si="45"/>
        <v>-0.33</v>
      </c>
      <c r="W185" s="209">
        <f t="shared" si="46"/>
        <v>0</v>
      </c>
      <c r="X185" s="209">
        <f t="shared" si="47"/>
        <v>0</v>
      </c>
      <c r="Y185" s="209">
        <f t="shared" si="48"/>
        <v>0</v>
      </c>
      <c r="Z185" s="209">
        <f t="shared" si="49"/>
        <v>0</v>
      </c>
      <c r="AA185" s="205">
        <f t="shared" si="50"/>
        <v>0</v>
      </c>
      <c r="AB185" s="209">
        <f t="shared" si="51"/>
        <v>0</v>
      </c>
      <c r="AC185" s="205">
        <f t="shared" si="52"/>
        <v>0</v>
      </c>
      <c r="AD185" s="210">
        <f t="shared" si="53"/>
        <v>0.76527777777664596</v>
      </c>
      <c r="AE185" s="210">
        <f t="shared" si="54"/>
        <v>0</v>
      </c>
      <c r="AF185" s="210">
        <f t="shared" si="55"/>
        <v>0.76527777777664596</v>
      </c>
      <c r="AG185" s="210">
        <f t="shared" si="56"/>
        <v>0</v>
      </c>
    </row>
    <row r="186" spans="2:33" ht="15" customHeight="1" x14ac:dyDescent="0.3">
      <c r="B186" s="196" t="s">
        <v>5</v>
      </c>
      <c r="C186" s="197" t="s">
        <v>13</v>
      </c>
      <c r="D186" s="198" t="str">
        <f t="shared" si="38"/>
        <v>C</v>
      </c>
      <c r="E186" s="199">
        <v>44459.041666666664</v>
      </c>
      <c r="F186" s="200" t="s">
        <v>95</v>
      </c>
      <c r="G186" s="201">
        <v>34508.129999999997</v>
      </c>
      <c r="H186" s="201">
        <v>34697.86</v>
      </c>
      <c r="I186" s="202">
        <f t="shared" si="39"/>
        <v>189.7300000000032</v>
      </c>
      <c r="J186" s="201">
        <v>33749.199999999997</v>
      </c>
      <c r="K186" s="199">
        <v>44459.839583333334</v>
      </c>
      <c r="L186" s="201">
        <v>33749.199999999997</v>
      </c>
      <c r="M186" s="203">
        <f t="shared" si="40"/>
        <v>758.93</v>
      </c>
      <c r="N186" s="204">
        <f t="shared" si="41"/>
        <v>4</v>
      </c>
      <c r="O186" s="205">
        <f t="shared" si="42"/>
        <v>0</v>
      </c>
      <c r="P186" s="206">
        <f t="shared" si="43"/>
        <v>4</v>
      </c>
      <c r="Q186" s="206">
        <f t="shared" si="44"/>
        <v>0</v>
      </c>
      <c r="R1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246270</v>
      </c>
      <c r="T1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246270</v>
      </c>
      <c r="U18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6" s="209">
        <f t="shared" si="45"/>
        <v>0</v>
      </c>
      <c r="W186" s="209">
        <f t="shared" si="46"/>
        <v>0</v>
      </c>
      <c r="X186" s="209">
        <f t="shared" si="47"/>
        <v>0</v>
      </c>
      <c r="Y186" s="209">
        <f t="shared" si="48"/>
        <v>0</v>
      </c>
      <c r="Z186" s="209">
        <f t="shared" si="49"/>
        <v>4</v>
      </c>
      <c r="AA186" s="205">
        <f t="shared" si="50"/>
        <v>0</v>
      </c>
      <c r="AB186" s="209">
        <f t="shared" si="51"/>
        <v>0</v>
      </c>
      <c r="AC186" s="205">
        <f t="shared" si="52"/>
        <v>0</v>
      </c>
      <c r="AD186" s="210">
        <f t="shared" si="53"/>
        <v>0.79791666667006211</v>
      </c>
      <c r="AE186" s="210">
        <f t="shared" si="54"/>
        <v>0.79791666667006211</v>
      </c>
      <c r="AF186" s="210">
        <f t="shared" si="55"/>
        <v>0</v>
      </c>
      <c r="AG186" s="210">
        <f t="shared" si="56"/>
        <v>0</v>
      </c>
    </row>
    <row r="187" spans="2:33" ht="15" customHeight="1" x14ac:dyDescent="0.3">
      <c r="B187" s="196" t="s">
        <v>7</v>
      </c>
      <c r="C187" s="197" t="s">
        <v>15</v>
      </c>
      <c r="D187" s="198" t="str">
        <f t="shared" si="38"/>
        <v>C</v>
      </c>
      <c r="E187" s="199">
        <v>44459.017361111109</v>
      </c>
      <c r="F187" s="200" t="s">
        <v>114</v>
      </c>
      <c r="G187" s="201">
        <v>109.822</v>
      </c>
      <c r="H187" s="201">
        <v>109.282</v>
      </c>
      <c r="I187" s="202">
        <f t="shared" si="39"/>
        <v>0.54000000000000625</v>
      </c>
      <c r="J187" s="201">
        <v>112.34099999999999</v>
      </c>
      <c r="K187" s="199">
        <v>44459.42291666667</v>
      </c>
      <c r="L187" s="201">
        <v>109.73699999999999</v>
      </c>
      <c r="M187" s="203">
        <f t="shared" si="40"/>
        <v>-8.5000000000000006E-2</v>
      </c>
      <c r="N187" s="204">
        <f t="shared" si="41"/>
        <v>-0.16</v>
      </c>
      <c r="O187" s="205">
        <f t="shared" si="42"/>
        <v>0</v>
      </c>
      <c r="P187" s="206">
        <f t="shared" si="43"/>
        <v>0</v>
      </c>
      <c r="Q187" s="206">
        <f t="shared" si="44"/>
        <v>-0.16</v>
      </c>
      <c r="R1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242270</v>
      </c>
      <c r="T1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87" s="208">
        <f ca="1">IF(Tabla33610673[[#This Row],[Equity]]&lt;Tabla33610673[[#This Row],[Equity Peak]],(Tabla33610673[[#This Row],[Equity Peak]]-Tabla33610673[[#This Row],[Equity]])/Tabla33610673[[#This Row],[Equity Peak]],"")</f>
        <v>5.8270753826582949E-3</v>
      </c>
      <c r="V187" s="209">
        <f t="shared" si="45"/>
        <v>-0.16</v>
      </c>
      <c r="W187" s="209">
        <f t="shared" si="46"/>
        <v>0</v>
      </c>
      <c r="X187" s="209">
        <f t="shared" si="47"/>
        <v>0</v>
      </c>
      <c r="Y187" s="209">
        <f t="shared" si="48"/>
        <v>0</v>
      </c>
      <c r="Z187" s="209">
        <f t="shared" si="49"/>
        <v>0</v>
      </c>
      <c r="AA187" s="205">
        <f t="shared" si="50"/>
        <v>0</v>
      </c>
      <c r="AB187" s="209">
        <f t="shared" si="51"/>
        <v>0</v>
      </c>
      <c r="AC187" s="205">
        <f t="shared" si="52"/>
        <v>0</v>
      </c>
      <c r="AD187" s="210">
        <f t="shared" si="53"/>
        <v>0.40555555556056788</v>
      </c>
      <c r="AE187" s="210">
        <f t="shared" si="54"/>
        <v>0</v>
      </c>
      <c r="AF187" s="210">
        <f t="shared" si="55"/>
        <v>0.40555555556056788</v>
      </c>
      <c r="AG187" s="210">
        <f t="shared" si="56"/>
        <v>0</v>
      </c>
    </row>
    <row r="188" spans="2:33" ht="15" customHeight="1" x14ac:dyDescent="0.3">
      <c r="B188" s="196" t="s">
        <v>84</v>
      </c>
      <c r="C188" s="197" t="s">
        <v>15</v>
      </c>
      <c r="D188" s="198" t="str">
        <f t="shared" si="38"/>
        <v>C</v>
      </c>
      <c r="E188" s="199">
        <v>44457.333333333336</v>
      </c>
      <c r="F188" s="200" t="s">
        <v>82</v>
      </c>
      <c r="G188" s="201">
        <v>3482.56</v>
      </c>
      <c r="H188" s="201">
        <v>3342.68</v>
      </c>
      <c r="I188" s="202">
        <f t="shared" si="39"/>
        <v>139.88000000000011</v>
      </c>
      <c r="J188" s="201">
        <v>6093.56</v>
      </c>
      <c r="K188" s="199">
        <v>44458.017361111109</v>
      </c>
      <c r="L188" s="201">
        <v>3391.75</v>
      </c>
      <c r="M188" s="203">
        <f t="shared" si="40"/>
        <v>-90.81</v>
      </c>
      <c r="N188" s="204">
        <f t="shared" si="41"/>
        <v>-0.65</v>
      </c>
      <c r="O188" s="205">
        <f t="shared" si="42"/>
        <v>0</v>
      </c>
      <c r="P188" s="206">
        <f t="shared" si="43"/>
        <v>0</v>
      </c>
      <c r="Q188" s="206">
        <f t="shared" si="44"/>
        <v>-0.65</v>
      </c>
      <c r="R1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242430</v>
      </c>
      <c r="T1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88" s="208">
        <f ca="1">IF(Tabla33610673[[#This Row],[Equity]]&lt;Tabla33610673[[#This Row],[Equity Peak]],(Tabla33610673[[#This Row],[Equity Peak]]-Tabla33610673[[#This Row],[Equity]])/Tabla33610673[[#This Row],[Equity Peak]],"")</f>
        <v>5.1705035085559525E-3</v>
      </c>
      <c r="V188" s="209">
        <f t="shared" si="45"/>
        <v>0</v>
      </c>
      <c r="W188" s="209">
        <f t="shared" si="46"/>
        <v>0</v>
      </c>
      <c r="X188" s="209">
        <f t="shared" si="47"/>
        <v>0</v>
      </c>
      <c r="Y188" s="209">
        <f t="shared" si="48"/>
        <v>0</v>
      </c>
      <c r="Z188" s="209">
        <f t="shared" si="49"/>
        <v>0</v>
      </c>
      <c r="AA188" s="205">
        <f t="shared" si="50"/>
        <v>0</v>
      </c>
      <c r="AB188" s="209">
        <f t="shared" si="51"/>
        <v>-0.65</v>
      </c>
      <c r="AC188" s="205">
        <f t="shared" si="52"/>
        <v>0</v>
      </c>
      <c r="AD188" s="210">
        <f t="shared" si="53"/>
        <v>0.68402777777373558</v>
      </c>
      <c r="AE188" s="210">
        <f t="shared" si="54"/>
        <v>0</v>
      </c>
      <c r="AF188" s="210">
        <f t="shared" si="55"/>
        <v>0.68402777777373558</v>
      </c>
      <c r="AG188" s="210">
        <f t="shared" si="56"/>
        <v>0</v>
      </c>
    </row>
    <row r="189" spans="2:33" ht="15" customHeight="1" x14ac:dyDescent="0.3">
      <c r="B189" s="196" t="s">
        <v>84</v>
      </c>
      <c r="C189" s="197" t="s">
        <v>13</v>
      </c>
      <c r="D189" s="198" t="str">
        <f t="shared" si="38"/>
        <v>C</v>
      </c>
      <c r="E189" s="199">
        <v>44457.166666666664</v>
      </c>
      <c r="F189" s="200" t="s">
        <v>82</v>
      </c>
      <c r="G189" s="201">
        <v>3409.3</v>
      </c>
      <c r="H189" s="201">
        <v>3546.41</v>
      </c>
      <c r="I189" s="202">
        <f t="shared" si="39"/>
        <v>137.10999999999967</v>
      </c>
      <c r="J189" s="201">
        <v>849.9</v>
      </c>
      <c r="K189" s="199">
        <v>44457.333333333336</v>
      </c>
      <c r="L189" s="201">
        <v>3482.56</v>
      </c>
      <c r="M189" s="203">
        <f t="shared" si="40"/>
        <v>-73.260000000000005</v>
      </c>
      <c r="N189" s="204">
        <f t="shared" si="41"/>
        <v>-0.53</v>
      </c>
      <c r="O189" s="205">
        <f t="shared" si="42"/>
        <v>0</v>
      </c>
      <c r="P189" s="206">
        <f t="shared" si="43"/>
        <v>0</v>
      </c>
      <c r="Q189" s="206">
        <f t="shared" si="44"/>
        <v>-0.53</v>
      </c>
      <c r="R1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243080</v>
      </c>
      <c r="T1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89" s="208">
        <f ca="1">IF(Tabla33610673[[#This Row],[Equity]]&lt;Tabla33610673[[#This Row],[Equity Peak]],(Tabla33610673[[#This Row],[Equity Peak]]-Tabla33610673[[#This Row],[Equity]])/Tabla33610673[[#This Row],[Equity Peak]],"")</f>
        <v>2.5031802700151832E-3</v>
      </c>
      <c r="V189" s="209">
        <f t="shared" si="45"/>
        <v>0</v>
      </c>
      <c r="W189" s="209">
        <f t="shared" si="46"/>
        <v>0</v>
      </c>
      <c r="X189" s="209">
        <f t="shared" si="47"/>
        <v>0</v>
      </c>
      <c r="Y189" s="209">
        <f t="shared" si="48"/>
        <v>0</v>
      </c>
      <c r="Z189" s="209">
        <f t="shared" si="49"/>
        <v>0</v>
      </c>
      <c r="AA189" s="205">
        <f t="shared" si="50"/>
        <v>0</v>
      </c>
      <c r="AB189" s="209">
        <f t="shared" si="51"/>
        <v>-0.53</v>
      </c>
      <c r="AC189" s="205">
        <f t="shared" si="52"/>
        <v>0</v>
      </c>
      <c r="AD189" s="210">
        <f t="shared" si="53"/>
        <v>0.16666666667151731</v>
      </c>
      <c r="AE189" s="210">
        <f t="shared" si="54"/>
        <v>0</v>
      </c>
      <c r="AF189" s="210">
        <f t="shared" si="55"/>
        <v>0.16666666667151731</v>
      </c>
      <c r="AG189" s="210">
        <f t="shared" si="56"/>
        <v>0</v>
      </c>
    </row>
    <row r="190" spans="2:33" ht="15" customHeight="1" x14ac:dyDescent="0.3">
      <c r="B190" s="196" t="s">
        <v>84</v>
      </c>
      <c r="C190" s="197" t="s">
        <v>15</v>
      </c>
      <c r="D190" s="198" t="str">
        <f t="shared" si="38"/>
        <v>C</v>
      </c>
      <c r="E190" s="199">
        <v>44454.5</v>
      </c>
      <c r="F190" s="200" t="s">
        <v>80</v>
      </c>
      <c r="G190" s="201">
        <v>47079</v>
      </c>
      <c r="H190" s="201">
        <v>44917.79</v>
      </c>
      <c r="I190" s="202">
        <f t="shared" si="39"/>
        <v>2161.2099999999991</v>
      </c>
      <c r="J190" s="201">
        <v>79497.210000000006</v>
      </c>
      <c r="K190" s="199">
        <v>44456.683333333334</v>
      </c>
      <c r="L190" s="201">
        <v>46966.32</v>
      </c>
      <c r="M190" s="203">
        <f t="shared" si="40"/>
        <v>-112.68</v>
      </c>
      <c r="N190" s="204">
        <f t="shared" si="41"/>
        <v>-0.05</v>
      </c>
      <c r="O190" s="205">
        <f t="shared" si="42"/>
        <v>0</v>
      </c>
      <c r="P190" s="206">
        <f t="shared" si="43"/>
        <v>0</v>
      </c>
      <c r="Q190" s="206">
        <f t="shared" si="44"/>
        <v>-0.05</v>
      </c>
      <c r="R1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243610</v>
      </c>
      <c r="T1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90" s="208">
        <f ca="1">IF(Tabla33610673[[#This Row],[Equity]]&lt;Tabla33610673[[#This Row],[Equity Peak]],(Tabla33610673[[#This Row],[Equity Peak]]-Tabla33610673[[#This Row],[Equity]])/Tabla33610673[[#This Row],[Equity Peak]],"")</f>
        <v>3.2828593705117157E-4</v>
      </c>
      <c r="V190" s="209">
        <f t="shared" si="45"/>
        <v>0</v>
      </c>
      <c r="W190" s="209">
        <f t="shared" si="46"/>
        <v>0</v>
      </c>
      <c r="X190" s="209">
        <f t="shared" si="47"/>
        <v>0</v>
      </c>
      <c r="Y190" s="209">
        <f t="shared" si="48"/>
        <v>0</v>
      </c>
      <c r="Z190" s="209">
        <f t="shared" si="49"/>
        <v>0</v>
      </c>
      <c r="AA190" s="205">
        <f t="shared" si="50"/>
        <v>0</v>
      </c>
      <c r="AB190" s="209">
        <f t="shared" si="51"/>
        <v>-0.05</v>
      </c>
      <c r="AC190" s="205">
        <f t="shared" si="52"/>
        <v>0</v>
      </c>
      <c r="AD190" s="210">
        <f t="shared" si="53"/>
        <v>2.1833333333343035</v>
      </c>
      <c r="AE190" s="210">
        <f t="shared" si="54"/>
        <v>0</v>
      </c>
      <c r="AF190" s="210">
        <f t="shared" si="55"/>
        <v>2.1833333333343035</v>
      </c>
      <c r="AG190" s="210">
        <f t="shared" si="56"/>
        <v>0</v>
      </c>
    </row>
    <row r="191" spans="2:33" ht="15" customHeight="1" x14ac:dyDescent="0.3">
      <c r="B191" s="196" t="s">
        <v>7</v>
      </c>
      <c r="C191" s="197" t="s">
        <v>13</v>
      </c>
      <c r="D191" s="198" t="str">
        <f t="shared" si="38"/>
        <v>C</v>
      </c>
      <c r="E191" s="199">
        <v>44454.017361111109</v>
      </c>
      <c r="F191" s="200" t="s">
        <v>119</v>
      </c>
      <c r="G191" s="201">
        <v>129.5</v>
      </c>
      <c r="H191" s="201">
        <v>130.07599999999999</v>
      </c>
      <c r="I191" s="202">
        <f t="shared" si="39"/>
        <v>0.57599999999999341</v>
      </c>
      <c r="J191" s="201">
        <v>127.197</v>
      </c>
      <c r="K191" s="199">
        <v>44456.200694444444</v>
      </c>
      <c r="L191" s="201">
        <v>129.24700000000001</v>
      </c>
      <c r="M191" s="203">
        <f t="shared" si="40"/>
        <v>0.253</v>
      </c>
      <c r="N191" s="204">
        <f t="shared" si="41"/>
        <v>0.44</v>
      </c>
      <c r="O191" s="205">
        <f t="shared" si="42"/>
        <v>0</v>
      </c>
      <c r="P191" s="206">
        <f t="shared" si="43"/>
        <v>0.44</v>
      </c>
      <c r="Q191" s="206">
        <f t="shared" si="44"/>
        <v>0</v>
      </c>
      <c r="R1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243660</v>
      </c>
      <c r="T1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91" s="208">
        <f ca="1">IF(Tabla33610673[[#This Row],[Equity]]&lt;Tabla33610673[[#This Row],[Equity Peak]],(Tabla33610673[[#This Row],[Equity Peak]]-Tabla33610673[[#This Row],[Equity]])/Tabla33610673[[#This Row],[Equity Peak]],"")</f>
        <v>1.2310722639418935E-4</v>
      </c>
      <c r="V191" s="209">
        <f t="shared" si="45"/>
        <v>0.44</v>
      </c>
      <c r="W191" s="209">
        <f t="shared" si="46"/>
        <v>0</v>
      </c>
      <c r="X191" s="209">
        <f t="shared" si="47"/>
        <v>0</v>
      </c>
      <c r="Y191" s="209">
        <f t="shared" si="48"/>
        <v>0</v>
      </c>
      <c r="Z191" s="209">
        <f t="shared" si="49"/>
        <v>0</v>
      </c>
      <c r="AA191" s="205">
        <f t="shared" si="50"/>
        <v>0</v>
      </c>
      <c r="AB191" s="209">
        <f t="shared" si="51"/>
        <v>0</v>
      </c>
      <c r="AC191" s="205">
        <f t="shared" si="52"/>
        <v>0</v>
      </c>
      <c r="AD191" s="210">
        <f t="shared" si="53"/>
        <v>2.1833333333343035</v>
      </c>
      <c r="AE191" s="210">
        <f t="shared" si="54"/>
        <v>2.1833333333343035</v>
      </c>
      <c r="AF191" s="210">
        <f t="shared" si="55"/>
        <v>0</v>
      </c>
      <c r="AG191" s="210">
        <f t="shared" si="56"/>
        <v>0</v>
      </c>
    </row>
    <row r="192" spans="2:33" ht="15" customHeight="1" x14ac:dyDescent="0.3">
      <c r="B192" s="196" t="s">
        <v>84</v>
      </c>
      <c r="C192" s="197" t="s">
        <v>15</v>
      </c>
      <c r="D192" s="198" t="str">
        <f t="shared" si="38"/>
        <v>C</v>
      </c>
      <c r="E192" s="199">
        <v>44454.833333333336</v>
      </c>
      <c r="F192" s="200" t="s">
        <v>82</v>
      </c>
      <c r="G192" s="201">
        <v>3512.01</v>
      </c>
      <c r="H192" s="201">
        <v>3370.85</v>
      </c>
      <c r="I192" s="202">
        <f t="shared" si="39"/>
        <v>141.16000000000031</v>
      </c>
      <c r="J192" s="201">
        <v>6147.01</v>
      </c>
      <c r="K192" s="199">
        <v>44455.994444444441</v>
      </c>
      <c r="L192" s="201">
        <v>3508.01</v>
      </c>
      <c r="M192" s="203">
        <f t="shared" si="40"/>
        <v>-4</v>
      </c>
      <c r="N192" s="204">
        <f t="shared" si="41"/>
        <v>-0.03</v>
      </c>
      <c r="O192" s="205">
        <f t="shared" si="42"/>
        <v>0</v>
      </c>
      <c r="P192" s="206">
        <f t="shared" si="43"/>
        <v>0</v>
      </c>
      <c r="Q192" s="206">
        <f t="shared" si="44"/>
        <v>-0.03</v>
      </c>
      <c r="R1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243220</v>
      </c>
      <c r="T1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92" s="208">
        <f ca="1">IF(Tabla33610673[[#This Row],[Equity]]&lt;Tabla33610673[[#This Row],[Equity Peak]],(Tabla33610673[[#This Row],[Equity Peak]]-Tabla33610673[[#This Row],[Equity]])/Tabla33610673[[#This Row],[Equity Peak]],"")</f>
        <v>1.9286798801756329E-3</v>
      </c>
      <c r="V192" s="209">
        <f t="shared" si="45"/>
        <v>0</v>
      </c>
      <c r="W192" s="209">
        <f t="shared" si="46"/>
        <v>0</v>
      </c>
      <c r="X192" s="209">
        <f t="shared" si="47"/>
        <v>0</v>
      </c>
      <c r="Y192" s="209">
        <f t="shared" si="48"/>
        <v>0</v>
      </c>
      <c r="Z192" s="209">
        <f t="shared" si="49"/>
        <v>0</v>
      </c>
      <c r="AA192" s="205">
        <f t="shared" si="50"/>
        <v>0</v>
      </c>
      <c r="AB192" s="209">
        <f t="shared" si="51"/>
        <v>-0.03</v>
      </c>
      <c r="AC192" s="205">
        <f t="shared" si="52"/>
        <v>0</v>
      </c>
      <c r="AD192" s="210">
        <f t="shared" si="53"/>
        <v>1.1611111111051287</v>
      </c>
      <c r="AE192" s="210">
        <f t="shared" si="54"/>
        <v>0</v>
      </c>
      <c r="AF192" s="210">
        <f t="shared" si="55"/>
        <v>1.1611111111051287</v>
      </c>
      <c r="AG192" s="210">
        <f t="shared" si="56"/>
        <v>0</v>
      </c>
    </row>
    <row r="193" spans="2:33" ht="15" customHeight="1" x14ac:dyDescent="0.3">
      <c r="B193" s="196" t="s">
        <v>7</v>
      </c>
      <c r="C193" s="197" t="s">
        <v>13</v>
      </c>
      <c r="D193" s="198" t="str">
        <f t="shared" si="38"/>
        <v>C</v>
      </c>
      <c r="E193" s="199">
        <v>44453.833333333336</v>
      </c>
      <c r="F193" s="200" t="s">
        <v>114</v>
      </c>
      <c r="G193" s="201">
        <v>109.631</v>
      </c>
      <c r="H193" s="201">
        <v>110.128</v>
      </c>
      <c r="I193" s="202">
        <f t="shared" si="39"/>
        <v>0.49699999999999989</v>
      </c>
      <c r="J193" s="201">
        <v>107.31</v>
      </c>
      <c r="K193" s="199">
        <v>44455.651388888888</v>
      </c>
      <c r="L193" s="201">
        <v>109.67100000000001</v>
      </c>
      <c r="M193" s="203">
        <f t="shared" si="40"/>
        <v>-0.04</v>
      </c>
      <c r="N193" s="204">
        <f t="shared" si="41"/>
        <v>-0.08</v>
      </c>
      <c r="O193" s="205">
        <f t="shared" si="42"/>
        <v>0</v>
      </c>
      <c r="P193" s="206">
        <f t="shared" si="43"/>
        <v>0</v>
      </c>
      <c r="Q193" s="206">
        <f t="shared" si="44"/>
        <v>-0.08</v>
      </c>
      <c r="R1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243250</v>
      </c>
      <c r="T1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93" s="208">
        <f ca="1">IF(Tabla33610673[[#This Row],[Equity]]&lt;Tabla33610673[[#This Row],[Equity Peak]],(Tabla33610673[[#This Row],[Equity Peak]]-Tabla33610673[[#This Row],[Equity]])/Tabla33610673[[#This Row],[Equity Peak]],"")</f>
        <v>1.8055726537814436E-3</v>
      </c>
      <c r="V193" s="209">
        <f t="shared" si="45"/>
        <v>-0.08</v>
      </c>
      <c r="W193" s="209">
        <f t="shared" si="46"/>
        <v>0</v>
      </c>
      <c r="X193" s="209">
        <f t="shared" si="47"/>
        <v>0</v>
      </c>
      <c r="Y193" s="209">
        <f t="shared" si="48"/>
        <v>0</v>
      </c>
      <c r="Z193" s="209">
        <f t="shared" si="49"/>
        <v>0</v>
      </c>
      <c r="AA193" s="205">
        <f t="shared" si="50"/>
        <v>0</v>
      </c>
      <c r="AB193" s="209">
        <f t="shared" si="51"/>
        <v>0</v>
      </c>
      <c r="AC193" s="205">
        <f t="shared" si="52"/>
        <v>0</v>
      </c>
      <c r="AD193" s="210">
        <f t="shared" si="53"/>
        <v>1.8180555555518367</v>
      </c>
      <c r="AE193" s="210">
        <f t="shared" si="54"/>
        <v>0</v>
      </c>
      <c r="AF193" s="210">
        <f t="shared" si="55"/>
        <v>1.8180555555518367</v>
      </c>
      <c r="AG193" s="210">
        <f t="shared" si="56"/>
        <v>0</v>
      </c>
    </row>
    <row r="194" spans="2:33" ht="15" customHeight="1" x14ac:dyDescent="0.3">
      <c r="B194" s="196" t="s">
        <v>7</v>
      </c>
      <c r="C194" s="197" t="s">
        <v>15</v>
      </c>
      <c r="D194" s="198" t="str">
        <f t="shared" si="38"/>
        <v>C</v>
      </c>
      <c r="E194" s="199">
        <v>44453.5</v>
      </c>
      <c r="F194" s="200" t="s">
        <v>121</v>
      </c>
      <c r="G194" s="201">
        <v>1.6100099999999999</v>
      </c>
      <c r="H194" s="201">
        <v>1.6030500000000001</v>
      </c>
      <c r="I194" s="202">
        <f t="shared" si="39"/>
        <v>6.9599999999998552E-3</v>
      </c>
      <c r="J194" s="201">
        <v>1.6841999999999999</v>
      </c>
      <c r="K194" s="199">
        <v>44455.64166666667</v>
      </c>
      <c r="L194" s="201">
        <v>1.60748</v>
      </c>
      <c r="M194" s="203">
        <f t="shared" si="40"/>
        <v>-2.5000000000000001E-3</v>
      </c>
      <c r="N194" s="204">
        <f t="shared" si="41"/>
        <v>-0.36</v>
      </c>
      <c r="O194" s="205">
        <f t="shared" si="42"/>
        <v>0</v>
      </c>
      <c r="P194" s="206">
        <f t="shared" si="43"/>
        <v>0</v>
      </c>
      <c r="Q194" s="206">
        <f t="shared" si="44"/>
        <v>-0.36</v>
      </c>
      <c r="R1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243330</v>
      </c>
      <c r="T1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94" s="208">
        <f ca="1">IF(Tabla33610673[[#This Row],[Equity]]&lt;Tabla33610673[[#This Row],[Equity Peak]],(Tabla33610673[[#This Row],[Equity Peak]]-Tabla33610673[[#This Row],[Equity]])/Tabla33610673[[#This Row],[Equity Peak]],"")</f>
        <v>1.4772867167302721E-3</v>
      </c>
      <c r="V194" s="209">
        <f t="shared" si="45"/>
        <v>-0.36</v>
      </c>
      <c r="W194" s="209">
        <f t="shared" si="46"/>
        <v>0</v>
      </c>
      <c r="X194" s="209">
        <f t="shared" si="47"/>
        <v>0</v>
      </c>
      <c r="Y194" s="209">
        <f t="shared" si="48"/>
        <v>0</v>
      </c>
      <c r="Z194" s="209">
        <f t="shared" si="49"/>
        <v>0</v>
      </c>
      <c r="AA194" s="205">
        <f t="shared" si="50"/>
        <v>0</v>
      </c>
      <c r="AB194" s="209">
        <f t="shared" si="51"/>
        <v>0</v>
      </c>
      <c r="AC194" s="205">
        <f t="shared" si="52"/>
        <v>0</v>
      </c>
      <c r="AD194" s="210">
        <f t="shared" si="53"/>
        <v>2.1416666666700621</v>
      </c>
      <c r="AE194" s="210">
        <f t="shared" si="54"/>
        <v>0</v>
      </c>
      <c r="AF194" s="210">
        <f t="shared" si="55"/>
        <v>2.1416666666700621</v>
      </c>
      <c r="AG194" s="210">
        <f t="shared" si="56"/>
        <v>0</v>
      </c>
    </row>
    <row r="195" spans="2:33" ht="15" customHeight="1" x14ac:dyDescent="0.3">
      <c r="B195" s="196" t="s">
        <v>84</v>
      </c>
      <c r="C195" s="197" t="s">
        <v>15</v>
      </c>
      <c r="D195" s="198" t="str">
        <f t="shared" si="38"/>
        <v>C</v>
      </c>
      <c r="E195" s="199">
        <v>44400.333333333336</v>
      </c>
      <c r="F195" s="200" t="s">
        <v>82</v>
      </c>
      <c r="G195" s="201">
        <v>2077.56</v>
      </c>
      <c r="H195" s="201">
        <v>1978.91</v>
      </c>
      <c r="I195" s="202">
        <f t="shared" si="39"/>
        <v>98.649999999999864</v>
      </c>
      <c r="J195" s="201">
        <v>3918.96</v>
      </c>
      <c r="K195" s="199">
        <v>44454.833333333336</v>
      </c>
      <c r="L195" s="201">
        <v>3512.01</v>
      </c>
      <c r="M195" s="203">
        <f t="shared" si="40"/>
        <v>1434.45</v>
      </c>
      <c r="N195" s="204">
        <f t="shared" si="41"/>
        <v>14.54</v>
      </c>
      <c r="O195" s="205">
        <f t="shared" si="42"/>
        <v>0</v>
      </c>
      <c r="P195" s="206">
        <f t="shared" si="43"/>
        <v>14.54</v>
      </c>
      <c r="Q195" s="206">
        <f t="shared" si="44"/>
        <v>0</v>
      </c>
      <c r="R1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243690</v>
      </c>
      <c r="T1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243690</v>
      </c>
      <c r="U19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5" s="209">
        <f t="shared" si="45"/>
        <v>0</v>
      </c>
      <c r="W195" s="209">
        <f t="shared" si="46"/>
        <v>0</v>
      </c>
      <c r="X195" s="209">
        <f t="shared" si="47"/>
        <v>0</v>
      </c>
      <c r="Y195" s="209">
        <f t="shared" si="48"/>
        <v>0</v>
      </c>
      <c r="Z195" s="209">
        <f t="shared" si="49"/>
        <v>0</v>
      </c>
      <c r="AA195" s="205">
        <f t="shared" si="50"/>
        <v>0</v>
      </c>
      <c r="AB195" s="209">
        <f t="shared" si="51"/>
        <v>14.54</v>
      </c>
      <c r="AC195" s="205">
        <f t="shared" si="52"/>
        <v>0</v>
      </c>
      <c r="AD195" s="210">
        <f t="shared" si="53"/>
        <v>54.5</v>
      </c>
      <c r="AE195" s="210">
        <f t="shared" si="54"/>
        <v>54.5</v>
      </c>
      <c r="AF195" s="210">
        <f t="shared" si="55"/>
        <v>0</v>
      </c>
      <c r="AG195" s="210">
        <f t="shared" si="56"/>
        <v>0</v>
      </c>
    </row>
    <row r="196" spans="2:33" ht="15" customHeight="1" x14ac:dyDescent="0.3">
      <c r="B196" s="196" t="s">
        <v>7</v>
      </c>
      <c r="C196" s="197" t="s">
        <v>15</v>
      </c>
      <c r="D196" s="198" t="str">
        <f t="shared" si="38"/>
        <v>C</v>
      </c>
      <c r="E196" s="199">
        <v>44453.166666666664</v>
      </c>
      <c r="F196" s="200" t="s">
        <v>119</v>
      </c>
      <c r="G196" s="201">
        <v>129.94800000000001</v>
      </c>
      <c r="H196" s="201">
        <v>129.41800000000001</v>
      </c>
      <c r="I196" s="202">
        <f t="shared" si="39"/>
        <v>0.53000000000000114</v>
      </c>
      <c r="J196" s="201">
        <v>132.06700000000001</v>
      </c>
      <c r="K196" s="199">
        <v>44453.838194444441</v>
      </c>
      <c r="L196" s="201">
        <v>129.57599999999999</v>
      </c>
      <c r="M196" s="203">
        <f t="shared" si="40"/>
        <v>-0.372</v>
      </c>
      <c r="N196" s="204">
        <f t="shared" si="41"/>
        <v>-0.7</v>
      </c>
      <c r="O196" s="205">
        <f t="shared" si="42"/>
        <v>0</v>
      </c>
      <c r="P196" s="206">
        <f t="shared" si="43"/>
        <v>0</v>
      </c>
      <c r="Q196" s="206">
        <f t="shared" si="44"/>
        <v>-0.7</v>
      </c>
      <c r="R1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229150</v>
      </c>
      <c r="T1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196" s="208">
        <f ca="1">IF(Tabla33610673[[#This Row],[Equity]]&lt;Tabla33610673[[#This Row],[Equity Peak]],(Tabla33610673[[#This Row],[Equity Peak]]-Tabla33610673[[#This Row],[Equity]])/Tabla33610673[[#This Row],[Equity Peak]],"")</f>
        <v>1.6396960982100698E-2</v>
      </c>
      <c r="V196" s="209">
        <f t="shared" si="45"/>
        <v>-0.7</v>
      </c>
      <c r="W196" s="209">
        <f t="shared" si="46"/>
        <v>0</v>
      </c>
      <c r="X196" s="209">
        <f t="shared" si="47"/>
        <v>0</v>
      </c>
      <c r="Y196" s="209">
        <f t="shared" si="48"/>
        <v>0</v>
      </c>
      <c r="Z196" s="209">
        <f t="shared" si="49"/>
        <v>0</v>
      </c>
      <c r="AA196" s="205">
        <f t="shared" si="50"/>
        <v>0</v>
      </c>
      <c r="AB196" s="209">
        <f t="shared" si="51"/>
        <v>0</v>
      </c>
      <c r="AC196" s="205">
        <f t="shared" si="52"/>
        <v>0</v>
      </c>
      <c r="AD196" s="210">
        <f t="shared" si="53"/>
        <v>0.67152777777664596</v>
      </c>
      <c r="AE196" s="210">
        <f t="shared" si="54"/>
        <v>0</v>
      </c>
      <c r="AF196" s="210">
        <f t="shared" si="55"/>
        <v>0.67152777777664596</v>
      </c>
      <c r="AG196" s="210">
        <f t="shared" si="56"/>
        <v>0</v>
      </c>
    </row>
    <row r="197" spans="2:33" ht="15" customHeight="1" x14ac:dyDescent="0.3">
      <c r="B197" s="196" t="s">
        <v>19</v>
      </c>
      <c r="C197" s="197" t="s">
        <v>13</v>
      </c>
      <c r="D197" s="198" t="str">
        <f t="shared" si="38"/>
        <v>C</v>
      </c>
      <c r="E197" s="199">
        <v>44446.875</v>
      </c>
      <c r="F197" s="200" t="s">
        <v>88</v>
      </c>
      <c r="G197" s="201">
        <v>1796.53</v>
      </c>
      <c r="H197" s="201">
        <v>1815.18</v>
      </c>
      <c r="I197" s="202">
        <f t="shared" si="39"/>
        <v>18.650000000000091</v>
      </c>
      <c r="J197" s="201">
        <v>1677.18</v>
      </c>
      <c r="K197" s="199">
        <v>44453.734027777777</v>
      </c>
      <c r="L197" s="201">
        <v>1804.17</v>
      </c>
      <c r="M197" s="203">
        <f t="shared" si="40"/>
        <v>-7.64</v>
      </c>
      <c r="N197" s="204">
        <f t="shared" si="41"/>
        <v>-0.41</v>
      </c>
      <c r="O197" s="205">
        <f t="shared" si="42"/>
        <v>0</v>
      </c>
      <c r="P197" s="206">
        <f t="shared" si="43"/>
        <v>0</v>
      </c>
      <c r="Q197" s="206">
        <f t="shared" si="44"/>
        <v>-0.41</v>
      </c>
      <c r="R1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229850</v>
      </c>
      <c r="T1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197" s="208">
        <f ca="1">IF(Tabla33610673[[#This Row],[Equity]]&lt;Tabla33610673[[#This Row],[Equity Peak]],(Tabla33610673[[#This Row],[Equity Peak]]-Tabla33610673[[#This Row],[Equity]])/Tabla33610673[[#This Row],[Equity Peak]],"")</f>
        <v>1.3392282268103189E-2</v>
      </c>
      <c r="V197" s="209">
        <f t="shared" si="45"/>
        <v>0</v>
      </c>
      <c r="W197" s="209">
        <f t="shared" si="46"/>
        <v>0</v>
      </c>
      <c r="X197" s="209">
        <f t="shared" si="47"/>
        <v>-0.41</v>
      </c>
      <c r="Y197" s="209">
        <f t="shared" si="48"/>
        <v>0</v>
      </c>
      <c r="Z197" s="209">
        <f t="shared" si="49"/>
        <v>0</v>
      </c>
      <c r="AA197" s="205">
        <f t="shared" si="50"/>
        <v>0</v>
      </c>
      <c r="AB197" s="209">
        <f t="shared" si="51"/>
        <v>0</v>
      </c>
      <c r="AC197" s="205">
        <f t="shared" si="52"/>
        <v>0</v>
      </c>
      <c r="AD197" s="210">
        <f t="shared" si="53"/>
        <v>6.859027777776646</v>
      </c>
      <c r="AE197" s="210">
        <f t="shared" si="54"/>
        <v>0</v>
      </c>
      <c r="AF197" s="210">
        <f t="shared" si="55"/>
        <v>6.859027777776646</v>
      </c>
      <c r="AG197" s="210">
        <f t="shared" si="56"/>
        <v>0</v>
      </c>
    </row>
    <row r="198" spans="2:33" ht="15" customHeight="1" x14ac:dyDescent="0.3">
      <c r="B198" s="196" t="s">
        <v>7</v>
      </c>
      <c r="C198" s="197" t="s">
        <v>15</v>
      </c>
      <c r="D198" s="198" t="str">
        <f t="shared" si="38"/>
        <v>C</v>
      </c>
      <c r="E198" s="199">
        <v>44441.666666666664</v>
      </c>
      <c r="F198" s="200" t="s">
        <v>116</v>
      </c>
      <c r="G198" s="201">
        <v>151.69200000000001</v>
      </c>
      <c r="H198" s="201">
        <v>151.00299999999999</v>
      </c>
      <c r="I198" s="202">
        <f t="shared" si="39"/>
        <v>0.68900000000002137</v>
      </c>
      <c r="J198" s="201">
        <v>155.55000000000001</v>
      </c>
      <c r="K198" s="199">
        <v>44453.729861111111</v>
      </c>
      <c r="L198" s="201">
        <v>152.04599999999999</v>
      </c>
      <c r="M198" s="203">
        <f t="shared" si="40"/>
        <v>0.35399999999999998</v>
      </c>
      <c r="N198" s="204">
        <f t="shared" si="41"/>
        <v>0.51</v>
      </c>
      <c r="O198" s="205">
        <f t="shared" si="42"/>
        <v>0</v>
      </c>
      <c r="P198" s="206">
        <f t="shared" si="43"/>
        <v>0.51</v>
      </c>
      <c r="Q198" s="206">
        <f t="shared" si="44"/>
        <v>0</v>
      </c>
      <c r="R1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230260</v>
      </c>
      <c r="T1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198" s="208">
        <f ca="1">IF(Tabla33610673[[#This Row],[Equity]]&lt;Tabla33610673[[#This Row],[Equity Peak]],(Tabla33610673[[#This Row],[Equity Peak]]-Tabla33610673[[#This Row],[Equity]])/Tabla33610673[[#This Row],[Equity Peak]],"")</f>
        <v>1.1632399021333218E-2</v>
      </c>
      <c r="V198" s="209">
        <f t="shared" si="45"/>
        <v>0.51</v>
      </c>
      <c r="W198" s="209">
        <f t="shared" si="46"/>
        <v>0</v>
      </c>
      <c r="X198" s="209">
        <f t="shared" si="47"/>
        <v>0</v>
      </c>
      <c r="Y198" s="209">
        <f t="shared" si="48"/>
        <v>0</v>
      </c>
      <c r="Z198" s="209">
        <f t="shared" si="49"/>
        <v>0</v>
      </c>
      <c r="AA198" s="205">
        <f t="shared" si="50"/>
        <v>0</v>
      </c>
      <c r="AB198" s="209">
        <f t="shared" si="51"/>
        <v>0</v>
      </c>
      <c r="AC198" s="205">
        <f t="shared" si="52"/>
        <v>0</v>
      </c>
      <c r="AD198" s="210">
        <f t="shared" si="53"/>
        <v>12.063194444446708</v>
      </c>
      <c r="AE198" s="210">
        <f t="shared" si="54"/>
        <v>12.063194444446708</v>
      </c>
      <c r="AF198" s="210">
        <f t="shared" si="55"/>
        <v>0</v>
      </c>
      <c r="AG198" s="210">
        <f t="shared" si="56"/>
        <v>0</v>
      </c>
    </row>
    <row r="199" spans="2:33" ht="15" customHeight="1" x14ac:dyDescent="0.3">
      <c r="B199" s="196" t="s">
        <v>7</v>
      </c>
      <c r="C199" s="197" t="s">
        <v>15</v>
      </c>
      <c r="D199" s="198" t="str">
        <f t="shared" si="38"/>
        <v>C</v>
      </c>
      <c r="E199" s="199">
        <v>44452.5</v>
      </c>
      <c r="F199" s="200" t="s">
        <v>114</v>
      </c>
      <c r="G199" s="201">
        <v>110.117</v>
      </c>
      <c r="H199" s="201">
        <v>109.651</v>
      </c>
      <c r="I199" s="202">
        <f t="shared" si="39"/>
        <v>0.46600000000000819</v>
      </c>
      <c r="J199" s="201">
        <v>112.29300000000001</v>
      </c>
      <c r="K199" s="199">
        <v>44453.662499999999</v>
      </c>
      <c r="L199" s="201">
        <v>109.883</v>
      </c>
      <c r="M199" s="203">
        <f t="shared" si="40"/>
        <v>-0.23400000000000001</v>
      </c>
      <c r="N199" s="204">
        <f t="shared" si="41"/>
        <v>-0.5</v>
      </c>
      <c r="O199" s="205">
        <f t="shared" si="42"/>
        <v>0</v>
      </c>
      <c r="P199" s="206">
        <f t="shared" si="43"/>
        <v>0</v>
      </c>
      <c r="Q199" s="206">
        <f t="shared" si="44"/>
        <v>-0.5</v>
      </c>
      <c r="R1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229750</v>
      </c>
      <c r="T1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199" s="208">
        <f ca="1">IF(Tabla33610673[[#This Row],[Equity]]&lt;Tabla33610673[[#This Row],[Equity Peak]],(Tabla33610673[[#This Row],[Equity Peak]]-Tabla33610673[[#This Row],[Equity]])/Tabla33610673[[#This Row],[Equity Peak]],"")</f>
        <v>1.3821522084388548E-2</v>
      </c>
      <c r="V199" s="209">
        <f t="shared" si="45"/>
        <v>-0.5</v>
      </c>
      <c r="W199" s="209">
        <f t="shared" si="46"/>
        <v>0</v>
      </c>
      <c r="X199" s="209">
        <f t="shared" si="47"/>
        <v>0</v>
      </c>
      <c r="Y199" s="209">
        <f t="shared" si="48"/>
        <v>0</v>
      </c>
      <c r="Z199" s="209">
        <f t="shared" si="49"/>
        <v>0</v>
      </c>
      <c r="AA199" s="205">
        <f t="shared" si="50"/>
        <v>0</v>
      </c>
      <c r="AB199" s="209">
        <f t="shared" si="51"/>
        <v>0</v>
      </c>
      <c r="AC199" s="205">
        <f t="shared" si="52"/>
        <v>0</v>
      </c>
      <c r="AD199" s="210">
        <f t="shared" si="53"/>
        <v>1.1624999999985448</v>
      </c>
      <c r="AE199" s="210">
        <f t="shared" si="54"/>
        <v>0</v>
      </c>
      <c r="AF199" s="210">
        <f t="shared" si="55"/>
        <v>1.1624999999985448</v>
      </c>
      <c r="AG199" s="210">
        <f t="shared" si="56"/>
        <v>0</v>
      </c>
    </row>
    <row r="200" spans="2:33" ht="15" customHeight="1" x14ac:dyDescent="0.3">
      <c r="B200" s="196" t="s">
        <v>7</v>
      </c>
      <c r="C200" s="197" t="s">
        <v>13</v>
      </c>
      <c r="D200" s="198" t="str">
        <f t="shared" si="38"/>
        <v>C</v>
      </c>
      <c r="E200" s="199">
        <v>44452.5</v>
      </c>
      <c r="F200" s="200" t="s">
        <v>119</v>
      </c>
      <c r="G200" s="201">
        <v>129.822</v>
      </c>
      <c r="H200" s="201">
        <v>130.393</v>
      </c>
      <c r="I200" s="202">
        <f t="shared" si="39"/>
        <v>0.57099999999999795</v>
      </c>
      <c r="J200" s="201">
        <v>127.538</v>
      </c>
      <c r="K200" s="199">
        <v>44453.166666666664</v>
      </c>
      <c r="L200" s="201">
        <v>129.94800000000001</v>
      </c>
      <c r="M200" s="203">
        <f t="shared" si="40"/>
        <v>-0.126</v>
      </c>
      <c r="N200" s="204">
        <f t="shared" si="41"/>
        <v>-0.22</v>
      </c>
      <c r="O200" s="205">
        <f t="shared" si="42"/>
        <v>0</v>
      </c>
      <c r="P200" s="206">
        <f t="shared" si="43"/>
        <v>0</v>
      </c>
      <c r="Q200" s="206">
        <f t="shared" si="44"/>
        <v>-0.22</v>
      </c>
      <c r="R2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230250</v>
      </c>
      <c r="T2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0" s="208">
        <f ca="1">IF(Tabla33610673[[#This Row],[Equity]]&lt;Tabla33610673[[#This Row],[Equity Peak]],(Tabla33610673[[#This Row],[Equity Peak]]-Tabla33610673[[#This Row],[Equity]])/Tabla33610673[[#This Row],[Equity Peak]],"")</f>
        <v>1.1675323002961755E-2</v>
      </c>
      <c r="V200" s="209">
        <f t="shared" si="45"/>
        <v>-0.22</v>
      </c>
      <c r="W200" s="209">
        <f t="shared" si="46"/>
        <v>0</v>
      </c>
      <c r="X200" s="209">
        <f t="shared" si="47"/>
        <v>0</v>
      </c>
      <c r="Y200" s="209">
        <f t="shared" si="48"/>
        <v>0</v>
      </c>
      <c r="Z200" s="209">
        <f t="shared" si="49"/>
        <v>0</v>
      </c>
      <c r="AA200" s="205">
        <f t="shared" si="50"/>
        <v>0</v>
      </c>
      <c r="AB200" s="209">
        <f t="shared" si="51"/>
        <v>0</v>
      </c>
      <c r="AC200" s="205">
        <f t="shared" si="52"/>
        <v>0</v>
      </c>
      <c r="AD200" s="210">
        <f t="shared" si="53"/>
        <v>0.66666666666424135</v>
      </c>
      <c r="AE200" s="210">
        <f t="shared" si="54"/>
        <v>0</v>
      </c>
      <c r="AF200" s="210">
        <f t="shared" si="55"/>
        <v>0.66666666666424135</v>
      </c>
      <c r="AG200" s="210">
        <f t="shared" si="56"/>
        <v>0</v>
      </c>
    </row>
    <row r="201" spans="2:33" ht="15" customHeight="1" x14ac:dyDescent="0.3">
      <c r="B201" s="196" t="s">
        <v>5</v>
      </c>
      <c r="C201" s="197" t="s">
        <v>13</v>
      </c>
      <c r="D201" s="198" t="str">
        <f t="shared" si="38"/>
        <v>C</v>
      </c>
      <c r="E201" s="199">
        <v>44448.590277777781</v>
      </c>
      <c r="F201" s="200" t="s">
        <v>90</v>
      </c>
      <c r="G201" s="201">
        <v>7394.44</v>
      </c>
      <c r="H201" s="201">
        <v>7448.12</v>
      </c>
      <c r="I201" s="202">
        <f t="shared" si="39"/>
        <v>53.680000000000291</v>
      </c>
      <c r="J201" s="201">
        <v>6678.73</v>
      </c>
      <c r="K201" s="199">
        <v>44452.238194444442</v>
      </c>
      <c r="L201" s="201">
        <v>7440.29</v>
      </c>
      <c r="M201" s="203">
        <f t="shared" si="40"/>
        <v>-45.85</v>
      </c>
      <c r="N201" s="204">
        <f t="shared" si="41"/>
        <v>-0.85</v>
      </c>
      <c r="O201" s="205">
        <f t="shared" si="42"/>
        <v>0</v>
      </c>
      <c r="P201" s="206">
        <f t="shared" si="43"/>
        <v>0</v>
      </c>
      <c r="Q201" s="206">
        <f t="shared" si="44"/>
        <v>-0.85</v>
      </c>
      <c r="R2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230470</v>
      </c>
      <c r="T2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1" s="208">
        <f ca="1">IF(Tabla33610673[[#This Row],[Equity]]&lt;Tabla33610673[[#This Row],[Equity Peak]],(Tabla33610673[[#This Row],[Equity Peak]]-Tabla33610673[[#This Row],[Equity]])/Tabla33610673[[#This Row],[Equity Peak]],"")</f>
        <v>1.0730995407133966E-2</v>
      </c>
      <c r="V201" s="209">
        <f t="shared" si="45"/>
        <v>0</v>
      </c>
      <c r="W201" s="209">
        <f t="shared" si="46"/>
        <v>0</v>
      </c>
      <c r="X201" s="209">
        <f t="shared" si="47"/>
        <v>0</v>
      </c>
      <c r="Y201" s="209">
        <f t="shared" si="48"/>
        <v>0</v>
      </c>
      <c r="Z201" s="209">
        <f t="shared" si="49"/>
        <v>-0.85</v>
      </c>
      <c r="AA201" s="205">
        <f t="shared" si="50"/>
        <v>0</v>
      </c>
      <c r="AB201" s="209">
        <f t="shared" si="51"/>
        <v>0</v>
      </c>
      <c r="AC201" s="205">
        <f t="shared" si="52"/>
        <v>0</v>
      </c>
      <c r="AD201" s="210">
        <f t="shared" si="53"/>
        <v>3.647916666661331</v>
      </c>
      <c r="AE201" s="210">
        <f t="shared" si="54"/>
        <v>0</v>
      </c>
      <c r="AF201" s="210">
        <f t="shared" si="55"/>
        <v>3.647916666661331</v>
      </c>
      <c r="AG201" s="210">
        <f t="shared" si="56"/>
        <v>0</v>
      </c>
    </row>
    <row r="202" spans="2:33" ht="15" customHeight="1" x14ac:dyDescent="0.3">
      <c r="B202" s="196" t="s">
        <v>84</v>
      </c>
      <c r="C202" s="197" t="s">
        <v>13</v>
      </c>
      <c r="D202" s="198" t="str">
        <f t="shared" si="38"/>
        <v>C</v>
      </c>
      <c r="E202" s="199">
        <v>44447.017361111109</v>
      </c>
      <c r="F202" s="200" t="s">
        <v>80</v>
      </c>
      <c r="G202" s="201">
        <v>46074.5</v>
      </c>
      <c r="H202" s="201">
        <v>48942.57</v>
      </c>
      <c r="I202" s="202">
        <f t="shared" si="39"/>
        <v>2868.0699999999997</v>
      </c>
      <c r="J202" s="201">
        <v>3053.43</v>
      </c>
      <c r="K202" s="199">
        <v>44451.689583333333</v>
      </c>
      <c r="L202" s="201">
        <v>46267.25</v>
      </c>
      <c r="M202" s="203">
        <f t="shared" si="40"/>
        <v>-192.75</v>
      </c>
      <c r="N202" s="204">
        <f t="shared" si="41"/>
        <v>-7.0000000000000007E-2</v>
      </c>
      <c r="O202" s="205">
        <f t="shared" si="42"/>
        <v>0</v>
      </c>
      <c r="P202" s="206">
        <f t="shared" si="43"/>
        <v>0</v>
      </c>
      <c r="Q202" s="206">
        <f t="shared" si="44"/>
        <v>-7.0000000000000007E-2</v>
      </c>
      <c r="R2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231320</v>
      </c>
      <c r="T2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2" s="208">
        <f ca="1">IF(Tabla33610673[[#This Row],[Equity]]&lt;Tabla33610673[[#This Row],[Equity Peak]],(Tabla33610673[[#This Row],[Equity Peak]]-Tabla33610673[[#This Row],[Equity]])/Tabla33610673[[#This Row],[Equity Peak]],"")</f>
        <v>7.0824569687084173E-3</v>
      </c>
      <c r="V202" s="209">
        <f t="shared" si="45"/>
        <v>0</v>
      </c>
      <c r="W202" s="209">
        <f t="shared" si="46"/>
        <v>0</v>
      </c>
      <c r="X202" s="209">
        <f t="shared" si="47"/>
        <v>0</v>
      </c>
      <c r="Y202" s="209">
        <f t="shared" si="48"/>
        <v>0</v>
      </c>
      <c r="Z202" s="209">
        <f t="shared" si="49"/>
        <v>0</v>
      </c>
      <c r="AA202" s="205">
        <f t="shared" si="50"/>
        <v>0</v>
      </c>
      <c r="AB202" s="209">
        <f t="shared" si="51"/>
        <v>-7.0000000000000007E-2</v>
      </c>
      <c r="AC202" s="205">
        <f t="shared" si="52"/>
        <v>0</v>
      </c>
      <c r="AD202" s="210">
        <f t="shared" si="53"/>
        <v>4.672222222223354</v>
      </c>
      <c r="AE202" s="210">
        <f t="shared" si="54"/>
        <v>0</v>
      </c>
      <c r="AF202" s="210">
        <f t="shared" si="55"/>
        <v>4.672222222223354</v>
      </c>
      <c r="AG202" s="210">
        <f t="shared" si="56"/>
        <v>0</v>
      </c>
    </row>
    <row r="203" spans="2:33" ht="15" customHeight="1" x14ac:dyDescent="0.3">
      <c r="B203" s="196" t="s">
        <v>7</v>
      </c>
      <c r="C203" s="197" t="s">
        <v>13</v>
      </c>
      <c r="D203" s="198" t="str">
        <f t="shared" si="38"/>
        <v>C</v>
      </c>
      <c r="E203" s="199">
        <v>44449.666666666664</v>
      </c>
      <c r="F203" s="200" t="s">
        <v>120</v>
      </c>
      <c r="G203" s="201">
        <v>0.85209999999999997</v>
      </c>
      <c r="H203" s="201">
        <v>0.85438999999999998</v>
      </c>
      <c r="I203" s="202">
        <f t="shared" si="39"/>
        <v>2.2900000000000142E-3</v>
      </c>
      <c r="J203" s="201">
        <v>0.84599000000000002</v>
      </c>
      <c r="K203" s="199">
        <v>44449.745833333334</v>
      </c>
      <c r="L203" s="201">
        <v>0.85438999999999998</v>
      </c>
      <c r="M203" s="203">
        <f t="shared" si="40"/>
        <v>-2.3E-3</v>
      </c>
      <c r="N203" s="204">
        <f t="shared" si="41"/>
        <v>-1</v>
      </c>
      <c r="O203" s="205">
        <f t="shared" si="42"/>
        <v>0</v>
      </c>
      <c r="P203" s="206">
        <f t="shared" si="43"/>
        <v>0</v>
      </c>
      <c r="Q203" s="206">
        <f t="shared" si="44"/>
        <v>-1</v>
      </c>
      <c r="R2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231390</v>
      </c>
      <c r="T2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3" s="208">
        <f ca="1">IF(Tabla33610673[[#This Row],[Equity]]&lt;Tabla33610673[[#This Row],[Equity Peak]],(Tabla33610673[[#This Row],[Equity Peak]]-Tabla33610673[[#This Row],[Equity]])/Tabla33610673[[#This Row],[Equity Peak]],"")</f>
        <v>6.7819890973086668E-3</v>
      </c>
      <c r="V203" s="209">
        <f t="shared" si="45"/>
        <v>-1</v>
      </c>
      <c r="W203" s="209">
        <f t="shared" si="46"/>
        <v>0</v>
      </c>
      <c r="X203" s="209">
        <f t="shared" si="47"/>
        <v>0</v>
      </c>
      <c r="Y203" s="209">
        <f t="shared" si="48"/>
        <v>0</v>
      </c>
      <c r="Z203" s="209">
        <f t="shared" si="49"/>
        <v>0</v>
      </c>
      <c r="AA203" s="205">
        <f t="shared" si="50"/>
        <v>0</v>
      </c>
      <c r="AB203" s="209">
        <f t="shared" si="51"/>
        <v>0</v>
      </c>
      <c r="AC203" s="205">
        <f t="shared" si="52"/>
        <v>0</v>
      </c>
      <c r="AD203" s="210">
        <f t="shared" si="53"/>
        <v>7.9166666670062114E-2</v>
      </c>
      <c r="AE203" s="210">
        <f t="shared" si="54"/>
        <v>0</v>
      </c>
      <c r="AF203" s="210">
        <f t="shared" si="55"/>
        <v>7.9166666670062114E-2</v>
      </c>
      <c r="AG203" s="210">
        <f t="shared" si="56"/>
        <v>0</v>
      </c>
    </row>
    <row r="204" spans="2:33" ht="15" customHeight="1" x14ac:dyDescent="0.3">
      <c r="B204" s="196" t="s">
        <v>7</v>
      </c>
      <c r="C204" s="197" t="s">
        <v>15</v>
      </c>
      <c r="D204" s="198" t="str">
        <f t="shared" si="38"/>
        <v>C</v>
      </c>
      <c r="E204" s="199">
        <v>44446.833333333336</v>
      </c>
      <c r="F204" s="200" t="s">
        <v>114</v>
      </c>
      <c r="G204" s="201">
        <v>110.21599999999999</v>
      </c>
      <c r="H204" s="201">
        <v>109.81699999999999</v>
      </c>
      <c r="I204" s="202">
        <f t="shared" si="39"/>
        <v>0.39900000000000091</v>
      </c>
      <c r="J204" s="201">
        <v>112.077</v>
      </c>
      <c r="K204" s="199">
        <v>44448.214583333334</v>
      </c>
      <c r="L204" s="201">
        <v>110.11499999999999</v>
      </c>
      <c r="M204" s="203">
        <f t="shared" si="40"/>
        <v>-0.10100000000000001</v>
      </c>
      <c r="N204" s="204">
        <f t="shared" si="41"/>
        <v>-0.25</v>
      </c>
      <c r="O204" s="205">
        <f t="shared" si="42"/>
        <v>0</v>
      </c>
      <c r="P204" s="206">
        <f t="shared" si="43"/>
        <v>0</v>
      </c>
      <c r="Q204" s="206">
        <f t="shared" si="44"/>
        <v>-0.25</v>
      </c>
      <c r="R2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232390</v>
      </c>
      <c r="T2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4" s="208">
        <f ca="1">IF(Tabla33610673[[#This Row],[Equity]]&lt;Tabla33610673[[#This Row],[Equity Peak]],(Tabla33610673[[#This Row],[Equity Peak]]-Tabla33610673[[#This Row],[Equity]])/Tabla33610673[[#This Row],[Equity Peak]],"")</f>
        <v>2.48959093445508E-3</v>
      </c>
      <c r="V204" s="209">
        <f t="shared" si="45"/>
        <v>-0.25</v>
      </c>
      <c r="W204" s="209">
        <f t="shared" si="46"/>
        <v>0</v>
      </c>
      <c r="X204" s="209">
        <f t="shared" si="47"/>
        <v>0</v>
      </c>
      <c r="Y204" s="209">
        <f t="shared" si="48"/>
        <v>0</v>
      </c>
      <c r="Z204" s="209">
        <f t="shared" si="49"/>
        <v>0</v>
      </c>
      <c r="AA204" s="205">
        <f t="shared" si="50"/>
        <v>0</v>
      </c>
      <c r="AB204" s="209">
        <f t="shared" si="51"/>
        <v>0</v>
      </c>
      <c r="AC204" s="205">
        <f t="shared" si="52"/>
        <v>0</v>
      </c>
      <c r="AD204" s="210">
        <f t="shared" si="53"/>
        <v>1.3812499999985448</v>
      </c>
      <c r="AE204" s="210">
        <f t="shared" si="54"/>
        <v>0</v>
      </c>
      <c r="AF204" s="210">
        <f t="shared" si="55"/>
        <v>1.3812499999985448</v>
      </c>
      <c r="AG204" s="210">
        <f t="shared" si="56"/>
        <v>0</v>
      </c>
    </row>
    <row r="205" spans="2:33" ht="15" customHeight="1" x14ac:dyDescent="0.3">
      <c r="B205" s="196" t="s">
        <v>19</v>
      </c>
      <c r="C205" s="197" t="s">
        <v>15</v>
      </c>
      <c r="D205" s="198" t="str">
        <f t="shared" si="38"/>
        <v>C</v>
      </c>
      <c r="E205" s="199">
        <v>44439.541666666664</v>
      </c>
      <c r="F205" s="200" t="s">
        <v>89</v>
      </c>
      <c r="G205" s="201">
        <v>24.135000000000002</v>
      </c>
      <c r="H205" s="201">
        <v>23.613</v>
      </c>
      <c r="I205" s="202">
        <f t="shared" si="39"/>
        <v>0.52200000000000202</v>
      </c>
      <c r="J205" s="201">
        <v>26.643000000000001</v>
      </c>
      <c r="K205" s="199">
        <v>44447.699305555558</v>
      </c>
      <c r="L205" s="201">
        <v>24.06</v>
      </c>
      <c r="M205" s="203">
        <f t="shared" si="40"/>
        <v>-7.4999999999999997E-2</v>
      </c>
      <c r="N205" s="204">
        <f t="shared" si="41"/>
        <v>-0.14000000000000001</v>
      </c>
      <c r="O205" s="205">
        <f t="shared" si="42"/>
        <v>0</v>
      </c>
      <c r="P205" s="206">
        <f t="shared" si="43"/>
        <v>0</v>
      </c>
      <c r="Q205" s="206">
        <f t="shared" si="44"/>
        <v>-0.14000000000000001</v>
      </c>
      <c r="R2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232640</v>
      </c>
      <c r="T2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5" s="208">
        <f ca="1">IF(Tabla33610673[[#This Row],[Equity]]&lt;Tabla33610673[[#This Row],[Equity Peak]],(Tabla33610673[[#This Row],[Equity Peak]]-Tabla33610673[[#This Row],[Equity]])/Tabla33610673[[#This Row],[Equity Peak]],"")</f>
        <v>1.4164913937416835E-3</v>
      </c>
      <c r="V205" s="209">
        <f t="shared" si="45"/>
        <v>0</v>
      </c>
      <c r="W205" s="209">
        <f t="shared" si="46"/>
        <v>0</v>
      </c>
      <c r="X205" s="209">
        <f t="shared" si="47"/>
        <v>-0.14000000000000001</v>
      </c>
      <c r="Y205" s="209">
        <f t="shared" si="48"/>
        <v>0</v>
      </c>
      <c r="Z205" s="209">
        <f t="shared" si="49"/>
        <v>0</v>
      </c>
      <c r="AA205" s="205">
        <f t="shared" si="50"/>
        <v>0</v>
      </c>
      <c r="AB205" s="209">
        <f t="shared" si="51"/>
        <v>0</v>
      </c>
      <c r="AC205" s="205">
        <f t="shared" si="52"/>
        <v>0</v>
      </c>
      <c r="AD205" s="210">
        <f t="shared" si="53"/>
        <v>8.1576388888934162</v>
      </c>
      <c r="AE205" s="210">
        <f t="shared" si="54"/>
        <v>0</v>
      </c>
      <c r="AF205" s="210">
        <f t="shared" si="55"/>
        <v>8.1576388888934162</v>
      </c>
      <c r="AG205" s="210">
        <f t="shared" si="56"/>
        <v>0</v>
      </c>
    </row>
    <row r="206" spans="2:33" ht="15" customHeight="1" x14ac:dyDescent="0.3">
      <c r="B206" s="196" t="s">
        <v>5</v>
      </c>
      <c r="C206" s="197" t="s">
        <v>13</v>
      </c>
      <c r="D206" s="198" t="str">
        <f t="shared" si="38"/>
        <v>C</v>
      </c>
      <c r="E206" s="199">
        <v>44447.291666666664</v>
      </c>
      <c r="F206" s="200" t="s">
        <v>94</v>
      </c>
      <c r="G206" s="201">
        <v>7116.49</v>
      </c>
      <c r="H206" s="201">
        <v>7167.19</v>
      </c>
      <c r="I206" s="202">
        <f t="shared" si="39"/>
        <v>50.699999999999818</v>
      </c>
      <c r="J206" s="201">
        <v>6863</v>
      </c>
      <c r="K206" s="199">
        <v>44447.616666666669</v>
      </c>
      <c r="L206" s="201">
        <v>7126.34</v>
      </c>
      <c r="M206" s="203">
        <f t="shared" si="40"/>
        <v>-9.85</v>
      </c>
      <c r="N206" s="204">
        <f t="shared" si="41"/>
        <v>-0.19</v>
      </c>
      <c r="O206" s="205">
        <f t="shared" si="42"/>
        <v>0</v>
      </c>
      <c r="P206" s="206">
        <f t="shared" si="43"/>
        <v>0</v>
      </c>
      <c r="Q206" s="206">
        <f t="shared" si="44"/>
        <v>-0.19</v>
      </c>
      <c r="R2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232780</v>
      </c>
      <c r="T2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6" s="208">
        <f ca="1">IF(Tabla33610673[[#This Row],[Equity]]&lt;Tabla33610673[[#This Row],[Equity Peak]],(Tabla33610673[[#This Row],[Equity Peak]]-Tabla33610673[[#This Row],[Equity]])/Tabla33610673[[#This Row],[Equity Peak]],"")</f>
        <v>8.1555565094218138E-4</v>
      </c>
      <c r="V206" s="209">
        <f t="shared" si="45"/>
        <v>0</v>
      </c>
      <c r="W206" s="209">
        <f t="shared" si="46"/>
        <v>0</v>
      </c>
      <c r="X206" s="209">
        <f t="shared" si="47"/>
        <v>0</v>
      </c>
      <c r="Y206" s="209">
        <f t="shared" si="48"/>
        <v>0</v>
      </c>
      <c r="Z206" s="209">
        <f t="shared" si="49"/>
        <v>-0.19</v>
      </c>
      <c r="AA206" s="205">
        <f t="shared" si="50"/>
        <v>0</v>
      </c>
      <c r="AB206" s="209">
        <f t="shared" si="51"/>
        <v>0</v>
      </c>
      <c r="AC206" s="205">
        <f t="shared" si="52"/>
        <v>0</v>
      </c>
      <c r="AD206" s="210">
        <f t="shared" si="53"/>
        <v>0.32500000000436557</v>
      </c>
      <c r="AE206" s="210">
        <f t="shared" si="54"/>
        <v>0</v>
      </c>
      <c r="AF206" s="210">
        <f t="shared" si="55"/>
        <v>0.32500000000436557</v>
      </c>
      <c r="AG206" s="210">
        <f t="shared" si="56"/>
        <v>0</v>
      </c>
    </row>
    <row r="207" spans="2:33" ht="15" customHeight="1" x14ac:dyDescent="0.3">
      <c r="B207" s="196" t="s">
        <v>7</v>
      </c>
      <c r="C207" s="197" t="s">
        <v>15</v>
      </c>
      <c r="D207" s="198" t="str">
        <f t="shared" si="38"/>
        <v>C</v>
      </c>
      <c r="E207" s="199">
        <v>44438.166666666664</v>
      </c>
      <c r="F207" s="200" t="s">
        <v>123</v>
      </c>
      <c r="G207" s="201">
        <v>80.239999999999995</v>
      </c>
      <c r="H207" s="201">
        <v>79.879000000000005</v>
      </c>
      <c r="I207" s="202">
        <f t="shared" si="39"/>
        <v>0.36099999999999</v>
      </c>
      <c r="J207" s="201">
        <v>86.498999999999995</v>
      </c>
      <c r="K207" s="199">
        <v>44447.42291666667</v>
      </c>
      <c r="L207" s="201">
        <v>81.254000000000005</v>
      </c>
      <c r="M207" s="203">
        <f t="shared" si="40"/>
        <v>1.014</v>
      </c>
      <c r="N207" s="204">
        <f t="shared" si="41"/>
        <v>2.81</v>
      </c>
      <c r="O207" s="205">
        <f t="shared" si="42"/>
        <v>0</v>
      </c>
      <c r="P207" s="206">
        <f t="shared" si="43"/>
        <v>2.81</v>
      </c>
      <c r="Q207" s="206">
        <f t="shared" si="44"/>
        <v>0</v>
      </c>
      <c r="R2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232970</v>
      </c>
      <c r="T2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232970</v>
      </c>
      <c r="U20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07" s="209">
        <f t="shared" si="45"/>
        <v>2.81</v>
      </c>
      <c r="W207" s="209">
        <f t="shared" si="46"/>
        <v>0</v>
      </c>
      <c r="X207" s="209">
        <f t="shared" si="47"/>
        <v>0</v>
      </c>
      <c r="Y207" s="209">
        <f t="shared" si="48"/>
        <v>0</v>
      </c>
      <c r="Z207" s="209">
        <f t="shared" si="49"/>
        <v>0</v>
      </c>
      <c r="AA207" s="205">
        <f t="shared" si="50"/>
        <v>0</v>
      </c>
      <c r="AB207" s="209">
        <f t="shared" si="51"/>
        <v>0</v>
      </c>
      <c r="AC207" s="205">
        <f t="shared" si="52"/>
        <v>0</v>
      </c>
      <c r="AD207" s="210">
        <f t="shared" si="53"/>
        <v>9.2562500000058208</v>
      </c>
      <c r="AE207" s="210">
        <f t="shared" si="54"/>
        <v>9.2562500000058208</v>
      </c>
      <c r="AF207" s="210">
        <f t="shared" si="55"/>
        <v>0</v>
      </c>
      <c r="AG207" s="210">
        <f t="shared" si="56"/>
        <v>0</v>
      </c>
    </row>
    <row r="208" spans="2:33" ht="15" customHeight="1" x14ac:dyDescent="0.3">
      <c r="B208" s="196" t="s">
        <v>5</v>
      </c>
      <c r="C208" s="197" t="s">
        <v>15</v>
      </c>
      <c r="D208" s="198" t="str">
        <f t="shared" si="38"/>
        <v>C</v>
      </c>
      <c r="E208" s="199">
        <v>44431.375</v>
      </c>
      <c r="F208" s="200" t="s">
        <v>95</v>
      </c>
      <c r="G208" s="201">
        <v>35240.129999999997</v>
      </c>
      <c r="H208" s="201">
        <v>35052.79</v>
      </c>
      <c r="I208" s="202">
        <f t="shared" si="39"/>
        <v>187.33999999999651</v>
      </c>
      <c r="J208" s="201">
        <v>35989.49</v>
      </c>
      <c r="K208" s="199">
        <v>44446.724999999999</v>
      </c>
      <c r="L208" s="201">
        <v>35082.839999999997</v>
      </c>
      <c r="M208" s="203">
        <f t="shared" si="40"/>
        <v>-157.29</v>
      </c>
      <c r="N208" s="204">
        <f t="shared" si="41"/>
        <v>-0.84</v>
      </c>
      <c r="O208" s="205">
        <f t="shared" si="42"/>
        <v>0</v>
      </c>
      <c r="P208" s="206">
        <f t="shared" si="43"/>
        <v>0</v>
      </c>
      <c r="Q208" s="206">
        <f t="shared" si="44"/>
        <v>-0.84</v>
      </c>
      <c r="R2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230160</v>
      </c>
      <c r="T2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231500</v>
      </c>
      <c r="U208" s="208">
        <f ca="1">IF(Tabla33610673[[#This Row],[Equity]]&lt;Tabla33610673[[#This Row],[Equity Peak]],(Tabla33610673[[#This Row],[Equity Peak]]-Tabla33610673[[#This Row],[Equity]])/Tabla33610673[[#This Row],[Equity Peak]],"")</f>
        <v>5.7883369330453561E-3</v>
      </c>
      <c r="V208" s="209">
        <f t="shared" si="45"/>
        <v>0</v>
      </c>
      <c r="W208" s="209">
        <f t="shared" si="46"/>
        <v>0</v>
      </c>
      <c r="X208" s="209">
        <f t="shared" si="47"/>
        <v>0</v>
      </c>
      <c r="Y208" s="209">
        <f t="shared" si="48"/>
        <v>0</v>
      </c>
      <c r="Z208" s="209">
        <f t="shared" si="49"/>
        <v>-0.84</v>
      </c>
      <c r="AA208" s="205">
        <f t="shared" si="50"/>
        <v>0</v>
      </c>
      <c r="AB208" s="209">
        <f t="shared" si="51"/>
        <v>0</v>
      </c>
      <c r="AC208" s="205">
        <f t="shared" si="52"/>
        <v>0</v>
      </c>
      <c r="AD208" s="210">
        <f t="shared" si="53"/>
        <v>15.349999999998545</v>
      </c>
      <c r="AE208" s="210">
        <f t="shared" si="54"/>
        <v>0</v>
      </c>
      <c r="AF208" s="210">
        <f t="shared" si="55"/>
        <v>15.349999999998545</v>
      </c>
      <c r="AG208" s="210">
        <f t="shared" si="56"/>
        <v>0</v>
      </c>
    </row>
    <row r="209" spans="2:33" ht="15" customHeight="1" x14ac:dyDescent="0.3">
      <c r="B209" s="196" t="s">
        <v>7</v>
      </c>
      <c r="C209" s="197" t="s">
        <v>13</v>
      </c>
      <c r="D209" s="198" t="str">
        <f t="shared" ref="D209:D272" si="57">IF(E209&lt;&gt;"",IF(K209&lt;&gt;"","C","O"),"")</f>
        <v>C</v>
      </c>
      <c r="E209" s="199">
        <v>44442.833333333336</v>
      </c>
      <c r="F209" s="200" t="s">
        <v>114</v>
      </c>
      <c r="G209" s="201">
        <v>109.63500000000001</v>
      </c>
      <c r="H209" s="201">
        <v>110.166</v>
      </c>
      <c r="I209" s="202">
        <f t="shared" ref="I209:I272" si="58">ABS(G209-H209)</f>
        <v>0.5309999999999917</v>
      </c>
      <c r="J209" s="201">
        <v>107.15600000000001</v>
      </c>
      <c r="K209" s="199">
        <v>44445.429861111108</v>
      </c>
      <c r="L209" s="201">
        <v>109.902</v>
      </c>
      <c r="M209" s="203">
        <f t="shared" ref="M209:M272" si="59">ROUND(IF(C209="L",(L209-G209),(G209-L209)),4)</f>
        <v>-0.26700000000000002</v>
      </c>
      <c r="N209" s="204">
        <f t="shared" ref="N209:N272" si="60">IFERROR(ROUND((M209/I209),2),"")</f>
        <v>-0.5</v>
      </c>
      <c r="O209" s="205">
        <f t="shared" ref="O209:O272" si="61">IF(D209="O",IF(N209&lt;0,N209,0),0)</f>
        <v>0</v>
      </c>
      <c r="P209" s="206">
        <f t="shared" ref="P209:P272" si="62">IF(N209&gt;= 0,N209,0)</f>
        <v>0</v>
      </c>
      <c r="Q209" s="206">
        <f t="shared" ref="Q209:Q272" si="63">IF(N209&lt;0,N209,0)</f>
        <v>-0.5</v>
      </c>
      <c r="R2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231000</v>
      </c>
      <c r="T2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231500</v>
      </c>
      <c r="U209" s="208">
        <f ca="1">IF(Tabla33610673[[#This Row],[Equity]]&lt;Tabla33610673[[#This Row],[Equity Peak]],(Tabla33610673[[#This Row],[Equity Peak]]-Tabla33610673[[#This Row],[Equity]])/Tabla33610673[[#This Row],[Equity Peak]],"")</f>
        <v>2.1598272138228943E-3</v>
      </c>
      <c r="V209" s="209">
        <f t="shared" ref="V209:V272" si="64">IF(B209="FX",N209,0)</f>
        <v>-0.5</v>
      </c>
      <c r="W209" s="209">
        <f t="shared" ref="W209:W272" si="65">IF(D209="O",IF(V209&lt;0,V209,0),0)</f>
        <v>0</v>
      </c>
      <c r="X209" s="209">
        <f t="shared" ref="X209:X272" si="66">IF(B209="COM",N209,0)</f>
        <v>0</v>
      </c>
      <c r="Y209" s="209">
        <f t="shared" ref="Y209:Y272" si="67">IF(D209="O",IF(X209&lt;0,X209,0),0)</f>
        <v>0</v>
      </c>
      <c r="Z209" s="209">
        <f t="shared" ref="Z209:Z272" si="68">IF(B209="IND",N209,0)</f>
        <v>0</v>
      </c>
      <c r="AA209" s="205">
        <f t="shared" ref="AA209:AA272" si="69">IF(D209="O",IF(Z209&lt;0,Z209,0),0)</f>
        <v>0</v>
      </c>
      <c r="AB209" s="209">
        <f t="shared" ref="AB209:AB272" si="70">IF(B209="CRYPTO",N209,0)</f>
        <v>0</v>
      </c>
      <c r="AC209" s="205">
        <f t="shared" ref="AC209:AC272" si="71">IF(D209="O",IF(AB209&lt;0,AB209,0),0)</f>
        <v>0</v>
      </c>
      <c r="AD209" s="210">
        <f t="shared" ref="AD209:AD272" si="72">IF(K209&lt;&gt;"",K209-E209,0)</f>
        <v>2.5965277777722804</v>
      </c>
      <c r="AE209" s="210">
        <f t="shared" ref="AE209:AE272" si="73">IF(N209&gt;0,AD209,0)</f>
        <v>0</v>
      </c>
      <c r="AF209" s="210">
        <f t="shared" ref="AF209:AF272" si="74">IF(N209&lt;0,AD209,0)</f>
        <v>2.5965277777722804</v>
      </c>
      <c r="AG209" s="210">
        <f t="shared" ref="AG209:AG272" si="75">IF(N209=0,AD209,0)</f>
        <v>0</v>
      </c>
    </row>
    <row r="210" spans="2:33" ht="15" customHeight="1" x14ac:dyDescent="0.3">
      <c r="B210" s="196" t="s">
        <v>7</v>
      </c>
      <c r="C210" s="197" t="s">
        <v>15</v>
      </c>
      <c r="D210" s="198" t="str">
        <f t="shared" si="57"/>
        <v>C</v>
      </c>
      <c r="E210" s="199">
        <v>44434.166666666664</v>
      </c>
      <c r="F210" s="200" t="s">
        <v>119</v>
      </c>
      <c r="G210" s="201">
        <v>129.5</v>
      </c>
      <c r="H210" s="201">
        <v>128.96600000000001</v>
      </c>
      <c r="I210" s="202">
        <f t="shared" si="58"/>
        <v>0.53399999999999181</v>
      </c>
      <c r="J210" s="201">
        <v>131.63399999999999</v>
      </c>
      <c r="K210" s="199">
        <v>44442.744444444441</v>
      </c>
      <c r="L210" s="201">
        <v>130.24299999999999</v>
      </c>
      <c r="M210" s="203">
        <f t="shared" si="59"/>
        <v>0.74299999999999999</v>
      </c>
      <c r="N210" s="204">
        <f t="shared" si="60"/>
        <v>1.39</v>
      </c>
      <c r="O210" s="205">
        <f t="shared" si="61"/>
        <v>0</v>
      </c>
      <c r="P210" s="206">
        <f t="shared" si="62"/>
        <v>1.39</v>
      </c>
      <c r="Q210" s="206">
        <f t="shared" si="63"/>
        <v>0</v>
      </c>
      <c r="R2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231500</v>
      </c>
      <c r="T2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231500</v>
      </c>
      <c r="U21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0" s="209">
        <f t="shared" si="64"/>
        <v>1.39</v>
      </c>
      <c r="W210" s="209">
        <f t="shared" si="65"/>
        <v>0</v>
      </c>
      <c r="X210" s="209">
        <f t="shared" si="66"/>
        <v>0</v>
      </c>
      <c r="Y210" s="209">
        <f t="shared" si="67"/>
        <v>0</v>
      </c>
      <c r="Z210" s="209">
        <f t="shared" si="68"/>
        <v>0</v>
      </c>
      <c r="AA210" s="205">
        <f t="shared" si="69"/>
        <v>0</v>
      </c>
      <c r="AB210" s="209">
        <f t="shared" si="70"/>
        <v>0</v>
      </c>
      <c r="AC210" s="205">
        <f t="shared" si="71"/>
        <v>0</v>
      </c>
      <c r="AD210" s="210">
        <f t="shared" si="72"/>
        <v>8.577777777776646</v>
      </c>
      <c r="AE210" s="210">
        <f t="shared" si="73"/>
        <v>8.577777777776646</v>
      </c>
      <c r="AF210" s="210">
        <f t="shared" si="74"/>
        <v>0</v>
      </c>
      <c r="AG210" s="210">
        <f t="shared" si="75"/>
        <v>0</v>
      </c>
    </row>
    <row r="211" spans="2:33" ht="15" customHeight="1" x14ac:dyDescent="0.3">
      <c r="B211" s="196" t="s">
        <v>5</v>
      </c>
      <c r="C211" s="197" t="s">
        <v>15</v>
      </c>
      <c r="D211" s="198" t="str">
        <f t="shared" si="57"/>
        <v>C</v>
      </c>
      <c r="E211" s="199">
        <v>44431.375</v>
      </c>
      <c r="F211" s="200" t="s">
        <v>93</v>
      </c>
      <c r="G211" s="201">
        <v>4454.79</v>
      </c>
      <c r="H211" s="201">
        <v>4420.0600000000004</v>
      </c>
      <c r="I211" s="202">
        <f t="shared" si="58"/>
        <v>34.729999999999563</v>
      </c>
      <c r="J211" s="201">
        <v>4547.3999999999996</v>
      </c>
      <c r="K211" s="199">
        <v>44442.645833333336</v>
      </c>
      <c r="L211" s="201">
        <v>4547.3999999999996</v>
      </c>
      <c r="M211" s="203">
        <f t="shared" si="59"/>
        <v>92.61</v>
      </c>
      <c r="N211" s="204">
        <f t="shared" si="60"/>
        <v>2.67</v>
      </c>
      <c r="O211" s="205">
        <f t="shared" si="61"/>
        <v>0</v>
      </c>
      <c r="P211" s="206">
        <f t="shared" si="62"/>
        <v>2.67</v>
      </c>
      <c r="Q211" s="206">
        <f t="shared" si="63"/>
        <v>0</v>
      </c>
      <c r="R2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230110</v>
      </c>
      <c r="T2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230110</v>
      </c>
      <c r="U21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1" s="209">
        <f t="shared" si="64"/>
        <v>0</v>
      </c>
      <c r="W211" s="209">
        <f t="shared" si="65"/>
        <v>0</v>
      </c>
      <c r="X211" s="209">
        <f t="shared" si="66"/>
        <v>0</v>
      </c>
      <c r="Y211" s="209">
        <f t="shared" si="67"/>
        <v>0</v>
      </c>
      <c r="Z211" s="209">
        <f t="shared" si="68"/>
        <v>2.67</v>
      </c>
      <c r="AA211" s="205">
        <f t="shared" si="69"/>
        <v>0</v>
      </c>
      <c r="AB211" s="209">
        <f t="shared" si="70"/>
        <v>0</v>
      </c>
      <c r="AC211" s="205">
        <f t="shared" si="71"/>
        <v>0</v>
      </c>
      <c r="AD211" s="210">
        <f t="shared" si="72"/>
        <v>11.270833333335759</v>
      </c>
      <c r="AE211" s="210">
        <f t="shared" si="73"/>
        <v>11.270833333335759</v>
      </c>
      <c r="AF211" s="210">
        <f t="shared" si="74"/>
        <v>0</v>
      </c>
      <c r="AG211" s="210">
        <f t="shared" si="75"/>
        <v>0</v>
      </c>
    </row>
    <row r="212" spans="2:33" ht="15" customHeight="1" x14ac:dyDescent="0.3">
      <c r="B212" s="196" t="s">
        <v>84</v>
      </c>
      <c r="C212" s="197" t="s">
        <v>15</v>
      </c>
      <c r="D212" s="198" t="str">
        <f t="shared" si="57"/>
        <v>C</v>
      </c>
      <c r="E212" s="199">
        <v>44440.833333333336</v>
      </c>
      <c r="F212" s="200" t="s">
        <v>80</v>
      </c>
      <c r="G212" s="201">
        <v>48535.5</v>
      </c>
      <c r="H212" s="201">
        <v>46758.58</v>
      </c>
      <c r="I212" s="202">
        <f t="shared" si="58"/>
        <v>1776.9199999999983</v>
      </c>
      <c r="J212" s="201">
        <v>75189.34</v>
      </c>
      <c r="K212" s="199">
        <v>44442.189583333333</v>
      </c>
      <c r="L212" s="201">
        <v>48342.21</v>
      </c>
      <c r="M212" s="203">
        <f t="shared" si="59"/>
        <v>-193.29</v>
      </c>
      <c r="N212" s="204">
        <f t="shared" si="60"/>
        <v>-0.11</v>
      </c>
      <c r="O212" s="205">
        <f t="shared" si="61"/>
        <v>0</v>
      </c>
      <c r="P212" s="206">
        <f t="shared" si="62"/>
        <v>0</v>
      </c>
      <c r="Q212" s="206">
        <f t="shared" si="63"/>
        <v>-0.11</v>
      </c>
      <c r="R2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227440</v>
      </c>
      <c r="T2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228180</v>
      </c>
      <c r="U212" s="208">
        <f ca="1">IF(Tabla33610673[[#This Row],[Equity]]&lt;Tabla33610673[[#This Row],[Equity Peak]],(Tabla33610673[[#This Row],[Equity Peak]]-Tabla33610673[[#This Row],[Equity]])/Tabla33610673[[#This Row],[Equity Peak]],"")</f>
        <v>3.2430537295117887E-3</v>
      </c>
      <c r="V212" s="209">
        <f t="shared" si="64"/>
        <v>0</v>
      </c>
      <c r="W212" s="209">
        <f t="shared" si="65"/>
        <v>0</v>
      </c>
      <c r="X212" s="209">
        <f t="shared" si="66"/>
        <v>0</v>
      </c>
      <c r="Y212" s="209">
        <f t="shared" si="67"/>
        <v>0</v>
      </c>
      <c r="Z212" s="209">
        <f t="shared" si="68"/>
        <v>0</v>
      </c>
      <c r="AA212" s="205">
        <f t="shared" si="69"/>
        <v>0</v>
      </c>
      <c r="AB212" s="209">
        <f t="shared" si="70"/>
        <v>-0.11</v>
      </c>
      <c r="AC212" s="205">
        <f t="shared" si="71"/>
        <v>0</v>
      </c>
      <c r="AD212" s="210">
        <f t="shared" si="72"/>
        <v>1.3562499999970896</v>
      </c>
      <c r="AE212" s="210">
        <f t="shared" si="73"/>
        <v>0</v>
      </c>
      <c r="AF212" s="210">
        <f t="shared" si="74"/>
        <v>1.3562499999970896</v>
      </c>
      <c r="AG212" s="210">
        <f t="shared" si="75"/>
        <v>0</v>
      </c>
    </row>
    <row r="213" spans="2:33" ht="15" customHeight="1" x14ac:dyDescent="0.3">
      <c r="B213" s="196" t="s">
        <v>84</v>
      </c>
      <c r="C213" s="197" t="s">
        <v>13</v>
      </c>
      <c r="D213" s="198" t="str">
        <f t="shared" si="57"/>
        <v>C</v>
      </c>
      <c r="E213" s="199">
        <v>44439.333333333336</v>
      </c>
      <c r="F213" s="200" t="s">
        <v>80</v>
      </c>
      <c r="G213" s="201">
        <v>47059.5</v>
      </c>
      <c r="H213" s="201">
        <v>48882.71</v>
      </c>
      <c r="I213" s="202">
        <f t="shared" si="58"/>
        <v>1823.2099999999991</v>
      </c>
      <c r="J213" s="201">
        <v>19711.29</v>
      </c>
      <c r="K213" s="199">
        <v>44440.817361111112</v>
      </c>
      <c r="L213" s="201">
        <v>48116.59</v>
      </c>
      <c r="M213" s="203">
        <f t="shared" si="59"/>
        <v>-1057.0899999999999</v>
      </c>
      <c r="N213" s="204">
        <f t="shared" si="60"/>
        <v>-0.57999999999999996</v>
      </c>
      <c r="O213" s="205">
        <f t="shared" si="61"/>
        <v>0</v>
      </c>
      <c r="P213" s="206">
        <f t="shared" si="62"/>
        <v>0</v>
      </c>
      <c r="Q213" s="206">
        <f t="shared" si="63"/>
        <v>-0.57999999999999996</v>
      </c>
      <c r="R2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227550</v>
      </c>
      <c r="T2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228180</v>
      </c>
      <c r="U213" s="208">
        <f ca="1">IF(Tabla33610673[[#This Row],[Equity]]&lt;Tabla33610673[[#This Row],[Equity Peak]],(Tabla33610673[[#This Row],[Equity Peak]]-Tabla33610673[[#This Row],[Equity]])/Tabla33610673[[#This Row],[Equity Peak]],"")</f>
        <v>2.7609781751249014E-3</v>
      </c>
      <c r="V213" s="209">
        <f t="shared" si="64"/>
        <v>0</v>
      </c>
      <c r="W213" s="209">
        <f t="shared" si="65"/>
        <v>0</v>
      </c>
      <c r="X213" s="209">
        <f t="shared" si="66"/>
        <v>0</v>
      </c>
      <c r="Y213" s="209">
        <f t="shared" si="67"/>
        <v>0</v>
      </c>
      <c r="Z213" s="209">
        <f t="shared" si="68"/>
        <v>0</v>
      </c>
      <c r="AA213" s="205">
        <f t="shared" si="69"/>
        <v>0</v>
      </c>
      <c r="AB213" s="209">
        <f t="shared" si="70"/>
        <v>-0.57999999999999996</v>
      </c>
      <c r="AC213" s="205">
        <f t="shared" si="71"/>
        <v>0</v>
      </c>
      <c r="AD213" s="210">
        <f t="shared" si="72"/>
        <v>1.484027777776646</v>
      </c>
      <c r="AE213" s="210">
        <f t="shared" si="73"/>
        <v>0</v>
      </c>
      <c r="AF213" s="210">
        <f t="shared" si="74"/>
        <v>1.484027777776646</v>
      </c>
      <c r="AG213" s="210">
        <f t="shared" si="75"/>
        <v>0</v>
      </c>
    </row>
    <row r="214" spans="2:33" ht="15" customHeight="1" x14ac:dyDescent="0.3">
      <c r="B214" s="196" t="s">
        <v>19</v>
      </c>
      <c r="C214" s="197" t="s">
        <v>15</v>
      </c>
      <c r="D214" s="198" t="str">
        <f t="shared" si="57"/>
        <v>C</v>
      </c>
      <c r="E214" s="199">
        <v>44434.125</v>
      </c>
      <c r="F214" s="200" t="s">
        <v>108</v>
      </c>
      <c r="G214" s="201">
        <v>68.192999999999998</v>
      </c>
      <c r="H214" s="201">
        <v>66.236000000000004</v>
      </c>
      <c r="I214" s="202">
        <f t="shared" si="58"/>
        <v>1.9569999999999936</v>
      </c>
      <c r="J214" s="201">
        <v>91.677999999999997</v>
      </c>
      <c r="K214" s="199">
        <v>44440.67291666667</v>
      </c>
      <c r="L214" s="201">
        <v>68.09</v>
      </c>
      <c r="M214" s="203">
        <f t="shared" si="59"/>
        <v>-0.10299999999999999</v>
      </c>
      <c r="N214" s="204">
        <f t="shared" si="60"/>
        <v>-0.05</v>
      </c>
      <c r="O214" s="205">
        <f t="shared" si="61"/>
        <v>0</v>
      </c>
      <c r="P214" s="206">
        <f t="shared" si="62"/>
        <v>0</v>
      </c>
      <c r="Q214" s="206">
        <f t="shared" si="63"/>
        <v>-0.05</v>
      </c>
      <c r="R2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228130</v>
      </c>
      <c r="T2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228180</v>
      </c>
      <c r="U214" s="208">
        <f ca="1">IF(Tabla33610673[[#This Row],[Equity]]&lt;Tabla33610673[[#This Row],[Equity Peak]],(Tabla33610673[[#This Row],[Equity Peak]]-Tabla33610673[[#This Row],[Equity]])/Tabla33610673[[#This Row],[Equity Peak]],"")</f>
        <v>2.1912525199403978E-4</v>
      </c>
      <c r="V214" s="209">
        <f t="shared" si="64"/>
        <v>0</v>
      </c>
      <c r="W214" s="209">
        <f t="shared" si="65"/>
        <v>0</v>
      </c>
      <c r="X214" s="209">
        <f t="shared" si="66"/>
        <v>-0.05</v>
      </c>
      <c r="Y214" s="209">
        <f t="shared" si="67"/>
        <v>0</v>
      </c>
      <c r="Z214" s="209">
        <f t="shared" si="68"/>
        <v>0</v>
      </c>
      <c r="AA214" s="205">
        <f t="shared" si="69"/>
        <v>0</v>
      </c>
      <c r="AB214" s="209">
        <f t="shared" si="70"/>
        <v>0</v>
      </c>
      <c r="AC214" s="205">
        <f t="shared" si="71"/>
        <v>0</v>
      </c>
      <c r="AD214" s="210">
        <f t="shared" si="72"/>
        <v>6.5479166666700621</v>
      </c>
      <c r="AE214" s="210">
        <f t="shared" si="73"/>
        <v>0</v>
      </c>
      <c r="AF214" s="210">
        <f t="shared" si="74"/>
        <v>6.5479166666700621</v>
      </c>
      <c r="AG214" s="210">
        <f t="shared" si="75"/>
        <v>0</v>
      </c>
    </row>
    <row r="215" spans="2:33" ht="15" customHeight="1" x14ac:dyDescent="0.3">
      <c r="B215" s="196" t="s">
        <v>7</v>
      </c>
      <c r="C215" s="197" t="s">
        <v>15</v>
      </c>
      <c r="D215" s="198" t="str">
        <f t="shared" si="57"/>
        <v>C</v>
      </c>
      <c r="E215" s="199">
        <v>44439.833333333336</v>
      </c>
      <c r="F215" s="200" t="s">
        <v>114</v>
      </c>
      <c r="G215" s="201">
        <v>109.97199999999999</v>
      </c>
      <c r="H215" s="201">
        <v>109.453</v>
      </c>
      <c r="I215" s="202">
        <f t="shared" si="58"/>
        <v>0.51899999999999125</v>
      </c>
      <c r="J215" s="201">
        <v>112.395</v>
      </c>
      <c r="K215" s="199">
        <v>44440.667361111111</v>
      </c>
      <c r="L215" s="201">
        <v>109.992</v>
      </c>
      <c r="M215" s="203">
        <f t="shared" si="59"/>
        <v>0.02</v>
      </c>
      <c r="N215" s="204">
        <f t="shared" si="60"/>
        <v>0.04</v>
      </c>
      <c r="O215" s="205">
        <f t="shared" si="61"/>
        <v>0</v>
      </c>
      <c r="P215" s="206">
        <f t="shared" si="62"/>
        <v>0.04</v>
      </c>
      <c r="Q215" s="206">
        <f t="shared" si="63"/>
        <v>0</v>
      </c>
      <c r="R2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228180</v>
      </c>
      <c r="T2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228180</v>
      </c>
      <c r="U21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5" s="209">
        <f t="shared" si="64"/>
        <v>0.04</v>
      </c>
      <c r="W215" s="209">
        <f t="shared" si="65"/>
        <v>0</v>
      </c>
      <c r="X215" s="209">
        <f t="shared" si="66"/>
        <v>0</v>
      </c>
      <c r="Y215" s="209">
        <f t="shared" si="67"/>
        <v>0</v>
      </c>
      <c r="Z215" s="209">
        <f t="shared" si="68"/>
        <v>0</v>
      </c>
      <c r="AA215" s="205">
        <f t="shared" si="69"/>
        <v>0</v>
      </c>
      <c r="AB215" s="209">
        <f t="shared" si="70"/>
        <v>0</v>
      </c>
      <c r="AC215" s="205">
        <f t="shared" si="71"/>
        <v>0</v>
      </c>
      <c r="AD215" s="210">
        <f t="shared" si="72"/>
        <v>0.83402777777519077</v>
      </c>
      <c r="AE215" s="210">
        <f t="shared" si="73"/>
        <v>0.83402777777519077</v>
      </c>
      <c r="AF215" s="210">
        <f t="shared" si="74"/>
        <v>0</v>
      </c>
      <c r="AG215" s="210">
        <f t="shared" si="75"/>
        <v>0</v>
      </c>
    </row>
    <row r="216" spans="2:33" ht="15" customHeight="1" x14ac:dyDescent="0.3">
      <c r="B216" s="196" t="s">
        <v>5</v>
      </c>
      <c r="C216" s="197" t="s">
        <v>15</v>
      </c>
      <c r="D216" s="198" t="str">
        <f t="shared" si="57"/>
        <v>C</v>
      </c>
      <c r="E216" s="199">
        <v>44431.208333333336</v>
      </c>
      <c r="F216" s="200" t="s">
        <v>92</v>
      </c>
      <c r="G216" s="201">
        <v>15141.18</v>
      </c>
      <c r="H216" s="201">
        <v>14940.58</v>
      </c>
      <c r="I216" s="202">
        <f t="shared" si="58"/>
        <v>200.60000000000036</v>
      </c>
      <c r="J216" s="201">
        <v>16478.53</v>
      </c>
      <c r="K216" s="199">
        <v>44439.70416666667</v>
      </c>
      <c r="L216" s="201">
        <v>15531.64</v>
      </c>
      <c r="M216" s="203">
        <f t="shared" si="59"/>
        <v>390.46</v>
      </c>
      <c r="N216" s="204">
        <f t="shared" si="60"/>
        <v>1.95</v>
      </c>
      <c r="O216" s="205">
        <f t="shared" si="61"/>
        <v>0</v>
      </c>
      <c r="P216" s="206">
        <f t="shared" si="62"/>
        <v>1.95</v>
      </c>
      <c r="Q216" s="206">
        <f t="shared" si="63"/>
        <v>0</v>
      </c>
      <c r="R2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228140</v>
      </c>
      <c r="T2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228140</v>
      </c>
      <c r="U21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6" s="209">
        <f t="shared" si="64"/>
        <v>0</v>
      </c>
      <c r="W216" s="209">
        <f t="shared" si="65"/>
        <v>0</v>
      </c>
      <c r="X216" s="209">
        <f t="shared" si="66"/>
        <v>0</v>
      </c>
      <c r="Y216" s="209">
        <f t="shared" si="67"/>
        <v>0</v>
      </c>
      <c r="Z216" s="209">
        <f t="shared" si="68"/>
        <v>1.95</v>
      </c>
      <c r="AA216" s="205">
        <f t="shared" si="69"/>
        <v>0</v>
      </c>
      <c r="AB216" s="209">
        <f t="shared" si="70"/>
        <v>0</v>
      </c>
      <c r="AC216" s="205">
        <f t="shared" si="71"/>
        <v>0</v>
      </c>
      <c r="AD216" s="210">
        <f t="shared" si="72"/>
        <v>8.4958333333343035</v>
      </c>
      <c r="AE216" s="210">
        <f t="shared" si="73"/>
        <v>8.4958333333343035</v>
      </c>
      <c r="AF216" s="210">
        <f t="shared" si="74"/>
        <v>0</v>
      </c>
      <c r="AG216" s="210">
        <f t="shared" si="75"/>
        <v>0</v>
      </c>
    </row>
    <row r="217" spans="2:33" ht="15" customHeight="1" x14ac:dyDescent="0.3">
      <c r="B217" s="196" t="s">
        <v>7</v>
      </c>
      <c r="C217" s="197" t="s">
        <v>13</v>
      </c>
      <c r="D217" s="198" t="str">
        <f t="shared" si="57"/>
        <v>C</v>
      </c>
      <c r="E217" s="199">
        <v>44438.017361111109</v>
      </c>
      <c r="F217" s="200" t="s">
        <v>121</v>
      </c>
      <c r="G217" s="201">
        <v>1.6138300000000001</v>
      </c>
      <c r="H217" s="201">
        <v>1.6190100000000001</v>
      </c>
      <c r="I217" s="202">
        <f t="shared" si="58"/>
        <v>5.1799999999999624E-3</v>
      </c>
      <c r="J217" s="201">
        <v>1.5586199999999999</v>
      </c>
      <c r="K217" s="199">
        <v>44438.25</v>
      </c>
      <c r="L217" s="201">
        <v>1.61727</v>
      </c>
      <c r="M217" s="203">
        <f t="shared" si="59"/>
        <v>-3.3999999999999998E-3</v>
      </c>
      <c r="N217" s="204">
        <f t="shared" si="60"/>
        <v>-0.66</v>
      </c>
      <c r="O217" s="205">
        <f t="shared" si="61"/>
        <v>0</v>
      </c>
      <c r="P217" s="206">
        <f t="shared" si="62"/>
        <v>0</v>
      </c>
      <c r="Q217" s="206">
        <f t="shared" si="63"/>
        <v>-0.66</v>
      </c>
      <c r="R2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226190</v>
      </c>
      <c r="T2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227670</v>
      </c>
      <c r="U217" s="208">
        <f ca="1">IF(Tabla33610673[[#This Row],[Equity]]&lt;Tabla33610673[[#This Row],[Equity Peak]],(Tabla33610673[[#This Row],[Equity Peak]]-Tabla33610673[[#This Row],[Equity]])/Tabla33610673[[#This Row],[Equity Peak]],"")</f>
        <v>6.5006368867220098E-3</v>
      </c>
      <c r="V217" s="209">
        <f t="shared" si="64"/>
        <v>-0.66</v>
      </c>
      <c r="W217" s="209">
        <f t="shared" si="65"/>
        <v>0</v>
      </c>
      <c r="X217" s="209">
        <f t="shared" si="66"/>
        <v>0</v>
      </c>
      <c r="Y217" s="209">
        <f t="shared" si="67"/>
        <v>0</v>
      </c>
      <c r="Z217" s="209">
        <f t="shared" si="68"/>
        <v>0</v>
      </c>
      <c r="AA217" s="205">
        <f t="shared" si="69"/>
        <v>0</v>
      </c>
      <c r="AB217" s="209">
        <f t="shared" si="70"/>
        <v>0</v>
      </c>
      <c r="AC217" s="205">
        <f t="shared" si="71"/>
        <v>0</v>
      </c>
      <c r="AD217" s="210">
        <f t="shared" si="72"/>
        <v>0.23263888889050577</v>
      </c>
      <c r="AE217" s="210">
        <f t="shared" si="73"/>
        <v>0</v>
      </c>
      <c r="AF217" s="210">
        <f t="shared" si="74"/>
        <v>0.23263888889050577</v>
      </c>
      <c r="AG217" s="210">
        <f t="shared" si="75"/>
        <v>0</v>
      </c>
    </row>
    <row r="218" spans="2:33" ht="15" customHeight="1" x14ac:dyDescent="0.3">
      <c r="B218" s="196" t="s">
        <v>7</v>
      </c>
      <c r="C218" s="197" t="s">
        <v>15</v>
      </c>
      <c r="D218" s="198" t="str">
        <f t="shared" si="57"/>
        <v>C</v>
      </c>
      <c r="E218" s="199">
        <v>44433.833333333336</v>
      </c>
      <c r="F218" s="200" t="s">
        <v>114</v>
      </c>
      <c r="G218" s="201">
        <v>110.053</v>
      </c>
      <c r="H218" s="201">
        <v>109.4</v>
      </c>
      <c r="I218" s="202">
        <f t="shared" si="58"/>
        <v>0.65299999999999159</v>
      </c>
      <c r="J218" s="201">
        <v>113.098</v>
      </c>
      <c r="K218" s="199">
        <v>44435.719444444447</v>
      </c>
      <c r="L218" s="201">
        <v>109.878</v>
      </c>
      <c r="M218" s="203">
        <f t="shared" si="59"/>
        <v>-0.17499999999999999</v>
      </c>
      <c r="N218" s="204">
        <f t="shared" si="60"/>
        <v>-0.27</v>
      </c>
      <c r="O218" s="205">
        <f t="shared" si="61"/>
        <v>0</v>
      </c>
      <c r="P218" s="206">
        <f t="shared" si="62"/>
        <v>0</v>
      </c>
      <c r="Q218" s="206">
        <f t="shared" si="63"/>
        <v>-0.27</v>
      </c>
      <c r="R2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226850</v>
      </c>
      <c r="T2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227670</v>
      </c>
      <c r="U218" s="208">
        <f ca="1">IF(Tabla33610673[[#This Row],[Equity]]&lt;Tabla33610673[[#This Row],[Equity Peak]],(Tabla33610673[[#This Row],[Equity Peak]]-Tabla33610673[[#This Row],[Equity]])/Tabla33610673[[#This Row],[Equity Peak]],"")</f>
        <v>3.6017042210216539E-3</v>
      </c>
      <c r="V218" s="209">
        <f t="shared" si="64"/>
        <v>-0.27</v>
      </c>
      <c r="W218" s="209">
        <f t="shared" si="65"/>
        <v>0</v>
      </c>
      <c r="X218" s="209">
        <f t="shared" si="66"/>
        <v>0</v>
      </c>
      <c r="Y218" s="209">
        <f t="shared" si="67"/>
        <v>0</v>
      </c>
      <c r="Z218" s="209">
        <f t="shared" si="68"/>
        <v>0</v>
      </c>
      <c r="AA218" s="205">
        <f t="shared" si="69"/>
        <v>0</v>
      </c>
      <c r="AB218" s="209">
        <f t="shared" si="70"/>
        <v>0</v>
      </c>
      <c r="AC218" s="205">
        <f t="shared" si="71"/>
        <v>0</v>
      </c>
      <c r="AD218" s="210">
        <f t="shared" si="72"/>
        <v>1.8861111111109494</v>
      </c>
      <c r="AE218" s="210">
        <f t="shared" si="73"/>
        <v>0</v>
      </c>
      <c r="AF218" s="210">
        <f t="shared" si="74"/>
        <v>1.8861111111109494</v>
      </c>
      <c r="AG218" s="210">
        <f t="shared" si="75"/>
        <v>0</v>
      </c>
    </row>
    <row r="219" spans="2:33" ht="15" customHeight="1" x14ac:dyDescent="0.3">
      <c r="B219" s="196" t="s">
        <v>5</v>
      </c>
      <c r="C219" s="197" t="s">
        <v>15</v>
      </c>
      <c r="D219" s="198" t="str">
        <f t="shared" si="57"/>
        <v>C</v>
      </c>
      <c r="E219" s="199">
        <v>44433.625</v>
      </c>
      <c r="F219" s="200" t="s">
        <v>94</v>
      </c>
      <c r="G219" s="201">
        <v>7134.02</v>
      </c>
      <c r="H219" s="201">
        <v>7081.87</v>
      </c>
      <c r="I219" s="202">
        <f t="shared" si="58"/>
        <v>52.150000000000546</v>
      </c>
      <c r="J219" s="201">
        <v>7394.75</v>
      </c>
      <c r="K219" s="199">
        <v>44434.401388888888</v>
      </c>
      <c r="L219" s="201">
        <v>7105.21</v>
      </c>
      <c r="M219" s="203">
        <f t="shared" si="59"/>
        <v>-28.81</v>
      </c>
      <c r="N219" s="204">
        <f t="shared" si="60"/>
        <v>-0.55000000000000004</v>
      </c>
      <c r="O219" s="205">
        <f t="shared" si="61"/>
        <v>0</v>
      </c>
      <c r="P219" s="206">
        <f t="shared" si="62"/>
        <v>0</v>
      </c>
      <c r="Q219" s="206">
        <f t="shared" si="63"/>
        <v>-0.55000000000000004</v>
      </c>
      <c r="R2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227120</v>
      </c>
      <c r="T2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227670</v>
      </c>
      <c r="U219" s="208">
        <f ca="1">IF(Tabla33610673[[#This Row],[Equity]]&lt;Tabla33610673[[#This Row],[Equity Peak]],(Tabla33610673[[#This Row],[Equity Peak]]-Tabla33610673[[#This Row],[Equity]])/Tabla33610673[[#This Row],[Equity Peak]],"")</f>
        <v>2.4157772214169634E-3</v>
      </c>
      <c r="V219" s="209">
        <f t="shared" si="64"/>
        <v>0</v>
      </c>
      <c r="W219" s="209">
        <f t="shared" si="65"/>
        <v>0</v>
      </c>
      <c r="X219" s="209">
        <f t="shared" si="66"/>
        <v>0</v>
      </c>
      <c r="Y219" s="209">
        <f t="shared" si="67"/>
        <v>0</v>
      </c>
      <c r="Z219" s="209">
        <f t="shared" si="68"/>
        <v>-0.55000000000000004</v>
      </c>
      <c r="AA219" s="205">
        <f t="shared" si="69"/>
        <v>0</v>
      </c>
      <c r="AB219" s="209">
        <f t="shared" si="70"/>
        <v>0</v>
      </c>
      <c r="AC219" s="205">
        <f t="shared" si="71"/>
        <v>0</v>
      </c>
      <c r="AD219" s="210">
        <f t="shared" si="72"/>
        <v>0.77638888888759539</v>
      </c>
      <c r="AE219" s="210">
        <f t="shared" si="73"/>
        <v>0</v>
      </c>
      <c r="AF219" s="210">
        <f t="shared" si="74"/>
        <v>0.77638888888759539</v>
      </c>
      <c r="AG219" s="210">
        <f t="shared" si="75"/>
        <v>0</v>
      </c>
    </row>
    <row r="220" spans="2:33" ht="15" customHeight="1" x14ac:dyDescent="0.3">
      <c r="B220" s="196" t="s">
        <v>19</v>
      </c>
      <c r="C220" s="197" t="s">
        <v>13</v>
      </c>
      <c r="D220" s="198" t="str">
        <f t="shared" si="57"/>
        <v>C</v>
      </c>
      <c r="E220" s="199">
        <v>44411.791666666664</v>
      </c>
      <c r="F220" s="200" t="s">
        <v>108</v>
      </c>
      <c r="G220" s="201">
        <v>70.870999999999995</v>
      </c>
      <c r="H220" s="201">
        <v>72.625</v>
      </c>
      <c r="I220" s="202">
        <f t="shared" si="58"/>
        <v>1.7540000000000049</v>
      </c>
      <c r="J220" s="201">
        <v>49.820999999999998</v>
      </c>
      <c r="K220" s="199">
        <v>44432.581944444442</v>
      </c>
      <c r="L220" s="201">
        <v>67.091999999999999</v>
      </c>
      <c r="M220" s="203">
        <f t="shared" si="59"/>
        <v>3.7789999999999999</v>
      </c>
      <c r="N220" s="204">
        <f t="shared" si="60"/>
        <v>2.15</v>
      </c>
      <c r="O220" s="205">
        <f t="shared" si="61"/>
        <v>0</v>
      </c>
      <c r="P220" s="206">
        <f t="shared" si="62"/>
        <v>2.15</v>
      </c>
      <c r="Q220" s="206">
        <f t="shared" si="63"/>
        <v>0</v>
      </c>
      <c r="R2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227670</v>
      </c>
      <c r="T2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227670</v>
      </c>
      <c r="U22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0" s="209">
        <f t="shared" si="64"/>
        <v>0</v>
      </c>
      <c r="W220" s="209">
        <f t="shared" si="65"/>
        <v>0</v>
      </c>
      <c r="X220" s="209">
        <f t="shared" si="66"/>
        <v>2.15</v>
      </c>
      <c r="Y220" s="209">
        <f t="shared" si="67"/>
        <v>0</v>
      </c>
      <c r="Z220" s="209">
        <f t="shared" si="68"/>
        <v>0</v>
      </c>
      <c r="AA220" s="205">
        <f t="shared" si="69"/>
        <v>0</v>
      </c>
      <c r="AB220" s="209">
        <f t="shared" si="70"/>
        <v>0</v>
      </c>
      <c r="AC220" s="205">
        <f t="shared" si="71"/>
        <v>0</v>
      </c>
      <c r="AD220" s="210">
        <f t="shared" si="72"/>
        <v>20.790277777778101</v>
      </c>
      <c r="AE220" s="210">
        <f t="shared" si="73"/>
        <v>20.790277777778101</v>
      </c>
      <c r="AF220" s="210">
        <f t="shared" si="74"/>
        <v>0</v>
      </c>
      <c r="AG220" s="210">
        <f t="shared" si="75"/>
        <v>0</v>
      </c>
    </row>
    <row r="221" spans="2:33" ht="15" customHeight="1" x14ac:dyDescent="0.3">
      <c r="B221" s="196" t="s">
        <v>7</v>
      </c>
      <c r="C221" s="197" t="s">
        <v>13</v>
      </c>
      <c r="D221" s="198" t="str">
        <f t="shared" si="57"/>
        <v>C</v>
      </c>
      <c r="E221" s="199">
        <v>44425.833333333336</v>
      </c>
      <c r="F221" s="200" t="s">
        <v>122</v>
      </c>
      <c r="G221" s="201">
        <v>0.72433000000000003</v>
      </c>
      <c r="H221" s="201">
        <v>0.72755000000000003</v>
      </c>
      <c r="I221" s="202">
        <f t="shared" si="58"/>
        <v>3.2200000000000006E-3</v>
      </c>
      <c r="J221" s="201">
        <v>0.70716000000000001</v>
      </c>
      <c r="K221" s="199">
        <v>44432.558333333334</v>
      </c>
      <c r="L221" s="201">
        <v>0.72436</v>
      </c>
      <c r="M221" s="203">
        <f t="shared" si="59"/>
        <v>0</v>
      </c>
      <c r="N221" s="204">
        <f t="shared" si="60"/>
        <v>0</v>
      </c>
      <c r="O221" s="205">
        <f t="shared" si="61"/>
        <v>0</v>
      </c>
      <c r="P221" s="206">
        <f t="shared" si="62"/>
        <v>0</v>
      </c>
      <c r="Q221" s="206">
        <f t="shared" si="63"/>
        <v>0</v>
      </c>
      <c r="R2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225520</v>
      </c>
      <c r="T2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226020</v>
      </c>
      <c r="U221" s="208">
        <f ca="1">IF(Tabla33610673[[#This Row],[Equity]]&lt;Tabla33610673[[#This Row],[Equity Peak]],(Tabla33610673[[#This Row],[Equity Peak]]-Tabla33610673[[#This Row],[Equity]])/Tabla33610673[[#This Row],[Equity Peak]],"")</f>
        <v>2.2121936111848509E-3</v>
      </c>
      <c r="V221" s="209">
        <f t="shared" si="64"/>
        <v>0</v>
      </c>
      <c r="W221" s="209">
        <f t="shared" si="65"/>
        <v>0</v>
      </c>
      <c r="X221" s="209">
        <f t="shared" si="66"/>
        <v>0</v>
      </c>
      <c r="Y221" s="209">
        <f t="shared" si="67"/>
        <v>0</v>
      </c>
      <c r="Z221" s="209">
        <f t="shared" si="68"/>
        <v>0</v>
      </c>
      <c r="AA221" s="205">
        <f t="shared" si="69"/>
        <v>0</v>
      </c>
      <c r="AB221" s="209">
        <f t="shared" si="70"/>
        <v>0</v>
      </c>
      <c r="AC221" s="205">
        <f t="shared" si="71"/>
        <v>0</v>
      </c>
      <c r="AD221" s="210">
        <f t="shared" si="72"/>
        <v>6.7249999999985448</v>
      </c>
      <c r="AE221" s="210">
        <f t="shared" si="73"/>
        <v>0</v>
      </c>
      <c r="AF221" s="210">
        <f t="shared" si="74"/>
        <v>0</v>
      </c>
      <c r="AG221" s="210">
        <f t="shared" si="75"/>
        <v>6.7249999999985448</v>
      </c>
    </row>
    <row r="222" spans="2:33" ht="15" customHeight="1" x14ac:dyDescent="0.3">
      <c r="B222" s="196" t="s">
        <v>7</v>
      </c>
      <c r="C222" s="197" t="s">
        <v>15</v>
      </c>
      <c r="D222" s="198" t="str">
        <f t="shared" si="57"/>
        <v>C</v>
      </c>
      <c r="E222" s="199">
        <v>44431.666666666664</v>
      </c>
      <c r="F222" s="200" t="s">
        <v>114</v>
      </c>
      <c r="G222" s="201">
        <v>110.041</v>
      </c>
      <c r="H222" s="201">
        <v>109.482</v>
      </c>
      <c r="I222" s="202">
        <f t="shared" si="58"/>
        <v>0.5589999999999975</v>
      </c>
      <c r="J222" s="201">
        <v>112.649</v>
      </c>
      <c r="K222" s="199">
        <v>44431.683333333334</v>
      </c>
      <c r="L222" s="201">
        <v>109.761</v>
      </c>
      <c r="M222" s="203">
        <f t="shared" si="59"/>
        <v>-0.28000000000000003</v>
      </c>
      <c r="N222" s="204">
        <f t="shared" si="60"/>
        <v>-0.5</v>
      </c>
      <c r="O222" s="205">
        <f t="shared" si="61"/>
        <v>0</v>
      </c>
      <c r="P222" s="206">
        <f t="shared" si="62"/>
        <v>0</v>
      </c>
      <c r="Q222" s="206">
        <f t="shared" si="63"/>
        <v>-0.5</v>
      </c>
      <c r="R2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225520</v>
      </c>
      <c r="T2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226020</v>
      </c>
      <c r="U222" s="208">
        <f ca="1">IF(Tabla33610673[[#This Row],[Equity]]&lt;Tabla33610673[[#This Row],[Equity Peak]],(Tabla33610673[[#This Row],[Equity Peak]]-Tabla33610673[[#This Row],[Equity]])/Tabla33610673[[#This Row],[Equity Peak]],"")</f>
        <v>2.2121936111848509E-3</v>
      </c>
      <c r="V222" s="209">
        <f t="shared" si="64"/>
        <v>-0.5</v>
      </c>
      <c r="W222" s="209">
        <f t="shared" si="65"/>
        <v>0</v>
      </c>
      <c r="X222" s="209">
        <f t="shared" si="66"/>
        <v>0</v>
      </c>
      <c r="Y222" s="209">
        <f t="shared" si="67"/>
        <v>0</v>
      </c>
      <c r="Z222" s="209">
        <f t="shared" si="68"/>
        <v>0</v>
      </c>
      <c r="AA222" s="205">
        <f t="shared" si="69"/>
        <v>0</v>
      </c>
      <c r="AB222" s="209">
        <f t="shared" si="70"/>
        <v>0</v>
      </c>
      <c r="AC222" s="205">
        <f t="shared" si="71"/>
        <v>0</v>
      </c>
      <c r="AD222" s="210">
        <f t="shared" si="72"/>
        <v>1.6666666670062114E-2</v>
      </c>
      <c r="AE222" s="210">
        <f t="shared" si="73"/>
        <v>0</v>
      </c>
      <c r="AF222" s="210">
        <f t="shared" si="74"/>
        <v>1.6666666670062114E-2</v>
      </c>
      <c r="AG222" s="210">
        <f t="shared" si="75"/>
        <v>0</v>
      </c>
    </row>
    <row r="223" spans="2:33" ht="15" customHeight="1" x14ac:dyDescent="0.3">
      <c r="B223" s="196" t="s">
        <v>7</v>
      </c>
      <c r="C223" s="197" t="s">
        <v>13</v>
      </c>
      <c r="D223" s="198" t="str">
        <f t="shared" si="57"/>
        <v>C</v>
      </c>
      <c r="E223" s="199">
        <v>44421.017361111109</v>
      </c>
      <c r="F223" s="200" t="s">
        <v>123</v>
      </c>
      <c r="G223" s="201">
        <v>81.021000000000001</v>
      </c>
      <c r="H223" s="201">
        <v>81.28</v>
      </c>
      <c r="I223" s="202">
        <f t="shared" si="58"/>
        <v>0.25900000000000034</v>
      </c>
      <c r="J223" s="201">
        <v>76.531999999999996</v>
      </c>
      <c r="K223" s="199">
        <v>44431.575694444444</v>
      </c>
      <c r="L223" s="201">
        <v>79.025999999999996</v>
      </c>
      <c r="M223" s="203">
        <f t="shared" si="59"/>
        <v>1.9950000000000001</v>
      </c>
      <c r="N223" s="204">
        <f t="shared" si="60"/>
        <v>7.7</v>
      </c>
      <c r="O223" s="205">
        <f t="shared" si="61"/>
        <v>0</v>
      </c>
      <c r="P223" s="206">
        <f t="shared" si="62"/>
        <v>7.7</v>
      </c>
      <c r="Q223" s="206">
        <f t="shared" si="63"/>
        <v>0</v>
      </c>
      <c r="R2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226020</v>
      </c>
      <c r="T2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226020</v>
      </c>
      <c r="U22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3" s="209">
        <f t="shared" si="64"/>
        <v>7.7</v>
      </c>
      <c r="W223" s="209">
        <f t="shared" si="65"/>
        <v>0</v>
      </c>
      <c r="X223" s="209">
        <f t="shared" si="66"/>
        <v>0</v>
      </c>
      <c r="Y223" s="209">
        <f t="shared" si="67"/>
        <v>0</v>
      </c>
      <c r="Z223" s="209">
        <f t="shared" si="68"/>
        <v>0</v>
      </c>
      <c r="AA223" s="205">
        <f t="shared" si="69"/>
        <v>0</v>
      </c>
      <c r="AB223" s="209">
        <f t="shared" si="70"/>
        <v>0</v>
      </c>
      <c r="AC223" s="205">
        <f t="shared" si="71"/>
        <v>0</v>
      </c>
      <c r="AD223" s="210">
        <f t="shared" si="72"/>
        <v>10.558333333334303</v>
      </c>
      <c r="AE223" s="210">
        <f t="shared" si="73"/>
        <v>10.558333333334303</v>
      </c>
      <c r="AF223" s="210">
        <f t="shared" si="74"/>
        <v>0</v>
      </c>
      <c r="AG223" s="210">
        <f t="shared" si="75"/>
        <v>0</v>
      </c>
    </row>
    <row r="224" spans="2:33" ht="15" customHeight="1" x14ac:dyDescent="0.3">
      <c r="B224" s="196" t="s">
        <v>7</v>
      </c>
      <c r="C224" s="197" t="s">
        <v>13</v>
      </c>
      <c r="D224" s="198" t="str">
        <f t="shared" si="57"/>
        <v>C</v>
      </c>
      <c r="E224" s="199">
        <v>44426.833333333336</v>
      </c>
      <c r="F224" s="200" t="s">
        <v>118</v>
      </c>
      <c r="G224" s="201">
        <v>1.16991</v>
      </c>
      <c r="H224" s="201">
        <v>1.1745399999999999</v>
      </c>
      <c r="I224" s="202">
        <f t="shared" si="58"/>
        <v>4.629999999999912E-3</v>
      </c>
      <c r="J224" s="201">
        <v>1.1402600000000001</v>
      </c>
      <c r="K224" s="199">
        <v>44431.443749999999</v>
      </c>
      <c r="L224" s="201">
        <v>1.1725399999999999</v>
      </c>
      <c r="M224" s="203">
        <f t="shared" si="59"/>
        <v>-2.5999999999999999E-3</v>
      </c>
      <c r="N224" s="204">
        <f t="shared" si="60"/>
        <v>-0.56000000000000005</v>
      </c>
      <c r="O224" s="205">
        <f t="shared" si="61"/>
        <v>0</v>
      </c>
      <c r="P224" s="206">
        <f t="shared" si="62"/>
        <v>0</v>
      </c>
      <c r="Q224" s="206">
        <f t="shared" si="63"/>
        <v>-0.56000000000000005</v>
      </c>
      <c r="R2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218320</v>
      </c>
      <c r="T2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219850</v>
      </c>
      <c r="U224" s="208">
        <f ca="1">IF(Tabla33610673[[#This Row],[Equity]]&lt;Tabla33610673[[#This Row],[Equity Peak]],(Tabla33610673[[#This Row],[Equity Peak]]-Tabla33610673[[#This Row],[Equity]])/Tabla33610673[[#This Row],[Equity Peak]],"")</f>
        <v>6.9592904252899707E-3</v>
      </c>
      <c r="V224" s="209">
        <f t="shared" si="64"/>
        <v>-0.56000000000000005</v>
      </c>
      <c r="W224" s="209">
        <f t="shared" si="65"/>
        <v>0</v>
      </c>
      <c r="X224" s="209">
        <f t="shared" si="66"/>
        <v>0</v>
      </c>
      <c r="Y224" s="209">
        <f t="shared" si="67"/>
        <v>0</v>
      </c>
      <c r="Z224" s="209">
        <f t="shared" si="68"/>
        <v>0</v>
      </c>
      <c r="AA224" s="205">
        <f t="shared" si="69"/>
        <v>0</v>
      </c>
      <c r="AB224" s="209">
        <f t="shared" si="70"/>
        <v>0</v>
      </c>
      <c r="AC224" s="205">
        <f t="shared" si="71"/>
        <v>0</v>
      </c>
      <c r="AD224" s="210">
        <f t="shared" si="72"/>
        <v>4.6104166666627862</v>
      </c>
      <c r="AE224" s="210">
        <f t="shared" si="73"/>
        <v>0</v>
      </c>
      <c r="AF224" s="210">
        <f t="shared" si="74"/>
        <v>4.6104166666627862</v>
      </c>
      <c r="AG224" s="210">
        <f t="shared" si="75"/>
        <v>0</v>
      </c>
    </row>
    <row r="225" spans="2:33" ht="15" customHeight="1" x14ac:dyDescent="0.3">
      <c r="B225" s="196" t="s">
        <v>7</v>
      </c>
      <c r="C225" s="197" t="s">
        <v>13</v>
      </c>
      <c r="D225" s="198" t="str">
        <f t="shared" si="57"/>
        <v>C</v>
      </c>
      <c r="E225" s="199">
        <v>44427.5</v>
      </c>
      <c r="F225" s="200" t="s">
        <v>119</v>
      </c>
      <c r="G225" s="201">
        <v>128.09399999999999</v>
      </c>
      <c r="H225" s="201">
        <v>128.80600000000001</v>
      </c>
      <c r="I225" s="202">
        <f t="shared" si="58"/>
        <v>0.71200000000001751</v>
      </c>
      <c r="J225" s="201">
        <v>125.247</v>
      </c>
      <c r="K225" s="199">
        <v>44431.273611111108</v>
      </c>
      <c r="L225" s="201">
        <v>128.78299999999999</v>
      </c>
      <c r="M225" s="203">
        <f t="shared" si="59"/>
        <v>-0.68899999999999995</v>
      </c>
      <c r="N225" s="204">
        <f t="shared" si="60"/>
        <v>-0.97</v>
      </c>
      <c r="O225" s="205">
        <f t="shared" si="61"/>
        <v>0</v>
      </c>
      <c r="P225" s="206">
        <f t="shared" si="62"/>
        <v>0</v>
      </c>
      <c r="Q225" s="206">
        <f t="shared" si="63"/>
        <v>-0.97</v>
      </c>
      <c r="R2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218880</v>
      </c>
      <c r="T2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219850</v>
      </c>
      <c r="U225" s="208">
        <f ca="1">IF(Tabla33610673[[#This Row],[Equity]]&lt;Tabla33610673[[#This Row],[Equity Peak]],(Tabla33610673[[#This Row],[Equity Peak]]-Tabla33610673[[#This Row],[Equity]])/Tabla33610673[[#This Row],[Equity Peak]],"")</f>
        <v>4.4120991585171708E-3</v>
      </c>
      <c r="V225" s="209">
        <f t="shared" si="64"/>
        <v>-0.97</v>
      </c>
      <c r="W225" s="209">
        <f t="shared" si="65"/>
        <v>0</v>
      </c>
      <c r="X225" s="209">
        <f t="shared" si="66"/>
        <v>0</v>
      </c>
      <c r="Y225" s="209">
        <f t="shared" si="67"/>
        <v>0</v>
      </c>
      <c r="Z225" s="209">
        <f t="shared" si="68"/>
        <v>0</v>
      </c>
      <c r="AA225" s="205">
        <f t="shared" si="69"/>
        <v>0</v>
      </c>
      <c r="AB225" s="209">
        <f t="shared" si="70"/>
        <v>0</v>
      </c>
      <c r="AC225" s="205">
        <f t="shared" si="71"/>
        <v>0</v>
      </c>
      <c r="AD225" s="210">
        <f t="shared" si="72"/>
        <v>3.773611111108039</v>
      </c>
      <c r="AE225" s="210">
        <f t="shared" si="73"/>
        <v>0</v>
      </c>
      <c r="AF225" s="210">
        <f t="shared" si="74"/>
        <v>3.773611111108039</v>
      </c>
      <c r="AG225" s="210">
        <f t="shared" si="75"/>
        <v>0</v>
      </c>
    </row>
    <row r="226" spans="2:33" ht="15" customHeight="1" x14ac:dyDescent="0.3">
      <c r="B226" s="196" t="s">
        <v>5</v>
      </c>
      <c r="C226" s="197" t="s">
        <v>13</v>
      </c>
      <c r="D226" s="198" t="str">
        <f t="shared" si="57"/>
        <v>C</v>
      </c>
      <c r="E226" s="199">
        <v>44427.291666666664</v>
      </c>
      <c r="F226" s="200" t="s">
        <v>94</v>
      </c>
      <c r="G226" s="201">
        <v>7099.65</v>
      </c>
      <c r="H226" s="201">
        <v>7169.85</v>
      </c>
      <c r="I226" s="202">
        <f t="shared" si="58"/>
        <v>70.200000000000728</v>
      </c>
      <c r="J226" s="201">
        <v>6748.64</v>
      </c>
      <c r="K226" s="199">
        <v>44428.795138888891</v>
      </c>
      <c r="L226" s="201">
        <v>7096.37</v>
      </c>
      <c r="M226" s="203">
        <f t="shared" si="59"/>
        <v>3.28</v>
      </c>
      <c r="N226" s="204">
        <f t="shared" si="60"/>
        <v>0.05</v>
      </c>
      <c r="O226" s="205">
        <f t="shared" si="61"/>
        <v>0</v>
      </c>
      <c r="P226" s="206">
        <f t="shared" si="62"/>
        <v>0.05</v>
      </c>
      <c r="Q226" s="206">
        <f t="shared" si="63"/>
        <v>0</v>
      </c>
      <c r="R2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219850</v>
      </c>
      <c r="T2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219850</v>
      </c>
      <c r="U22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6" s="209">
        <f t="shared" si="64"/>
        <v>0</v>
      </c>
      <c r="W226" s="209">
        <f t="shared" si="65"/>
        <v>0</v>
      </c>
      <c r="X226" s="209">
        <f t="shared" si="66"/>
        <v>0</v>
      </c>
      <c r="Y226" s="209">
        <f t="shared" si="67"/>
        <v>0</v>
      </c>
      <c r="Z226" s="209">
        <f t="shared" si="68"/>
        <v>0.05</v>
      </c>
      <c r="AA226" s="205">
        <f t="shared" si="69"/>
        <v>0</v>
      </c>
      <c r="AB226" s="209">
        <f t="shared" si="70"/>
        <v>0</v>
      </c>
      <c r="AC226" s="205">
        <f t="shared" si="71"/>
        <v>0</v>
      </c>
      <c r="AD226" s="210">
        <f t="shared" si="72"/>
        <v>1.5034722222262644</v>
      </c>
      <c r="AE226" s="210">
        <f t="shared" si="73"/>
        <v>1.5034722222262644</v>
      </c>
      <c r="AF226" s="210">
        <f t="shared" si="74"/>
        <v>0</v>
      </c>
      <c r="AG226" s="210">
        <f t="shared" si="75"/>
        <v>0</v>
      </c>
    </row>
    <row r="227" spans="2:33" ht="15" customHeight="1" x14ac:dyDescent="0.3">
      <c r="B227" s="196" t="s">
        <v>7</v>
      </c>
      <c r="C227" s="197" t="s">
        <v>13</v>
      </c>
      <c r="D227" s="198" t="str">
        <f t="shared" si="57"/>
        <v>C</v>
      </c>
      <c r="E227" s="199">
        <v>44418.166666666664</v>
      </c>
      <c r="F227" s="200" t="s">
        <v>115</v>
      </c>
      <c r="G227" s="201">
        <v>1.38507</v>
      </c>
      <c r="H227" s="201">
        <v>1.39127</v>
      </c>
      <c r="I227" s="202">
        <f t="shared" si="58"/>
        <v>6.1999999999999833E-3</v>
      </c>
      <c r="J227" s="201">
        <v>1.3602799999999999</v>
      </c>
      <c r="K227" s="199">
        <v>44428.668749999997</v>
      </c>
      <c r="L227" s="201">
        <v>1.3602799999999999</v>
      </c>
      <c r="M227" s="203">
        <f t="shared" si="59"/>
        <v>2.4799999999999999E-2</v>
      </c>
      <c r="N227" s="204">
        <f t="shared" si="60"/>
        <v>4</v>
      </c>
      <c r="O227" s="205">
        <f t="shared" si="61"/>
        <v>0</v>
      </c>
      <c r="P227" s="206">
        <f t="shared" si="62"/>
        <v>4</v>
      </c>
      <c r="Q227" s="206">
        <f t="shared" si="63"/>
        <v>0</v>
      </c>
      <c r="R2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219800</v>
      </c>
      <c r="T2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219800</v>
      </c>
      <c r="U22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7" s="209">
        <f t="shared" si="64"/>
        <v>4</v>
      </c>
      <c r="W227" s="209">
        <f t="shared" si="65"/>
        <v>0</v>
      </c>
      <c r="X227" s="209">
        <f t="shared" si="66"/>
        <v>0</v>
      </c>
      <c r="Y227" s="209">
        <f t="shared" si="67"/>
        <v>0</v>
      </c>
      <c r="Z227" s="209">
        <f t="shared" si="68"/>
        <v>0</v>
      </c>
      <c r="AA227" s="205">
        <f t="shared" si="69"/>
        <v>0</v>
      </c>
      <c r="AB227" s="209">
        <f t="shared" si="70"/>
        <v>0</v>
      </c>
      <c r="AC227" s="205">
        <f t="shared" si="71"/>
        <v>0</v>
      </c>
      <c r="AD227" s="210">
        <f t="shared" si="72"/>
        <v>10.502083333332848</v>
      </c>
      <c r="AE227" s="210">
        <f t="shared" si="73"/>
        <v>10.502083333332848</v>
      </c>
      <c r="AF227" s="210">
        <f t="shared" si="74"/>
        <v>0</v>
      </c>
      <c r="AG227" s="210">
        <f t="shared" si="75"/>
        <v>0</v>
      </c>
    </row>
    <row r="228" spans="2:33" ht="15" customHeight="1" x14ac:dyDescent="0.3">
      <c r="B228" s="196" t="s">
        <v>7</v>
      </c>
      <c r="C228" s="197" t="s">
        <v>15</v>
      </c>
      <c r="D228" s="198" t="str">
        <f t="shared" si="57"/>
        <v>C</v>
      </c>
      <c r="E228" s="199">
        <v>44424.017361111109</v>
      </c>
      <c r="F228" s="200" t="s">
        <v>121</v>
      </c>
      <c r="G228" s="201">
        <v>1.6000799999999999</v>
      </c>
      <c r="H228" s="201">
        <v>1.5963400000000001</v>
      </c>
      <c r="I228" s="202">
        <f t="shared" si="58"/>
        <v>3.7399999999998546E-3</v>
      </c>
      <c r="J228" s="201">
        <v>1.64001</v>
      </c>
      <c r="K228" s="199">
        <v>44428.35</v>
      </c>
      <c r="L228" s="201">
        <v>1.64001</v>
      </c>
      <c r="M228" s="203">
        <f t="shared" si="59"/>
        <v>3.9899999999999998E-2</v>
      </c>
      <c r="N228" s="204">
        <f t="shared" si="60"/>
        <v>10.67</v>
      </c>
      <c r="O228" s="205">
        <f t="shared" si="61"/>
        <v>0</v>
      </c>
      <c r="P228" s="206">
        <f t="shared" si="62"/>
        <v>10.67</v>
      </c>
      <c r="Q228" s="206">
        <f t="shared" si="63"/>
        <v>0</v>
      </c>
      <c r="R2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215800</v>
      </c>
      <c r="T2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215800</v>
      </c>
      <c r="U22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8" s="209">
        <f t="shared" si="64"/>
        <v>10.67</v>
      </c>
      <c r="W228" s="209">
        <f t="shared" si="65"/>
        <v>0</v>
      </c>
      <c r="X228" s="209">
        <f t="shared" si="66"/>
        <v>0</v>
      </c>
      <c r="Y228" s="209">
        <f t="shared" si="67"/>
        <v>0</v>
      </c>
      <c r="Z228" s="209">
        <f t="shared" si="68"/>
        <v>0</v>
      </c>
      <c r="AA228" s="205">
        <f t="shared" si="69"/>
        <v>0</v>
      </c>
      <c r="AB228" s="209">
        <f t="shared" si="70"/>
        <v>0</v>
      </c>
      <c r="AC228" s="205">
        <f t="shared" si="71"/>
        <v>0</v>
      </c>
      <c r="AD228" s="210">
        <f t="shared" si="72"/>
        <v>4.3326388888890506</v>
      </c>
      <c r="AE228" s="210">
        <f t="shared" si="73"/>
        <v>4.3326388888890506</v>
      </c>
      <c r="AF228" s="210">
        <f t="shared" si="74"/>
        <v>0</v>
      </c>
      <c r="AG228" s="210">
        <f t="shared" si="75"/>
        <v>0</v>
      </c>
    </row>
    <row r="229" spans="2:33" ht="15" customHeight="1" x14ac:dyDescent="0.3">
      <c r="B229" s="196" t="s">
        <v>5</v>
      </c>
      <c r="C229" s="197" t="s">
        <v>15</v>
      </c>
      <c r="D229" s="198" t="str">
        <f t="shared" si="57"/>
        <v>C</v>
      </c>
      <c r="E229" s="199">
        <v>44406.802083333336</v>
      </c>
      <c r="F229" s="200" t="s">
        <v>91</v>
      </c>
      <c r="G229" s="201">
        <v>15637.18</v>
      </c>
      <c r="H229" s="201">
        <v>15360.5</v>
      </c>
      <c r="I229" s="202">
        <f t="shared" si="58"/>
        <v>276.68000000000029</v>
      </c>
      <c r="J229" s="201">
        <v>16743.88</v>
      </c>
      <c r="K229" s="199">
        <v>44427.476388888892</v>
      </c>
      <c r="L229" s="201">
        <v>15666.35</v>
      </c>
      <c r="M229" s="203">
        <f t="shared" si="59"/>
        <v>29.17</v>
      </c>
      <c r="N229" s="204">
        <f t="shared" si="60"/>
        <v>0.11</v>
      </c>
      <c r="O229" s="205">
        <f t="shared" si="61"/>
        <v>0</v>
      </c>
      <c r="P229" s="206">
        <f t="shared" si="62"/>
        <v>0.11</v>
      </c>
      <c r="Q229" s="206">
        <f t="shared" si="63"/>
        <v>0</v>
      </c>
      <c r="R2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205130</v>
      </c>
      <c r="T2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206740</v>
      </c>
      <c r="U229" s="208">
        <f ca="1">IF(Tabla33610673[[#This Row],[Equity]]&lt;Tabla33610673[[#This Row],[Equity Peak]],(Tabla33610673[[#This Row],[Equity Peak]]-Tabla33610673[[#This Row],[Equity]])/Tabla33610673[[#This Row],[Equity Peak]],"")</f>
        <v>7.7875592531682306E-3</v>
      </c>
      <c r="V229" s="209">
        <f t="shared" si="64"/>
        <v>0</v>
      </c>
      <c r="W229" s="209">
        <f t="shared" si="65"/>
        <v>0</v>
      </c>
      <c r="X229" s="209">
        <f t="shared" si="66"/>
        <v>0</v>
      </c>
      <c r="Y229" s="209">
        <f t="shared" si="67"/>
        <v>0</v>
      </c>
      <c r="Z229" s="209">
        <f t="shared" si="68"/>
        <v>0.11</v>
      </c>
      <c r="AA229" s="205">
        <f t="shared" si="69"/>
        <v>0</v>
      </c>
      <c r="AB229" s="209">
        <f t="shared" si="70"/>
        <v>0</v>
      </c>
      <c r="AC229" s="205">
        <f t="shared" si="71"/>
        <v>0</v>
      </c>
      <c r="AD229" s="210">
        <f t="shared" si="72"/>
        <v>20.674305555556202</v>
      </c>
      <c r="AE229" s="210">
        <f t="shared" si="73"/>
        <v>20.674305555556202</v>
      </c>
      <c r="AF229" s="210">
        <f t="shared" si="74"/>
        <v>0</v>
      </c>
      <c r="AG229" s="210">
        <f t="shared" si="75"/>
        <v>0</v>
      </c>
    </row>
    <row r="230" spans="2:33" ht="15" customHeight="1" x14ac:dyDescent="0.3">
      <c r="B230" s="196" t="s">
        <v>7</v>
      </c>
      <c r="C230" s="197" t="s">
        <v>13</v>
      </c>
      <c r="D230" s="198" t="str">
        <f t="shared" si="57"/>
        <v>C</v>
      </c>
      <c r="E230" s="199">
        <v>44425.833333333336</v>
      </c>
      <c r="F230" s="200" t="s">
        <v>119</v>
      </c>
      <c r="G230" s="201">
        <v>128.261</v>
      </c>
      <c r="H230" s="201">
        <v>128.923</v>
      </c>
      <c r="I230" s="202">
        <f t="shared" si="58"/>
        <v>0.66200000000000614</v>
      </c>
      <c r="J230" s="201">
        <v>125.61199999999999</v>
      </c>
      <c r="K230" s="199">
        <v>44426.879861111112</v>
      </c>
      <c r="L230" s="201">
        <v>128.87799999999999</v>
      </c>
      <c r="M230" s="203">
        <f t="shared" si="59"/>
        <v>-0.61699999999999999</v>
      </c>
      <c r="N230" s="204">
        <f t="shared" si="60"/>
        <v>-0.93</v>
      </c>
      <c r="O230" s="205">
        <f t="shared" si="61"/>
        <v>0</v>
      </c>
      <c r="P230" s="206">
        <f t="shared" si="62"/>
        <v>0</v>
      </c>
      <c r="Q230" s="206">
        <f t="shared" si="63"/>
        <v>-0.93</v>
      </c>
      <c r="R2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205020</v>
      </c>
      <c r="T2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206740</v>
      </c>
      <c r="U230" s="208">
        <f ca="1">IF(Tabla33610673[[#This Row],[Equity]]&lt;Tabla33610673[[#This Row],[Equity Peak]],(Tabla33610673[[#This Row],[Equity Peak]]-Tabla33610673[[#This Row],[Equity]])/Tabla33610673[[#This Row],[Equity Peak]],"")</f>
        <v>8.3196285189126445E-3</v>
      </c>
      <c r="V230" s="209">
        <f t="shared" si="64"/>
        <v>-0.93</v>
      </c>
      <c r="W230" s="209">
        <f t="shared" si="65"/>
        <v>0</v>
      </c>
      <c r="X230" s="209">
        <f t="shared" si="66"/>
        <v>0</v>
      </c>
      <c r="Y230" s="209">
        <f t="shared" si="67"/>
        <v>0</v>
      </c>
      <c r="Z230" s="209">
        <f t="shared" si="68"/>
        <v>0</v>
      </c>
      <c r="AA230" s="205">
        <f t="shared" si="69"/>
        <v>0</v>
      </c>
      <c r="AB230" s="209">
        <f t="shared" si="70"/>
        <v>0</v>
      </c>
      <c r="AC230" s="205">
        <f t="shared" si="71"/>
        <v>0</v>
      </c>
      <c r="AD230" s="210">
        <f t="shared" si="72"/>
        <v>1.046527777776646</v>
      </c>
      <c r="AE230" s="210">
        <f t="shared" si="73"/>
        <v>0</v>
      </c>
      <c r="AF230" s="210">
        <f t="shared" si="74"/>
        <v>1.046527777776646</v>
      </c>
      <c r="AG230" s="210">
        <f t="shared" si="75"/>
        <v>0</v>
      </c>
    </row>
    <row r="231" spans="2:33" ht="15" customHeight="1" x14ac:dyDescent="0.3">
      <c r="B231" s="196" t="s">
        <v>7</v>
      </c>
      <c r="C231" s="197" t="s">
        <v>13</v>
      </c>
      <c r="D231" s="198" t="str">
        <f t="shared" si="57"/>
        <v>C</v>
      </c>
      <c r="E231" s="199">
        <v>44424.333333333336</v>
      </c>
      <c r="F231" s="200" t="s">
        <v>116</v>
      </c>
      <c r="G231" s="201">
        <v>151.63300000000001</v>
      </c>
      <c r="H231" s="201">
        <v>152.50899999999999</v>
      </c>
      <c r="I231" s="202">
        <f t="shared" si="58"/>
        <v>0.87599999999997635</v>
      </c>
      <c r="J231" s="201">
        <v>146.72999999999999</v>
      </c>
      <c r="K231" s="199">
        <v>44426.875</v>
      </c>
      <c r="L231" s="201">
        <v>151.374</v>
      </c>
      <c r="M231" s="203">
        <f t="shared" si="59"/>
        <v>0.25900000000000001</v>
      </c>
      <c r="N231" s="204">
        <f t="shared" si="60"/>
        <v>0.3</v>
      </c>
      <c r="O231" s="205">
        <f t="shared" si="61"/>
        <v>0</v>
      </c>
      <c r="P231" s="206">
        <f t="shared" si="62"/>
        <v>0.3</v>
      </c>
      <c r="Q231" s="206">
        <f t="shared" si="63"/>
        <v>0</v>
      </c>
      <c r="R2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205950</v>
      </c>
      <c r="T2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206740</v>
      </c>
      <c r="U231" s="208">
        <f ca="1">IF(Tabla33610673[[#This Row],[Equity]]&lt;Tabla33610673[[#This Row],[Equity Peak]],(Tabla33610673[[#This Row],[Equity Peak]]-Tabla33610673[[#This Row],[Equity]])/Tabla33610673[[#This Row],[Equity Peak]],"")</f>
        <v>3.821224726709877E-3</v>
      </c>
      <c r="V231" s="209">
        <f t="shared" si="64"/>
        <v>0.3</v>
      </c>
      <c r="W231" s="209">
        <f t="shared" si="65"/>
        <v>0</v>
      </c>
      <c r="X231" s="209">
        <f t="shared" si="66"/>
        <v>0</v>
      </c>
      <c r="Y231" s="209">
        <f t="shared" si="67"/>
        <v>0</v>
      </c>
      <c r="Z231" s="209">
        <f t="shared" si="68"/>
        <v>0</v>
      </c>
      <c r="AA231" s="205">
        <f t="shared" si="69"/>
        <v>0</v>
      </c>
      <c r="AB231" s="209">
        <f t="shared" si="70"/>
        <v>0</v>
      </c>
      <c r="AC231" s="205">
        <f t="shared" si="71"/>
        <v>0</v>
      </c>
      <c r="AD231" s="210">
        <f t="shared" si="72"/>
        <v>2.5416666666642413</v>
      </c>
      <c r="AE231" s="210">
        <f t="shared" si="73"/>
        <v>2.5416666666642413</v>
      </c>
      <c r="AF231" s="210">
        <f t="shared" si="74"/>
        <v>0</v>
      </c>
      <c r="AG231" s="210">
        <f t="shared" si="75"/>
        <v>0</v>
      </c>
    </row>
    <row r="232" spans="2:33" ht="15" customHeight="1" x14ac:dyDescent="0.3">
      <c r="B232" s="196" t="s">
        <v>7</v>
      </c>
      <c r="C232" s="197" t="s">
        <v>13</v>
      </c>
      <c r="D232" s="198" t="str">
        <f t="shared" si="57"/>
        <v>C</v>
      </c>
      <c r="E232" s="199">
        <v>44424.166666666664</v>
      </c>
      <c r="F232" s="200" t="s">
        <v>114</v>
      </c>
      <c r="G232" s="201">
        <v>109.502</v>
      </c>
      <c r="H232" s="201">
        <v>110.137</v>
      </c>
      <c r="I232" s="202">
        <f t="shared" si="58"/>
        <v>0.63500000000000512</v>
      </c>
      <c r="J232" s="201">
        <v>106.54</v>
      </c>
      <c r="K232" s="199">
        <v>44425.662499999999</v>
      </c>
      <c r="L232" s="201">
        <v>109.559</v>
      </c>
      <c r="M232" s="203">
        <f t="shared" si="59"/>
        <v>-5.7000000000000002E-2</v>
      </c>
      <c r="N232" s="204">
        <f t="shared" si="60"/>
        <v>-0.09</v>
      </c>
      <c r="O232" s="205">
        <f t="shared" si="61"/>
        <v>0</v>
      </c>
      <c r="P232" s="206">
        <f t="shared" si="62"/>
        <v>0</v>
      </c>
      <c r="Q232" s="206">
        <f t="shared" si="63"/>
        <v>-0.09</v>
      </c>
      <c r="R2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205650</v>
      </c>
      <c r="T2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206740</v>
      </c>
      <c r="U232" s="208">
        <f ca="1">IF(Tabla33610673[[#This Row],[Equity]]&lt;Tabla33610673[[#This Row],[Equity Peak]],(Tabla33610673[[#This Row],[Equity Peak]]-Tabla33610673[[#This Row],[Equity]])/Tabla33610673[[#This Row],[Equity Peak]],"")</f>
        <v>5.2723227241946403E-3</v>
      </c>
      <c r="V232" s="209">
        <f t="shared" si="64"/>
        <v>-0.09</v>
      </c>
      <c r="W232" s="209">
        <f t="shared" si="65"/>
        <v>0</v>
      </c>
      <c r="X232" s="209">
        <f t="shared" si="66"/>
        <v>0</v>
      </c>
      <c r="Y232" s="209">
        <f t="shared" si="67"/>
        <v>0</v>
      </c>
      <c r="Z232" s="209">
        <f t="shared" si="68"/>
        <v>0</v>
      </c>
      <c r="AA232" s="205">
        <f t="shared" si="69"/>
        <v>0</v>
      </c>
      <c r="AB232" s="209">
        <f t="shared" si="70"/>
        <v>0</v>
      </c>
      <c r="AC232" s="205">
        <f t="shared" si="71"/>
        <v>0</v>
      </c>
      <c r="AD232" s="210">
        <f t="shared" si="72"/>
        <v>1.4958333333343035</v>
      </c>
      <c r="AE232" s="210">
        <f t="shared" si="73"/>
        <v>0</v>
      </c>
      <c r="AF232" s="210">
        <f t="shared" si="74"/>
        <v>1.4958333333343035</v>
      </c>
      <c r="AG232" s="210">
        <f t="shared" si="75"/>
        <v>0</v>
      </c>
    </row>
    <row r="233" spans="2:33" ht="15" customHeight="1" x14ac:dyDescent="0.3">
      <c r="B233" s="196" t="s">
        <v>5</v>
      </c>
      <c r="C233" s="197" t="s">
        <v>15</v>
      </c>
      <c r="D233" s="198" t="str">
        <f t="shared" si="57"/>
        <v>C</v>
      </c>
      <c r="E233" s="199">
        <v>44413.875</v>
      </c>
      <c r="F233" s="200" t="s">
        <v>92</v>
      </c>
      <c r="G233" s="201">
        <v>15165.84</v>
      </c>
      <c r="H233" s="201">
        <v>14944.16</v>
      </c>
      <c r="I233" s="202">
        <f t="shared" si="58"/>
        <v>221.68000000000029</v>
      </c>
      <c r="J233" s="201">
        <v>16643.689999999999</v>
      </c>
      <c r="K233" s="199">
        <v>44424.734027777777</v>
      </c>
      <c r="L233" s="201">
        <v>14944.16</v>
      </c>
      <c r="M233" s="203">
        <f t="shared" si="59"/>
        <v>-221.68</v>
      </c>
      <c r="N233" s="204">
        <f t="shared" si="60"/>
        <v>-1</v>
      </c>
      <c r="O233" s="205">
        <f t="shared" si="61"/>
        <v>0</v>
      </c>
      <c r="P233" s="206">
        <f t="shared" si="62"/>
        <v>0</v>
      </c>
      <c r="Q233" s="206">
        <f t="shared" si="63"/>
        <v>-1</v>
      </c>
      <c r="R2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205740</v>
      </c>
      <c r="T2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206740</v>
      </c>
      <c r="U233" s="208">
        <f ca="1">IF(Tabla33610673[[#This Row],[Equity]]&lt;Tabla33610673[[#This Row],[Equity Peak]],(Tabla33610673[[#This Row],[Equity Peak]]-Tabla33610673[[#This Row],[Equity]])/Tabla33610673[[#This Row],[Equity Peak]],"")</f>
        <v>4.8369933249492111E-3</v>
      </c>
      <c r="V233" s="209">
        <f t="shared" si="64"/>
        <v>0</v>
      </c>
      <c r="W233" s="209">
        <f t="shared" si="65"/>
        <v>0</v>
      </c>
      <c r="X233" s="209">
        <f t="shared" si="66"/>
        <v>0</v>
      </c>
      <c r="Y233" s="209">
        <f t="shared" si="67"/>
        <v>0</v>
      </c>
      <c r="Z233" s="209">
        <f t="shared" si="68"/>
        <v>-1</v>
      </c>
      <c r="AA233" s="205">
        <f t="shared" si="69"/>
        <v>0</v>
      </c>
      <c r="AB233" s="209">
        <f t="shared" si="70"/>
        <v>0</v>
      </c>
      <c r="AC233" s="205">
        <f t="shared" si="71"/>
        <v>0</v>
      </c>
      <c r="AD233" s="210">
        <f t="shared" si="72"/>
        <v>10.859027777776646</v>
      </c>
      <c r="AE233" s="210">
        <f t="shared" si="73"/>
        <v>0</v>
      </c>
      <c r="AF233" s="210">
        <f t="shared" si="74"/>
        <v>10.859027777776646</v>
      </c>
      <c r="AG233" s="210">
        <f t="shared" si="75"/>
        <v>0</v>
      </c>
    </row>
    <row r="234" spans="2:33" ht="15" customHeight="1" x14ac:dyDescent="0.3">
      <c r="B234" s="196" t="s">
        <v>5</v>
      </c>
      <c r="C234" s="197" t="s">
        <v>15</v>
      </c>
      <c r="D234" s="198" t="str">
        <f t="shared" si="57"/>
        <v>C</v>
      </c>
      <c r="E234" s="199">
        <v>44412.756944444445</v>
      </c>
      <c r="F234" s="200" t="s">
        <v>90</v>
      </c>
      <c r="G234" s="201">
        <v>7503.76</v>
      </c>
      <c r="H234" s="201">
        <v>7461.79</v>
      </c>
      <c r="I234" s="202">
        <f t="shared" si="58"/>
        <v>41.970000000000255</v>
      </c>
      <c r="J234" s="201">
        <v>8063.37</v>
      </c>
      <c r="K234" s="199">
        <v>44424.554861111108</v>
      </c>
      <c r="L234" s="201">
        <v>7559.97</v>
      </c>
      <c r="M234" s="203">
        <f t="shared" si="59"/>
        <v>56.21</v>
      </c>
      <c r="N234" s="204">
        <f t="shared" si="60"/>
        <v>1.34</v>
      </c>
      <c r="O234" s="205">
        <f t="shared" si="61"/>
        <v>0</v>
      </c>
      <c r="P234" s="206">
        <f t="shared" si="62"/>
        <v>1.34</v>
      </c>
      <c r="Q234" s="206">
        <f t="shared" si="63"/>
        <v>0</v>
      </c>
      <c r="R2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206740</v>
      </c>
      <c r="T2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206740</v>
      </c>
      <c r="U23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34" s="209">
        <f t="shared" si="64"/>
        <v>0</v>
      </c>
      <c r="W234" s="209">
        <f t="shared" si="65"/>
        <v>0</v>
      </c>
      <c r="X234" s="209">
        <f t="shared" si="66"/>
        <v>0</v>
      </c>
      <c r="Y234" s="209">
        <f t="shared" si="67"/>
        <v>0</v>
      </c>
      <c r="Z234" s="209">
        <f t="shared" si="68"/>
        <v>1.34</v>
      </c>
      <c r="AA234" s="205">
        <f t="shared" si="69"/>
        <v>0</v>
      </c>
      <c r="AB234" s="209">
        <f t="shared" si="70"/>
        <v>0</v>
      </c>
      <c r="AC234" s="205">
        <f t="shared" si="71"/>
        <v>0</v>
      </c>
      <c r="AD234" s="210">
        <f t="shared" si="72"/>
        <v>11.797916666662786</v>
      </c>
      <c r="AE234" s="210">
        <f t="shared" si="73"/>
        <v>11.797916666662786</v>
      </c>
      <c r="AF234" s="210">
        <f t="shared" si="74"/>
        <v>0</v>
      </c>
      <c r="AG234" s="210">
        <f t="shared" si="75"/>
        <v>0</v>
      </c>
    </row>
    <row r="235" spans="2:33" ht="15" customHeight="1" x14ac:dyDescent="0.3">
      <c r="B235" s="196" t="s">
        <v>5</v>
      </c>
      <c r="C235" s="197" t="s">
        <v>15</v>
      </c>
      <c r="D235" s="198" t="str">
        <f t="shared" si="57"/>
        <v>C</v>
      </c>
      <c r="E235" s="199">
        <v>44398.708333333336</v>
      </c>
      <c r="F235" s="200" t="s">
        <v>95</v>
      </c>
      <c r="G235" s="201">
        <v>34769.160000000003</v>
      </c>
      <c r="H235" s="201">
        <v>34566.47</v>
      </c>
      <c r="I235" s="202">
        <f t="shared" si="58"/>
        <v>202.69000000000233</v>
      </c>
      <c r="J235" s="201">
        <v>35579.919999999998</v>
      </c>
      <c r="K235" s="199">
        <v>44421.693749999999</v>
      </c>
      <c r="L235" s="201">
        <v>35579.919999999998</v>
      </c>
      <c r="M235" s="203">
        <f t="shared" si="59"/>
        <v>810.76</v>
      </c>
      <c r="N235" s="204">
        <f t="shared" si="60"/>
        <v>4</v>
      </c>
      <c r="O235" s="205">
        <f t="shared" si="61"/>
        <v>0</v>
      </c>
      <c r="P235" s="206">
        <f t="shared" si="62"/>
        <v>4</v>
      </c>
      <c r="Q235" s="206">
        <f t="shared" si="63"/>
        <v>0</v>
      </c>
      <c r="R2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205400</v>
      </c>
      <c r="T2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205400</v>
      </c>
      <c r="U23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35" s="209">
        <f t="shared" si="64"/>
        <v>0</v>
      </c>
      <c r="W235" s="209">
        <f t="shared" si="65"/>
        <v>0</v>
      </c>
      <c r="X235" s="209">
        <f t="shared" si="66"/>
        <v>0</v>
      </c>
      <c r="Y235" s="209">
        <f t="shared" si="67"/>
        <v>0</v>
      </c>
      <c r="Z235" s="209">
        <f t="shared" si="68"/>
        <v>4</v>
      </c>
      <c r="AA235" s="205">
        <f t="shared" si="69"/>
        <v>0</v>
      </c>
      <c r="AB235" s="209">
        <f t="shared" si="70"/>
        <v>0</v>
      </c>
      <c r="AC235" s="205">
        <f t="shared" si="71"/>
        <v>0</v>
      </c>
      <c r="AD235" s="210">
        <f t="shared" si="72"/>
        <v>22.985416666662786</v>
      </c>
      <c r="AE235" s="210">
        <f t="shared" si="73"/>
        <v>22.985416666662786</v>
      </c>
      <c r="AF235" s="210">
        <f t="shared" si="74"/>
        <v>0</v>
      </c>
      <c r="AG235" s="210">
        <f t="shared" si="75"/>
        <v>0</v>
      </c>
    </row>
    <row r="236" spans="2:33" ht="15" customHeight="1" x14ac:dyDescent="0.3">
      <c r="B236" s="196" t="s">
        <v>7</v>
      </c>
      <c r="C236" s="197" t="s">
        <v>15</v>
      </c>
      <c r="D236" s="198" t="str">
        <f t="shared" si="57"/>
        <v>C</v>
      </c>
      <c r="E236" s="199">
        <v>44414.166666666664</v>
      </c>
      <c r="F236" s="200" t="s">
        <v>116</v>
      </c>
      <c r="G236" s="201">
        <v>152.92699999999999</v>
      </c>
      <c r="H236" s="201">
        <v>151.809</v>
      </c>
      <c r="I236" s="202">
        <f t="shared" si="58"/>
        <v>1.117999999999995</v>
      </c>
      <c r="J236" s="201">
        <v>159.18899999999999</v>
      </c>
      <c r="K236" s="199">
        <v>44420.881249999999</v>
      </c>
      <c r="L236" s="201">
        <v>152.44399999999999</v>
      </c>
      <c r="M236" s="203">
        <f t="shared" si="59"/>
        <v>-0.48299999999999998</v>
      </c>
      <c r="N236" s="204">
        <f t="shared" si="60"/>
        <v>-0.43</v>
      </c>
      <c r="O236" s="205">
        <f t="shared" si="61"/>
        <v>0</v>
      </c>
      <c r="P236" s="206">
        <f t="shared" si="62"/>
        <v>0</v>
      </c>
      <c r="Q236" s="206">
        <f t="shared" si="63"/>
        <v>-0.43</v>
      </c>
      <c r="R2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201400</v>
      </c>
      <c r="T2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203980</v>
      </c>
      <c r="U236" s="208">
        <f ca="1">IF(Tabla33610673[[#This Row],[Equity]]&lt;Tabla33610673[[#This Row],[Equity Peak]],(Tabla33610673[[#This Row],[Equity Peak]]-Tabla33610673[[#This Row],[Equity]])/Tabla33610673[[#This Row],[Equity Peak]],"")</f>
        <v>1.2648298852828709E-2</v>
      </c>
      <c r="V236" s="209">
        <f t="shared" si="64"/>
        <v>-0.43</v>
      </c>
      <c r="W236" s="209">
        <f t="shared" si="65"/>
        <v>0</v>
      </c>
      <c r="X236" s="209">
        <f t="shared" si="66"/>
        <v>0</v>
      </c>
      <c r="Y236" s="209">
        <f t="shared" si="67"/>
        <v>0</v>
      </c>
      <c r="Z236" s="209">
        <f t="shared" si="68"/>
        <v>0</v>
      </c>
      <c r="AA236" s="205">
        <f t="shared" si="69"/>
        <v>0</v>
      </c>
      <c r="AB236" s="209">
        <f t="shared" si="70"/>
        <v>0</v>
      </c>
      <c r="AC236" s="205">
        <f t="shared" si="71"/>
        <v>0</v>
      </c>
      <c r="AD236" s="210">
        <f t="shared" si="72"/>
        <v>6.7145833333343035</v>
      </c>
      <c r="AE236" s="210">
        <f t="shared" si="73"/>
        <v>0</v>
      </c>
      <c r="AF236" s="210">
        <f t="shared" si="74"/>
        <v>6.7145833333343035</v>
      </c>
      <c r="AG236" s="210">
        <f t="shared" si="75"/>
        <v>0</v>
      </c>
    </row>
    <row r="237" spans="2:33" ht="15" customHeight="1" x14ac:dyDescent="0.3">
      <c r="B237" s="196" t="s">
        <v>7</v>
      </c>
      <c r="C237" s="197" t="s">
        <v>15</v>
      </c>
      <c r="D237" s="198" t="str">
        <f t="shared" si="57"/>
        <v>C</v>
      </c>
      <c r="E237" s="199">
        <v>44419.666666666664</v>
      </c>
      <c r="F237" s="200" t="s">
        <v>123</v>
      </c>
      <c r="G237" s="201">
        <v>81.480999999999995</v>
      </c>
      <c r="H237" s="201">
        <v>81.179000000000002</v>
      </c>
      <c r="I237" s="202">
        <f t="shared" si="58"/>
        <v>0.3019999999999925</v>
      </c>
      <c r="J237" s="201">
        <v>86.721999999999994</v>
      </c>
      <c r="K237" s="199">
        <v>44420.631249999999</v>
      </c>
      <c r="L237" s="201">
        <v>81.179000000000002</v>
      </c>
      <c r="M237" s="203">
        <f t="shared" si="59"/>
        <v>-0.30199999999999999</v>
      </c>
      <c r="N237" s="204">
        <f t="shared" si="60"/>
        <v>-1</v>
      </c>
      <c r="O237" s="205">
        <f t="shared" si="61"/>
        <v>0</v>
      </c>
      <c r="P237" s="206">
        <f t="shared" si="62"/>
        <v>0</v>
      </c>
      <c r="Q237" s="206">
        <f t="shared" si="63"/>
        <v>-1</v>
      </c>
      <c r="R2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201830</v>
      </c>
      <c r="T2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203980</v>
      </c>
      <c r="U237" s="208">
        <f ca="1">IF(Tabla33610673[[#This Row],[Equity]]&lt;Tabla33610673[[#This Row],[Equity Peak]],(Tabla33610673[[#This Row],[Equity Peak]]-Tabla33610673[[#This Row],[Equity]])/Tabla33610673[[#This Row],[Equity Peak]],"")</f>
        <v>1.0540249044023923E-2</v>
      </c>
      <c r="V237" s="209">
        <f t="shared" si="64"/>
        <v>-1</v>
      </c>
      <c r="W237" s="209">
        <f t="shared" si="65"/>
        <v>0</v>
      </c>
      <c r="X237" s="209">
        <f t="shared" si="66"/>
        <v>0</v>
      </c>
      <c r="Y237" s="209">
        <f t="shared" si="67"/>
        <v>0</v>
      </c>
      <c r="Z237" s="209">
        <f t="shared" si="68"/>
        <v>0</v>
      </c>
      <c r="AA237" s="205">
        <f t="shared" si="69"/>
        <v>0</v>
      </c>
      <c r="AB237" s="209">
        <f t="shared" si="70"/>
        <v>0</v>
      </c>
      <c r="AC237" s="205">
        <f t="shared" si="71"/>
        <v>0</v>
      </c>
      <c r="AD237" s="210">
        <f t="shared" si="72"/>
        <v>0.96458333333430346</v>
      </c>
      <c r="AE237" s="210">
        <f t="shared" si="73"/>
        <v>0</v>
      </c>
      <c r="AF237" s="210">
        <f t="shared" si="74"/>
        <v>0.96458333333430346</v>
      </c>
      <c r="AG237" s="210">
        <f t="shared" si="75"/>
        <v>0</v>
      </c>
    </row>
    <row r="238" spans="2:33" ht="15" customHeight="1" x14ac:dyDescent="0.3">
      <c r="B238" s="196" t="s">
        <v>5</v>
      </c>
      <c r="C238" s="197" t="s">
        <v>15</v>
      </c>
      <c r="D238" s="198" t="str">
        <f t="shared" si="57"/>
        <v>C</v>
      </c>
      <c r="E238" s="199">
        <v>44420.125</v>
      </c>
      <c r="F238" s="200" t="s">
        <v>94</v>
      </c>
      <c r="G238" s="201">
        <v>7196.37</v>
      </c>
      <c r="H238" s="201">
        <v>7149.45</v>
      </c>
      <c r="I238" s="202">
        <f t="shared" si="58"/>
        <v>46.920000000000073</v>
      </c>
      <c r="J238" s="201">
        <v>7430.96</v>
      </c>
      <c r="K238" s="199">
        <v>44420.158333333333</v>
      </c>
      <c r="L238" s="201">
        <v>7188.7</v>
      </c>
      <c r="M238" s="203">
        <f t="shared" si="59"/>
        <v>-7.67</v>
      </c>
      <c r="N238" s="204">
        <f t="shared" si="60"/>
        <v>-0.16</v>
      </c>
      <c r="O238" s="205">
        <f t="shared" si="61"/>
        <v>0</v>
      </c>
      <c r="P238" s="206">
        <f t="shared" si="62"/>
        <v>0</v>
      </c>
      <c r="Q238" s="206">
        <f t="shared" si="63"/>
        <v>-0.16</v>
      </c>
      <c r="R2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202830</v>
      </c>
      <c r="T2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203980</v>
      </c>
      <c r="U238" s="208">
        <f ca="1">IF(Tabla33610673[[#This Row],[Equity]]&lt;Tabla33610673[[#This Row],[Equity Peak]],(Tabla33610673[[#This Row],[Equity Peak]]-Tabla33610673[[#This Row],[Equity]])/Tabla33610673[[#This Row],[Equity Peak]],"")</f>
        <v>5.6378076281988427E-3</v>
      </c>
      <c r="V238" s="209">
        <f t="shared" si="64"/>
        <v>0</v>
      </c>
      <c r="W238" s="209">
        <f t="shared" si="65"/>
        <v>0</v>
      </c>
      <c r="X238" s="209">
        <f t="shared" si="66"/>
        <v>0</v>
      </c>
      <c r="Y238" s="209">
        <f t="shared" si="67"/>
        <v>0</v>
      </c>
      <c r="Z238" s="209">
        <f t="shared" si="68"/>
        <v>-0.16</v>
      </c>
      <c r="AA238" s="205">
        <f t="shared" si="69"/>
        <v>0</v>
      </c>
      <c r="AB238" s="209">
        <f t="shared" si="70"/>
        <v>0</v>
      </c>
      <c r="AC238" s="205">
        <f t="shared" si="71"/>
        <v>0</v>
      </c>
      <c r="AD238" s="210">
        <f t="shared" si="72"/>
        <v>3.3333333332848269E-2</v>
      </c>
      <c r="AE238" s="210">
        <f t="shared" si="73"/>
        <v>0</v>
      </c>
      <c r="AF238" s="210">
        <f t="shared" si="74"/>
        <v>3.3333333332848269E-2</v>
      </c>
      <c r="AG238" s="210">
        <f t="shared" si="75"/>
        <v>0</v>
      </c>
    </row>
    <row r="239" spans="2:33" ht="15" customHeight="1" x14ac:dyDescent="0.3">
      <c r="B239" s="196" t="s">
        <v>7</v>
      </c>
      <c r="C239" s="197" t="s">
        <v>13</v>
      </c>
      <c r="D239" s="198" t="str">
        <f t="shared" si="57"/>
        <v>C</v>
      </c>
      <c r="E239" s="199">
        <v>44417.166666666664</v>
      </c>
      <c r="F239" s="200" t="s">
        <v>122</v>
      </c>
      <c r="G239" s="201">
        <v>0.73365999999999998</v>
      </c>
      <c r="H239" s="201">
        <v>0.73648999999999998</v>
      </c>
      <c r="I239" s="202">
        <f t="shared" si="58"/>
        <v>2.8299999999999992E-3</v>
      </c>
      <c r="J239" s="201">
        <v>0.71855000000000002</v>
      </c>
      <c r="K239" s="199">
        <v>44419.650694444441</v>
      </c>
      <c r="L239" s="201">
        <v>0.73648999999999998</v>
      </c>
      <c r="M239" s="203">
        <f t="shared" si="59"/>
        <v>-2.8E-3</v>
      </c>
      <c r="N239" s="204">
        <f t="shared" si="60"/>
        <v>-0.99</v>
      </c>
      <c r="O239" s="205">
        <f t="shared" si="61"/>
        <v>0</v>
      </c>
      <c r="P239" s="206">
        <f t="shared" si="62"/>
        <v>0</v>
      </c>
      <c r="Q239" s="206">
        <f t="shared" si="63"/>
        <v>-0.99</v>
      </c>
      <c r="R2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202990</v>
      </c>
      <c r="T2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203980</v>
      </c>
      <c r="U239" s="208">
        <f ca="1">IF(Tabla33610673[[#This Row],[Equity]]&lt;Tabla33610673[[#This Row],[Equity Peak]],(Tabla33610673[[#This Row],[Equity Peak]]-Tabla33610673[[#This Row],[Equity]])/Tabla33610673[[#This Row],[Equity Peak]],"")</f>
        <v>4.8534170016668304E-3</v>
      </c>
      <c r="V239" s="209">
        <f t="shared" si="64"/>
        <v>-0.99</v>
      </c>
      <c r="W239" s="209">
        <f t="shared" si="65"/>
        <v>0</v>
      </c>
      <c r="X239" s="209">
        <f t="shared" si="66"/>
        <v>0</v>
      </c>
      <c r="Y239" s="209">
        <f t="shared" si="67"/>
        <v>0</v>
      </c>
      <c r="Z239" s="209">
        <f t="shared" si="68"/>
        <v>0</v>
      </c>
      <c r="AA239" s="205">
        <f t="shared" si="69"/>
        <v>0</v>
      </c>
      <c r="AB239" s="209">
        <f t="shared" si="70"/>
        <v>0</v>
      </c>
      <c r="AC239" s="205">
        <f t="shared" si="71"/>
        <v>0</v>
      </c>
      <c r="AD239" s="210">
        <f t="shared" si="72"/>
        <v>2.484027777776646</v>
      </c>
      <c r="AE239" s="210">
        <f t="shared" si="73"/>
        <v>0</v>
      </c>
      <c r="AF239" s="210">
        <f t="shared" si="74"/>
        <v>2.484027777776646</v>
      </c>
      <c r="AG239" s="210">
        <f t="shared" si="75"/>
        <v>0</v>
      </c>
    </row>
    <row r="240" spans="2:33" ht="15" customHeight="1" x14ac:dyDescent="0.3">
      <c r="B240" s="196" t="s">
        <v>7</v>
      </c>
      <c r="C240" s="197" t="s">
        <v>13</v>
      </c>
      <c r="D240" s="198" t="str">
        <f t="shared" si="57"/>
        <v>C</v>
      </c>
      <c r="E240" s="199">
        <v>44414.5</v>
      </c>
      <c r="F240" s="200" t="s">
        <v>118</v>
      </c>
      <c r="G240" s="201">
        <v>1.1811100000000001</v>
      </c>
      <c r="H240" s="201">
        <v>1.1865000000000001</v>
      </c>
      <c r="I240" s="202">
        <f t="shared" si="58"/>
        <v>5.3900000000000059E-3</v>
      </c>
      <c r="J240" s="201">
        <v>1.1466099999999999</v>
      </c>
      <c r="K240" s="199">
        <v>44419.650694444441</v>
      </c>
      <c r="L240" s="201">
        <v>1.1740699999999999</v>
      </c>
      <c r="M240" s="203">
        <f t="shared" si="59"/>
        <v>7.0000000000000001E-3</v>
      </c>
      <c r="N240" s="204">
        <f t="shared" si="60"/>
        <v>1.3</v>
      </c>
      <c r="O240" s="205">
        <f t="shared" si="61"/>
        <v>0</v>
      </c>
      <c r="P240" s="206">
        <f t="shared" si="62"/>
        <v>1.3</v>
      </c>
      <c r="Q240" s="206">
        <f t="shared" si="63"/>
        <v>0</v>
      </c>
      <c r="R2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203980</v>
      </c>
      <c r="T2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203980</v>
      </c>
      <c r="U24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0" s="209">
        <f t="shared" si="64"/>
        <v>1.3</v>
      </c>
      <c r="W240" s="209">
        <f t="shared" si="65"/>
        <v>0</v>
      </c>
      <c r="X240" s="209">
        <f t="shared" si="66"/>
        <v>0</v>
      </c>
      <c r="Y240" s="209">
        <f t="shared" si="67"/>
        <v>0</v>
      </c>
      <c r="Z240" s="209">
        <f t="shared" si="68"/>
        <v>0</v>
      </c>
      <c r="AA240" s="205">
        <f t="shared" si="69"/>
        <v>0</v>
      </c>
      <c r="AB240" s="209">
        <f t="shared" si="70"/>
        <v>0</v>
      </c>
      <c r="AC240" s="205">
        <f t="shared" si="71"/>
        <v>0</v>
      </c>
      <c r="AD240" s="210">
        <f t="shared" si="72"/>
        <v>5.1506944444408873</v>
      </c>
      <c r="AE240" s="210">
        <f t="shared" si="73"/>
        <v>5.1506944444408873</v>
      </c>
      <c r="AF240" s="210">
        <f t="shared" si="74"/>
        <v>0</v>
      </c>
      <c r="AG240" s="210">
        <f t="shared" si="75"/>
        <v>0</v>
      </c>
    </row>
    <row r="241" spans="2:33" ht="15" customHeight="1" x14ac:dyDescent="0.3">
      <c r="B241" s="196" t="s">
        <v>7</v>
      </c>
      <c r="C241" s="197" t="s">
        <v>15</v>
      </c>
      <c r="D241" s="198" t="str">
        <f t="shared" si="57"/>
        <v>C</v>
      </c>
      <c r="E241" s="199">
        <v>44414.5</v>
      </c>
      <c r="F241" s="200" t="s">
        <v>114</v>
      </c>
      <c r="G241" s="201">
        <v>109.782</v>
      </c>
      <c r="H241" s="201">
        <v>109.328</v>
      </c>
      <c r="I241" s="202">
        <f t="shared" si="58"/>
        <v>0.45399999999999352</v>
      </c>
      <c r="J241" s="201">
        <v>111.9</v>
      </c>
      <c r="K241" s="199">
        <v>44419.648611111108</v>
      </c>
      <c r="L241" s="201">
        <v>110.526</v>
      </c>
      <c r="M241" s="203">
        <f t="shared" si="59"/>
        <v>0.74399999999999999</v>
      </c>
      <c r="N241" s="204">
        <f t="shared" si="60"/>
        <v>1.64</v>
      </c>
      <c r="O241" s="205">
        <f t="shared" si="61"/>
        <v>0</v>
      </c>
      <c r="P241" s="206">
        <f t="shared" si="62"/>
        <v>1.64</v>
      </c>
      <c r="Q241" s="206">
        <f t="shared" si="63"/>
        <v>0</v>
      </c>
      <c r="R2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202680</v>
      </c>
      <c r="T2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202680</v>
      </c>
      <c r="U24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1" s="209">
        <f t="shared" si="64"/>
        <v>1.64</v>
      </c>
      <c r="W241" s="209">
        <f t="shared" si="65"/>
        <v>0</v>
      </c>
      <c r="X241" s="209">
        <f t="shared" si="66"/>
        <v>0</v>
      </c>
      <c r="Y241" s="209">
        <f t="shared" si="67"/>
        <v>0</v>
      </c>
      <c r="Z241" s="209">
        <f t="shared" si="68"/>
        <v>0</v>
      </c>
      <c r="AA241" s="205">
        <f t="shared" si="69"/>
        <v>0</v>
      </c>
      <c r="AB241" s="209">
        <f t="shared" si="70"/>
        <v>0</v>
      </c>
      <c r="AC241" s="205">
        <f t="shared" si="71"/>
        <v>0</v>
      </c>
      <c r="AD241" s="210">
        <f t="shared" si="72"/>
        <v>5.148611111108039</v>
      </c>
      <c r="AE241" s="210">
        <f t="shared" si="73"/>
        <v>5.148611111108039</v>
      </c>
      <c r="AF241" s="210">
        <f t="shared" si="74"/>
        <v>0</v>
      </c>
      <c r="AG241" s="210">
        <f t="shared" si="75"/>
        <v>0</v>
      </c>
    </row>
    <row r="242" spans="2:33" ht="15" customHeight="1" x14ac:dyDescent="0.3">
      <c r="B242" s="196" t="s">
        <v>5</v>
      </c>
      <c r="C242" s="197" t="s">
        <v>15</v>
      </c>
      <c r="D242" s="198" t="str">
        <f t="shared" si="57"/>
        <v>C</v>
      </c>
      <c r="E242" s="199">
        <v>44399.208333333336</v>
      </c>
      <c r="F242" s="200" t="s">
        <v>93</v>
      </c>
      <c r="G242" s="201">
        <v>4363.3599999999997</v>
      </c>
      <c r="H242" s="201">
        <v>4333.28</v>
      </c>
      <c r="I242" s="202">
        <f t="shared" si="58"/>
        <v>30.079999999999927</v>
      </c>
      <c r="J242" s="201">
        <v>4443.57</v>
      </c>
      <c r="K242" s="199">
        <v>44418.71875</v>
      </c>
      <c r="L242" s="201">
        <v>4443.57</v>
      </c>
      <c r="M242" s="203">
        <f t="shared" si="59"/>
        <v>80.209999999999994</v>
      </c>
      <c r="N242" s="204">
        <f t="shared" si="60"/>
        <v>2.67</v>
      </c>
      <c r="O242" s="205">
        <f t="shared" si="61"/>
        <v>0</v>
      </c>
      <c r="P242" s="206">
        <f t="shared" si="62"/>
        <v>2.67</v>
      </c>
      <c r="Q242" s="206">
        <f t="shared" si="63"/>
        <v>0</v>
      </c>
      <c r="R2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201040</v>
      </c>
      <c r="T2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201040</v>
      </c>
      <c r="U24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2" s="209">
        <f t="shared" si="64"/>
        <v>0</v>
      </c>
      <c r="W242" s="209">
        <f t="shared" si="65"/>
        <v>0</v>
      </c>
      <c r="X242" s="209">
        <f t="shared" si="66"/>
        <v>0</v>
      </c>
      <c r="Y242" s="209">
        <f t="shared" si="67"/>
        <v>0</v>
      </c>
      <c r="Z242" s="209">
        <f t="shared" si="68"/>
        <v>2.67</v>
      </c>
      <c r="AA242" s="205">
        <f t="shared" si="69"/>
        <v>0</v>
      </c>
      <c r="AB242" s="209">
        <f t="shared" si="70"/>
        <v>0</v>
      </c>
      <c r="AC242" s="205">
        <f t="shared" si="71"/>
        <v>0</v>
      </c>
      <c r="AD242" s="210">
        <f t="shared" si="72"/>
        <v>19.510416666664241</v>
      </c>
      <c r="AE242" s="210">
        <f t="shared" si="73"/>
        <v>19.510416666664241</v>
      </c>
      <c r="AF242" s="210">
        <f t="shared" si="74"/>
        <v>0</v>
      </c>
      <c r="AG242" s="210">
        <f t="shared" si="75"/>
        <v>0</v>
      </c>
    </row>
    <row r="243" spans="2:33" ht="15" customHeight="1" x14ac:dyDescent="0.3">
      <c r="B243" s="196" t="s">
        <v>19</v>
      </c>
      <c r="C243" s="197" t="s">
        <v>13</v>
      </c>
      <c r="D243" s="198" t="str">
        <f t="shared" si="57"/>
        <v>C</v>
      </c>
      <c r="E243" s="199">
        <v>44413.541666666664</v>
      </c>
      <c r="F243" s="200" t="s">
        <v>88</v>
      </c>
      <c r="G243" s="201">
        <v>1810.49</v>
      </c>
      <c r="H243" s="201">
        <v>1826.78</v>
      </c>
      <c r="I243" s="202">
        <f t="shared" si="58"/>
        <v>16.289999999999964</v>
      </c>
      <c r="J243" s="201">
        <v>1706.25</v>
      </c>
      <c r="K243" s="199">
        <v>44417.081250000003</v>
      </c>
      <c r="L243" s="201">
        <v>1706.25</v>
      </c>
      <c r="M243" s="203">
        <f t="shared" si="59"/>
        <v>104.24</v>
      </c>
      <c r="N243" s="204">
        <f t="shared" si="60"/>
        <v>6.4</v>
      </c>
      <c r="O243" s="205">
        <f t="shared" si="61"/>
        <v>0</v>
      </c>
      <c r="P243" s="206">
        <f t="shared" si="62"/>
        <v>6.4</v>
      </c>
      <c r="Q243" s="206">
        <f t="shared" si="63"/>
        <v>0</v>
      </c>
      <c r="R2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198370</v>
      </c>
      <c r="T2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198370</v>
      </c>
      <c r="U24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3" s="209">
        <f t="shared" si="64"/>
        <v>0</v>
      </c>
      <c r="W243" s="209">
        <f t="shared" si="65"/>
        <v>0</v>
      </c>
      <c r="X243" s="209">
        <f t="shared" si="66"/>
        <v>6.4</v>
      </c>
      <c r="Y243" s="209">
        <f t="shared" si="67"/>
        <v>0</v>
      </c>
      <c r="Z243" s="209">
        <f t="shared" si="68"/>
        <v>0</v>
      </c>
      <c r="AA243" s="205">
        <f t="shared" si="69"/>
        <v>0</v>
      </c>
      <c r="AB243" s="209">
        <f t="shared" si="70"/>
        <v>0</v>
      </c>
      <c r="AC243" s="205">
        <f t="shared" si="71"/>
        <v>0</v>
      </c>
      <c r="AD243" s="210">
        <f t="shared" si="72"/>
        <v>3.539583333338669</v>
      </c>
      <c r="AE243" s="210">
        <f t="shared" si="73"/>
        <v>3.539583333338669</v>
      </c>
      <c r="AF243" s="210">
        <f t="shared" si="74"/>
        <v>0</v>
      </c>
      <c r="AG243" s="210">
        <f t="shared" si="75"/>
        <v>0</v>
      </c>
    </row>
    <row r="244" spans="2:33" ht="15" customHeight="1" x14ac:dyDescent="0.3">
      <c r="B244" s="196" t="s">
        <v>7</v>
      </c>
      <c r="C244" s="197" t="s">
        <v>13</v>
      </c>
      <c r="D244" s="198" t="str">
        <f t="shared" si="57"/>
        <v>C</v>
      </c>
      <c r="E244" s="199">
        <v>44403.5</v>
      </c>
      <c r="F244" s="200" t="s">
        <v>120</v>
      </c>
      <c r="G244" s="201">
        <v>0.85585999999999995</v>
      </c>
      <c r="H244" s="201">
        <v>0.85894999999999999</v>
      </c>
      <c r="I244" s="202">
        <f t="shared" si="58"/>
        <v>3.0900000000000372E-3</v>
      </c>
      <c r="J244" s="201">
        <v>0.84762999999999999</v>
      </c>
      <c r="K244" s="199">
        <v>44414.650694444441</v>
      </c>
      <c r="L244" s="201">
        <v>0.84762999999999999</v>
      </c>
      <c r="M244" s="203">
        <f t="shared" si="59"/>
        <v>8.2000000000000007E-3</v>
      </c>
      <c r="N244" s="204">
        <f t="shared" si="60"/>
        <v>2.65</v>
      </c>
      <c r="O244" s="205">
        <f t="shared" si="61"/>
        <v>0</v>
      </c>
      <c r="P244" s="206">
        <f t="shared" si="62"/>
        <v>2.65</v>
      </c>
      <c r="Q244" s="206">
        <f t="shared" si="63"/>
        <v>0</v>
      </c>
      <c r="R2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191970</v>
      </c>
      <c r="T2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191970</v>
      </c>
      <c r="U24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4" s="209">
        <f t="shared" si="64"/>
        <v>2.65</v>
      </c>
      <c r="W244" s="209">
        <f t="shared" si="65"/>
        <v>0</v>
      </c>
      <c r="X244" s="209">
        <f t="shared" si="66"/>
        <v>0</v>
      </c>
      <c r="Y244" s="209">
        <f t="shared" si="67"/>
        <v>0</v>
      </c>
      <c r="Z244" s="209">
        <f t="shared" si="68"/>
        <v>0</v>
      </c>
      <c r="AA244" s="205">
        <f t="shared" si="69"/>
        <v>0</v>
      </c>
      <c r="AB244" s="209">
        <f t="shared" si="70"/>
        <v>0</v>
      </c>
      <c r="AC244" s="205">
        <f t="shared" si="71"/>
        <v>0</v>
      </c>
      <c r="AD244" s="210">
        <f t="shared" si="72"/>
        <v>11.150694444440887</v>
      </c>
      <c r="AE244" s="210">
        <f t="shared" si="73"/>
        <v>11.150694444440887</v>
      </c>
      <c r="AF244" s="210">
        <f t="shared" si="74"/>
        <v>0</v>
      </c>
      <c r="AG244" s="210">
        <f t="shared" si="75"/>
        <v>0</v>
      </c>
    </row>
    <row r="245" spans="2:33" ht="15" customHeight="1" x14ac:dyDescent="0.3">
      <c r="B245" s="196" t="s">
        <v>7</v>
      </c>
      <c r="C245" s="197" t="s">
        <v>13</v>
      </c>
      <c r="D245" s="198" t="str">
        <f t="shared" si="57"/>
        <v>C</v>
      </c>
      <c r="E245" s="199">
        <v>44411.333333333336</v>
      </c>
      <c r="F245" s="200" t="s">
        <v>116</v>
      </c>
      <c r="G245" s="201">
        <v>151.709</v>
      </c>
      <c r="H245" s="201">
        <v>152.738</v>
      </c>
      <c r="I245" s="202">
        <f t="shared" si="58"/>
        <v>1.0289999999999964</v>
      </c>
      <c r="J245" s="201">
        <v>145.94499999999999</v>
      </c>
      <c r="K245" s="199">
        <v>44413.711111111108</v>
      </c>
      <c r="L245" s="201">
        <v>152.738</v>
      </c>
      <c r="M245" s="203">
        <f t="shared" si="59"/>
        <v>-1.0289999999999999</v>
      </c>
      <c r="N245" s="204">
        <f t="shared" si="60"/>
        <v>-1</v>
      </c>
      <c r="O245" s="205">
        <f t="shared" si="61"/>
        <v>0</v>
      </c>
      <c r="P245" s="206">
        <f t="shared" si="62"/>
        <v>0</v>
      </c>
      <c r="Q245" s="206">
        <f t="shared" si="63"/>
        <v>-1</v>
      </c>
      <c r="R2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189320</v>
      </c>
      <c r="T2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190320</v>
      </c>
      <c r="U245" s="208">
        <f ca="1">IF(Tabla33610673[[#This Row],[Equity]]&lt;Tabla33610673[[#This Row],[Equity Peak]],(Tabla33610673[[#This Row],[Equity Peak]]-Tabla33610673[[#This Row],[Equity]])/Tabla33610673[[#This Row],[Equity Peak]],"")</f>
        <v>5.254308532997058E-3</v>
      </c>
      <c r="V245" s="209">
        <f t="shared" si="64"/>
        <v>-1</v>
      </c>
      <c r="W245" s="209">
        <f t="shared" si="65"/>
        <v>0</v>
      </c>
      <c r="X245" s="209">
        <f t="shared" si="66"/>
        <v>0</v>
      </c>
      <c r="Y245" s="209">
        <f t="shared" si="67"/>
        <v>0</v>
      </c>
      <c r="Z245" s="209">
        <f t="shared" si="68"/>
        <v>0</v>
      </c>
      <c r="AA245" s="205">
        <f t="shared" si="69"/>
        <v>0</v>
      </c>
      <c r="AB245" s="209">
        <f t="shared" si="70"/>
        <v>0</v>
      </c>
      <c r="AC245" s="205">
        <f t="shared" si="71"/>
        <v>0</v>
      </c>
      <c r="AD245" s="210">
        <f t="shared" si="72"/>
        <v>2.3777777777722804</v>
      </c>
      <c r="AE245" s="210">
        <f t="shared" si="73"/>
        <v>0</v>
      </c>
      <c r="AF245" s="210">
        <f t="shared" si="74"/>
        <v>2.3777777777722804</v>
      </c>
      <c r="AG245" s="210">
        <f t="shared" si="75"/>
        <v>0</v>
      </c>
    </row>
    <row r="246" spans="2:33" ht="15" customHeight="1" x14ac:dyDescent="0.3">
      <c r="B246" s="196" t="s">
        <v>84</v>
      </c>
      <c r="C246" s="197" t="s">
        <v>15</v>
      </c>
      <c r="D246" s="198" t="str">
        <f t="shared" si="57"/>
        <v>C</v>
      </c>
      <c r="E246" s="199">
        <v>44399.666666666664</v>
      </c>
      <c r="F246" s="200" t="s">
        <v>80</v>
      </c>
      <c r="G246" s="201">
        <v>32197.919999999998</v>
      </c>
      <c r="H246" s="201">
        <v>30863.49</v>
      </c>
      <c r="I246" s="202">
        <f t="shared" si="58"/>
        <v>1334.4299999999967</v>
      </c>
      <c r="J246" s="201">
        <v>52214.35</v>
      </c>
      <c r="K246" s="199">
        <v>44411.631249999999</v>
      </c>
      <c r="L246" s="201">
        <v>37845.089999999997</v>
      </c>
      <c r="M246" s="203">
        <f t="shared" si="59"/>
        <v>5647.17</v>
      </c>
      <c r="N246" s="204">
        <f t="shared" si="60"/>
        <v>4.2300000000000004</v>
      </c>
      <c r="O246" s="205">
        <f t="shared" si="61"/>
        <v>0</v>
      </c>
      <c r="P246" s="206">
        <f t="shared" si="62"/>
        <v>4.2300000000000004</v>
      </c>
      <c r="Q246" s="206">
        <f t="shared" si="63"/>
        <v>0</v>
      </c>
      <c r="R2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190320</v>
      </c>
      <c r="T2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190320</v>
      </c>
      <c r="U24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6" s="209">
        <f t="shared" si="64"/>
        <v>0</v>
      </c>
      <c r="W246" s="209">
        <f t="shared" si="65"/>
        <v>0</v>
      </c>
      <c r="X246" s="209">
        <f t="shared" si="66"/>
        <v>0</v>
      </c>
      <c r="Y246" s="209">
        <f t="shared" si="67"/>
        <v>0</v>
      </c>
      <c r="Z246" s="209">
        <f t="shared" si="68"/>
        <v>0</v>
      </c>
      <c r="AA246" s="205">
        <f t="shared" si="69"/>
        <v>0</v>
      </c>
      <c r="AB246" s="209">
        <f t="shared" si="70"/>
        <v>4.2300000000000004</v>
      </c>
      <c r="AC246" s="205">
        <f t="shared" si="71"/>
        <v>0</v>
      </c>
      <c r="AD246" s="210">
        <f t="shared" si="72"/>
        <v>11.964583333334303</v>
      </c>
      <c r="AE246" s="210">
        <f t="shared" si="73"/>
        <v>11.964583333334303</v>
      </c>
      <c r="AF246" s="210">
        <f t="shared" si="74"/>
        <v>0</v>
      </c>
      <c r="AG246" s="210">
        <f t="shared" si="75"/>
        <v>0</v>
      </c>
    </row>
    <row r="247" spans="2:33" ht="15" customHeight="1" x14ac:dyDescent="0.3">
      <c r="B247" s="196" t="s">
        <v>5</v>
      </c>
      <c r="C247" s="197" t="s">
        <v>15</v>
      </c>
      <c r="D247" s="198" t="str">
        <f t="shared" si="57"/>
        <v>C</v>
      </c>
      <c r="E247" s="199">
        <v>44410.284722222219</v>
      </c>
      <c r="F247" s="200" t="s">
        <v>90</v>
      </c>
      <c r="G247" s="201">
        <v>7493.96</v>
      </c>
      <c r="H247" s="201">
        <v>7448.77</v>
      </c>
      <c r="I247" s="202">
        <f t="shared" si="58"/>
        <v>45.1899999999996</v>
      </c>
      <c r="J247" s="201">
        <v>8096.52</v>
      </c>
      <c r="K247" s="199">
        <v>44410.656944444447</v>
      </c>
      <c r="L247" s="201">
        <v>7448.77</v>
      </c>
      <c r="M247" s="203">
        <f t="shared" si="59"/>
        <v>-45.19</v>
      </c>
      <c r="N247" s="204">
        <f t="shared" si="60"/>
        <v>-1</v>
      </c>
      <c r="O247" s="205">
        <f t="shared" si="61"/>
        <v>0</v>
      </c>
      <c r="P247" s="206">
        <f t="shared" si="62"/>
        <v>0</v>
      </c>
      <c r="Q247" s="206">
        <f t="shared" si="63"/>
        <v>-1</v>
      </c>
      <c r="R2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186090</v>
      </c>
      <c r="T2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47" s="208">
        <f ca="1">IF(Tabla33610673[[#This Row],[Equity]]&lt;Tabla33610673[[#This Row],[Equity Peak]],(Tabla33610673[[#This Row],[Equity Peak]]-Tabla33610673[[#This Row],[Equity]])/Tabla33610673[[#This Row],[Equity Peak]],"")</f>
        <v>1.383147853736089E-2</v>
      </c>
      <c r="V247" s="209">
        <f t="shared" si="64"/>
        <v>0</v>
      </c>
      <c r="W247" s="209">
        <f t="shared" si="65"/>
        <v>0</v>
      </c>
      <c r="X247" s="209">
        <f t="shared" si="66"/>
        <v>0</v>
      </c>
      <c r="Y247" s="209">
        <f t="shared" si="67"/>
        <v>0</v>
      </c>
      <c r="Z247" s="209">
        <f t="shared" si="68"/>
        <v>-1</v>
      </c>
      <c r="AA247" s="205">
        <f t="shared" si="69"/>
        <v>0</v>
      </c>
      <c r="AB247" s="209">
        <f t="shared" si="70"/>
        <v>0</v>
      </c>
      <c r="AC247" s="205">
        <f t="shared" si="71"/>
        <v>0</v>
      </c>
      <c r="AD247" s="210">
        <f t="shared" si="72"/>
        <v>0.37222222222771961</v>
      </c>
      <c r="AE247" s="210">
        <f t="shared" si="73"/>
        <v>0</v>
      </c>
      <c r="AF247" s="210">
        <f t="shared" si="74"/>
        <v>0.37222222222771961</v>
      </c>
      <c r="AG247" s="210">
        <f t="shared" si="75"/>
        <v>0</v>
      </c>
    </row>
    <row r="248" spans="2:33" ht="15" customHeight="1" x14ac:dyDescent="0.3">
      <c r="B248" s="196" t="s">
        <v>7</v>
      </c>
      <c r="C248" s="197" t="s">
        <v>15</v>
      </c>
      <c r="D248" s="198" t="str">
        <f t="shared" si="57"/>
        <v>C</v>
      </c>
      <c r="E248" s="199">
        <v>44406.166666666664</v>
      </c>
      <c r="F248" s="200" t="s">
        <v>116</v>
      </c>
      <c r="G248" s="201">
        <v>152.608</v>
      </c>
      <c r="H248" s="201">
        <v>151.54400000000001</v>
      </c>
      <c r="I248" s="202">
        <f t="shared" si="58"/>
        <v>1.063999999999993</v>
      </c>
      <c r="J248" s="201">
        <v>158.56800000000001</v>
      </c>
      <c r="K248" s="199">
        <v>44410.629861111112</v>
      </c>
      <c r="L248" s="201">
        <v>152.126</v>
      </c>
      <c r="M248" s="203">
        <f t="shared" si="59"/>
        <v>-0.48199999999999998</v>
      </c>
      <c r="N248" s="204">
        <f t="shared" si="60"/>
        <v>-0.45</v>
      </c>
      <c r="O248" s="205">
        <f t="shared" si="61"/>
        <v>0</v>
      </c>
      <c r="P248" s="206">
        <f t="shared" si="62"/>
        <v>0</v>
      </c>
      <c r="Q248" s="206">
        <f t="shared" si="63"/>
        <v>-0.45</v>
      </c>
      <c r="R2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187090</v>
      </c>
      <c r="T2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48" s="208">
        <f ca="1">IF(Tabla33610673[[#This Row],[Equity]]&lt;Tabla33610673[[#This Row],[Equity Peak]],(Tabla33610673[[#This Row],[Equity Peak]]-Tabla33610673[[#This Row],[Equity]])/Tabla33610673[[#This Row],[Equity Peak]],"")</f>
        <v>8.5320614732379441E-3</v>
      </c>
      <c r="V248" s="209">
        <f t="shared" si="64"/>
        <v>-0.45</v>
      </c>
      <c r="W248" s="209">
        <f t="shared" si="65"/>
        <v>0</v>
      </c>
      <c r="X248" s="209">
        <f t="shared" si="66"/>
        <v>0</v>
      </c>
      <c r="Y248" s="209">
        <f t="shared" si="67"/>
        <v>0</v>
      </c>
      <c r="Z248" s="209">
        <f t="shared" si="68"/>
        <v>0</v>
      </c>
      <c r="AA248" s="205">
        <f t="shared" si="69"/>
        <v>0</v>
      </c>
      <c r="AB248" s="209">
        <f t="shared" si="70"/>
        <v>0</v>
      </c>
      <c r="AC248" s="205">
        <f t="shared" si="71"/>
        <v>0</v>
      </c>
      <c r="AD248" s="210">
        <f t="shared" si="72"/>
        <v>4.4631944444481633</v>
      </c>
      <c r="AE248" s="210">
        <f t="shared" si="73"/>
        <v>0</v>
      </c>
      <c r="AF248" s="210">
        <f t="shared" si="74"/>
        <v>4.4631944444481633</v>
      </c>
      <c r="AG248" s="210">
        <f t="shared" si="75"/>
        <v>0</v>
      </c>
    </row>
    <row r="249" spans="2:33" ht="15" customHeight="1" x14ac:dyDescent="0.3">
      <c r="B249" s="196" t="s">
        <v>19</v>
      </c>
      <c r="C249" s="197" t="s">
        <v>15</v>
      </c>
      <c r="D249" s="198" t="str">
        <f t="shared" si="57"/>
        <v>C</v>
      </c>
      <c r="E249" s="199">
        <v>44406.208333333336</v>
      </c>
      <c r="F249" s="200" t="s">
        <v>88</v>
      </c>
      <c r="G249" s="201">
        <v>1815.69</v>
      </c>
      <c r="H249" s="201">
        <v>1796.73</v>
      </c>
      <c r="I249" s="202">
        <f t="shared" si="58"/>
        <v>18.960000000000036</v>
      </c>
      <c r="J249" s="201">
        <v>1937.04</v>
      </c>
      <c r="K249" s="199">
        <v>44407.896527777775</v>
      </c>
      <c r="L249" s="201">
        <v>1811.3</v>
      </c>
      <c r="M249" s="203">
        <f t="shared" si="59"/>
        <v>-4.3899999999999997</v>
      </c>
      <c r="N249" s="204">
        <f t="shared" si="60"/>
        <v>-0.23</v>
      </c>
      <c r="O249" s="205">
        <f t="shared" si="61"/>
        <v>0</v>
      </c>
      <c r="P249" s="206">
        <f t="shared" si="62"/>
        <v>0</v>
      </c>
      <c r="Q249" s="206">
        <f t="shared" si="63"/>
        <v>-0.23</v>
      </c>
      <c r="R2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187540</v>
      </c>
      <c r="T2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49" s="208">
        <f ca="1">IF(Tabla33610673[[#This Row],[Equity]]&lt;Tabla33610673[[#This Row],[Equity Peak]],(Tabla33610673[[#This Row],[Equity Peak]]-Tabla33610673[[#This Row],[Equity]])/Tabla33610673[[#This Row],[Equity Peak]],"")</f>
        <v>6.1473237943826175E-3</v>
      </c>
      <c r="V249" s="209">
        <f t="shared" si="64"/>
        <v>0</v>
      </c>
      <c r="W249" s="209">
        <f t="shared" si="65"/>
        <v>0</v>
      </c>
      <c r="X249" s="209">
        <f t="shared" si="66"/>
        <v>-0.23</v>
      </c>
      <c r="Y249" s="209">
        <f t="shared" si="67"/>
        <v>0</v>
      </c>
      <c r="Z249" s="209">
        <f t="shared" si="68"/>
        <v>0</v>
      </c>
      <c r="AA249" s="205">
        <f t="shared" si="69"/>
        <v>0</v>
      </c>
      <c r="AB249" s="209">
        <f t="shared" si="70"/>
        <v>0</v>
      </c>
      <c r="AC249" s="205">
        <f t="shared" si="71"/>
        <v>0</v>
      </c>
      <c r="AD249" s="210">
        <f t="shared" si="72"/>
        <v>1.6881944444394321</v>
      </c>
      <c r="AE249" s="210">
        <f t="shared" si="73"/>
        <v>0</v>
      </c>
      <c r="AF249" s="210">
        <f t="shared" si="74"/>
        <v>1.6881944444394321</v>
      </c>
      <c r="AG249" s="210">
        <f t="shared" si="75"/>
        <v>0</v>
      </c>
    </row>
    <row r="250" spans="2:33" ht="15" customHeight="1" x14ac:dyDescent="0.3">
      <c r="B250" s="196" t="s">
        <v>5</v>
      </c>
      <c r="C250" s="197" t="s">
        <v>15</v>
      </c>
      <c r="D250" s="198" t="str">
        <f t="shared" si="57"/>
        <v>C</v>
      </c>
      <c r="E250" s="199">
        <v>44406.458333333336</v>
      </c>
      <c r="F250" s="200" t="s">
        <v>94</v>
      </c>
      <c r="G250" s="201">
        <v>7038.89</v>
      </c>
      <c r="H250" s="201">
        <v>6970.07</v>
      </c>
      <c r="I250" s="202">
        <f t="shared" si="58"/>
        <v>68.820000000000618</v>
      </c>
      <c r="J250" s="201">
        <v>7382.98</v>
      </c>
      <c r="K250" s="199">
        <v>44407.35</v>
      </c>
      <c r="L250" s="201">
        <v>7016.2</v>
      </c>
      <c r="M250" s="203">
        <f t="shared" si="59"/>
        <v>-22.69</v>
      </c>
      <c r="N250" s="204">
        <f t="shared" si="60"/>
        <v>-0.33</v>
      </c>
      <c r="O250" s="205">
        <f t="shared" si="61"/>
        <v>0</v>
      </c>
      <c r="P250" s="206">
        <f t="shared" si="62"/>
        <v>0</v>
      </c>
      <c r="Q250" s="206">
        <f t="shared" si="63"/>
        <v>-0.33</v>
      </c>
      <c r="R2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187770</v>
      </c>
      <c r="T2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0" s="208">
        <f ca="1">IF(Tabla33610673[[#This Row],[Equity]]&lt;Tabla33610673[[#This Row],[Equity Peak]],(Tabla33610673[[#This Row],[Equity Peak]]-Tabla33610673[[#This Row],[Equity]])/Tabla33610673[[#This Row],[Equity Peak]],"")</f>
        <v>4.92845786963434E-3</v>
      </c>
      <c r="V250" s="209">
        <f t="shared" si="64"/>
        <v>0</v>
      </c>
      <c r="W250" s="209">
        <f t="shared" si="65"/>
        <v>0</v>
      </c>
      <c r="X250" s="209">
        <f t="shared" si="66"/>
        <v>0</v>
      </c>
      <c r="Y250" s="209">
        <f t="shared" si="67"/>
        <v>0</v>
      </c>
      <c r="Z250" s="209">
        <f t="shared" si="68"/>
        <v>-0.33</v>
      </c>
      <c r="AA250" s="205">
        <f t="shared" si="69"/>
        <v>0</v>
      </c>
      <c r="AB250" s="209">
        <f t="shared" si="70"/>
        <v>0</v>
      </c>
      <c r="AC250" s="205">
        <f t="shared" si="71"/>
        <v>0</v>
      </c>
      <c r="AD250" s="210">
        <f t="shared" si="72"/>
        <v>0.89166666666278616</v>
      </c>
      <c r="AE250" s="210">
        <f t="shared" si="73"/>
        <v>0</v>
      </c>
      <c r="AF250" s="210">
        <f t="shared" si="74"/>
        <v>0.89166666666278616</v>
      </c>
      <c r="AG250" s="210">
        <f t="shared" si="75"/>
        <v>0</v>
      </c>
    </row>
    <row r="251" spans="2:33" ht="15" customHeight="1" x14ac:dyDescent="0.3">
      <c r="B251" s="196" t="s">
        <v>7</v>
      </c>
      <c r="C251" s="197" t="s">
        <v>13</v>
      </c>
      <c r="D251" s="198" t="str">
        <f t="shared" si="57"/>
        <v>C</v>
      </c>
      <c r="E251" s="199">
        <v>44396.017361111109</v>
      </c>
      <c r="F251" s="200" t="s">
        <v>122</v>
      </c>
      <c r="G251" s="201">
        <v>0.73985999999999996</v>
      </c>
      <c r="H251" s="201">
        <v>0.74339999999999995</v>
      </c>
      <c r="I251" s="202">
        <f t="shared" si="58"/>
        <v>3.5399999999999876E-3</v>
      </c>
      <c r="J251" s="201">
        <v>0.72097</v>
      </c>
      <c r="K251" s="199">
        <v>44406.470833333333</v>
      </c>
      <c r="L251" s="201">
        <v>0.74024000000000001</v>
      </c>
      <c r="M251" s="203">
        <f t="shared" si="59"/>
        <v>-4.0000000000000002E-4</v>
      </c>
      <c r="N251" s="204">
        <f t="shared" si="60"/>
        <v>-0.11</v>
      </c>
      <c r="O251" s="205">
        <f t="shared" si="61"/>
        <v>0</v>
      </c>
      <c r="P251" s="206">
        <f t="shared" si="62"/>
        <v>0</v>
      </c>
      <c r="Q251" s="206">
        <f t="shared" si="63"/>
        <v>-0.11</v>
      </c>
      <c r="R2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188100</v>
      </c>
      <c r="T2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1" s="208">
        <f ca="1">IF(Tabla33610673[[#This Row],[Equity]]&lt;Tabla33610673[[#This Row],[Equity Peak]],(Tabla33610673[[#This Row],[Equity Peak]]-Tabla33610673[[#This Row],[Equity]])/Tabla33610673[[#This Row],[Equity Peak]],"")</f>
        <v>3.1796502384737681E-3</v>
      </c>
      <c r="V251" s="209">
        <f t="shared" si="64"/>
        <v>-0.11</v>
      </c>
      <c r="W251" s="209">
        <f t="shared" si="65"/>
        <v>0</v>
      </c>
      <c r="X251" s="209">
        <f t="shared" si="66"/>
        <v>0</v>
      </c>
      <c r="Y251" s="209">
        <f t="shared" si="67"/>
        <v>0</v>
      </c>
      <c r="Z251" s="209">
        <f t="shared" si="68"/>
        <v>0</v>
      </c>
      <c r="AA251" s="205">
        <f t="shared" si="69"/>
        <v>0</v>
      </c>
      <c r="AB251" s="209">
        <f t="shared" si="70"/>
        <v>0</v>
      </c>
      <c r="AC251" s="205">
        <f t="shared" si="71"/>
        <v>0</v>
      </c>
      <c r="AD251" s="210">
        <f t="shared" si="72"/>
        <v>10.453472222223354</v>
      </c>
      <c r="AE251" s="210">
        <f t="shared" si="73"/>
        <v>0</v>
      </c>
      <c r="AF251" s="210">
        <f t="shared" si="74"/>
        <v>10.453472222223354</v>
      </c>
      <c r="AG251" s="210">
        <f t="shared" si="75"/>
        <v>0</v>
      </c>
    </row>
    <row r="252" spans="2:33" ht="15" customHeight="1" x14ac:dyDescent="0.3">
      <c r="B252" s="196" t="s">
        <v>19</v>
      </c>
      <c r="C252" s="197" t="s">
        <v>13</v>
      </c>
      <c r="D252" s="198" t="str">
        <f t="shared" si="57"/>
        <v>C</v>
      </c>
      <c r="E252" s="199">
        <v>44398.375</v>
      </c>
      <c r="F252" s="200" t="s">
        <v>88</v>
      </c>
      <c r="G252" s="201">
        <v>1808.54</v>
      </c>
      <c r="H252" s="201">
        <v>1829.9</v>
      </c>
      <c r="I252" s="202">
        <f t="shared" si="58"/>
        <v>21.360000000000127</v>
      </c>
      <c r="J252" s="201">
        <v>1671.81</v>
      </c>
      <c r="K252" s="199">
        <v>44406.166666666664</v>
      </c>
      <c r="L252" s="201">
        <v>1811.35</v>
      </c>
      <c r="M252" s="203">
        <f t="shared" si="59"/>
        <v>-2.81</v>
      </c>
      <c r="N252" s="204">
        <f t="shared" si="60"/>
        <v>-0.13</v>
      </c>
      <c r="O252" s="205">
        <f t="shared" si="61"/>
        <v>0</v>
      </c>
      <c r="P252" s="206">
        <f t="shared" si="62"/>
        <v>0</v>
      </c>
      <c r="Q252" s="206">
        <f t="shared" si="63"/>
        <v>-0.13</v>
      </c>
      <c r="R2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188210</v>
      </c>
      <c r="T2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2" s="208">
        <f ca="1">IF(Tabla33610673[[#This Row],[Equity]]&lt;Tabla33610673[[#This Row],[Equity Peak]],(Tabla33610673[[#This Row],[Equity Peak]]-Tabla33610673[[#This Row],[Equity]])/Tabla33610673[[#This Row],[Equity Peak]],"")</f>
        <v>2.596714361420244E-3</v>
      </c>
      <c r="V252" s="209">
        <f t="shared" si="64"/>
        <v>0</v>
      </c>
      <c r="W252" s="209">
        <f t="shared" si="65"/>
        <v>0</v>
      </c>
      <c r="X252" s="209">
        <f t="shared" si="66"/>
        <v>-0.13</v>
      </c>
      <c r="Y252" s="209">
        <f t="shared" si="67"/>
        <v>0</v>
      </c>
      <c r="Z252" s="209">
        <f t="shared" si="68"/>
        <v>0</v>
      </c>
      <c r="AA252" s="205">
        <f t="shared" si="69"/>
        <v>0</v>
      </c>
      <c r="AB252" s="209">
        <f t="shared" si="70"/>
        <v>0</v>
      </c>
      <c r="AC252" s="205">
        <f t="shared" si="71"/>
        <v>0</v>
      </c>
      <c r="AD252" s="210">
        <f t="shared" si="72"/>
        <v>7.7916666666642413</v>
      </c>
      <c r="AE252" s="210">
        <f t="shared" si="73"/>
        <v>0</v>
      </c>
      <c r="AF252" s="210">
        <f t="shared" si="74"/>
        <v>7.7916666666642413</v>
      </c>
      <c r="AG252" s="210">
        <f t="shared" si="75"/>
        <v>0</v>
      </c>
    </row>
    <row r="253" spans="2:33" ht="15" customHeight="1" x14ac:dyDescent="0.3">
      <c r="B253" s="196" t="s">
        <v>7</v>
      </c>
      <c r="C253" s="197" t="s">
        <v>15</v>
      </c>
      <c r="D253" s="198" t="str">
        <f t="shared" si="57"/>
        <v>C</v>
      </c>
      <c r="E253" s="199">
        <v>44385.017361111109</v>
      </c>
      <c r="F253" s="200" t="s">
        <v>117</v>
      </c>
      <c r="G253" s="201">
        <v>1.8438399999999999</v>
      </c>
      <c r="H253" s="201">
        <v>1.8303100000000001</v>
      </c>
      <c r="I253" s="202">
        <f t="shared" si="58"/>
        <v>1.352999999999982E-2</v>
      </c>
      <c r="J253" s="201">
        <v>1.8889400000000001</v>
      </c>
      <c r="K253" s="199">
        <v>44405.42291666667</v>
      </c>
      <c r="L253" s="201">
        <v>1.8889400000000001</v>
      </c>
      <c r="M253" s="203">
        <f t="shared" si="59"/>
        <v>4.5100000000000001E-2</v>
      </c>
      <c r="N253" s="204">
        <f t="shared" si="60"/>
        <v>3.33</v>
      </c>
      <c r="O253" s="205">
        <f t="shared" si="61"/>
        <v>0</v>
      </c>
      <c r="P253" s="206">
        <f t="shared" si="62"/>
        <v>3.33</v>
      </c>
      <c r="Q253" s="206">
        <f t="shared" si="63"/>
        <v>0</v>
      </c>
      <c r="R2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188340</v>
      </c>
      <c r="T2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3" s="208">
        <f ca="1">IF(Tabla33610673[[#This Row],[Equity]]&lt;Tabla33610673[[#This Row],[Equity Peak]],(Tabla33610673[[#This Row],[Equity Peak]]-Tabla33610673[[#This Row],[Equity]])/Tabla33610673[[#This Row],[Equity Peak]],"")</f>
        <v>1.9077901430842607E-3</v>
      </c>
      <c r="V253" s="209">
        <f t="shared" si="64"/>
        <v>3.33</v>
      </c>
      <c r="W253" s="209">
        <f t="shared" si="65"/>
        <v>0</v>
      </c>
      <c r="X253" s="209">
        <f t="shared" si="66"/>
        <v>0</v>
      </c>
      <c r="Y253" s="209">
        <f t="shared" si="67"/>
        <v>0</v>
      </c>
      <c r="Z253" s="209">
        <f t="shared" si="68"/>
        <v>0</v>
      </c>
      <c r="AA253" s="205">
        <f t="shared" si="69"/>
        <v>0</v>
      </c>
      <c r="AB253" s="209">
        <f t="shared" si="70"/>
        <v>0</v>
      </c>
      <c r="AC253" s="205">
        <f t="shared" si="71"/>
        <v>0</v>
      </c>
      <c r="AD253" s="210">
        <f t="shared" si="72"/>
        <v>20.405555555560568</v>
      </c>
      <c r="AE253" s="210">
        <f t="shared" si="73"/>
        <v>20.405555555560568</v>
      </c>
      <c r="AF253" s="210">
        <f t="shared" si="74"/>
        <v>0</v>
      </c>
      <c r="AG253" s="210">
        <f t="shared" si="75"/>
        <v>0</v>
      </c>
    </row>
    <row r="254" spans="2:33" ht="15" customHeight="1" x14ac:dyDescent="0.3">
      <c r="B254" s="196" t="s">
        <v>5</v>
      </c>
      <c r="C254" s="197" t="s">
        <v>15</v>
      </c>
      <c r="D254" s="198" t="str">
        <f t="shared" si="57"/>
        <v>C</v>
      </c>
      <c r="E254" s="199">
        <v>44398.756944444445</v>
      </c>
      <c r="F254" s="200" t="s">
        <v>90</v>
      </c>
      <c r="G254" s="201">
        <v>7366.13</v>
      </c>
      <c r="H254" s="201">
        <v>7291.68</v>
      </c>
      <c r="I254" s="202">
        <f t="shared" si="58"/>
        <v>74.449999999999818</v>
      </c>
      <c r="J254" s="201">
        <v>8358.82</v>
      </c>
      <c r="K254" s="199">
        <v>44405.259722222225</v>
      </c>
      <c r="L254" s="201">
        <v>7365.59</v>
      </c>
      <c r="M254" s="203">
        <f t="shared" si="59"/>
        <v>-0.54</v>
      </c>
      <c r="N254" s="204">
        <f t="shared" si="60"/>
        <v>-0.01</v>
      </c>
      <c r="O254" s="205">
        <f t="shared" si="61"/>
        <v>0</v>
      </c>
      <c r="P254" s="206">
        <f t="shared" si="62"/>
        <v>0</v>
      </c>
      <c r="Q254" s="206">
        <f t="shared" si="63"/>
        <v>-0.01</v>
      </c>
      <c r="R2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185010</v>
      </c>
      <c r="T2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4" s="208">
        <f ca="1">IF(Tabla33610673[[#This Row],[Equity]]&lt;Tabla33610673[[#This Row],[Equity Peak]],(Tabla33610673[[#This Row],[Equity Peak]]-Tabla33610673[[#This Row],[Equity]])/Tabla33610673[[#This Row],[Equity Peak]],"")</f>
        <v>1.9554848966613674E-2</v>
      </c>
      <c r="V254" s="209">
        <f t="shared" si="64"/>
        <v>0</v>
      </c>
      <c r="W254" s="209">
        <f t="shared" si="65"/>
        <v>0</v>
      </c>
      <c r="X254" s="209">
        <f t="shared" si="66"/>
        <v>0</v>
      </c>
      <c r="Y254" s="209">
        <f t="shared" si="67"/>
        <v>0</v>
      </c>
      <c r="Z254" s="209">
        <f t="shared" si="68"/>
        <v>-0.01</v>
      </c>
      <c r="AA254" s="205">
        <f t="shared" si="69"/>
        <v>0</v>
      </c>
      <c r="AB254" s="209">
        <f t="shared" si="70"/>
        <v>0</v>
      </c>
      <c r="AC254" s="205">
        <f t="shared" si="71"/>
        <v>0</v>
      </c>
      <c r="AD254" s="210">
        <f t="shared" si="72"/>
        <v>6.5027777777795563</v>
      </c>
      <c r="AE254" s="210">
        <f t="shared" si="73"/>
        <v>0</v>
      </c>
      <c r="AF254" s="210">
        <f t="shared" si="74"/>
        <v>6.5027777777795563</v>
      </c>
      <c r="AG254" s="210">
        <f t="shared" si="75"/>
        <v>0</v>
      </c>
    </row>
    <row r="255" spans="2:33" ht="15" customHeight="1" x14ac:dyDescent="0.3">
      <c r="B255" s="196" t="s">
        <v>19</v>
      </c>
      <c r="C255" s="197" t="s">
        <v>15</v>
      </c>
      <c r="D255" s="198" t="str">
        <f t="shared" si="57"/>
        <v>C</v>
      </c>
      <c r="E255" s="199">
        <v>44403.958333333336</v>
      </c>
      <c r="F255" s="200" t="s">
        <v>108</v>
      </c>
      <c r="G255" s="201">
        <v>72.403000000000006</v>
      </c>
      <c r="H255" s="201">
        <v>70.691000000000003</v>
      </c>
      <c r="I255" s="202">
        <f t="shared" si="58"/>
        <v>1.7120000000000033</v>
      </c>
      <c r="J255" s="201">
        <v>92.944000000000003</v>
      </c>
      <c r="K255" s="199">
        <v>44404.8125</v>
      </c>
      <c r="L255" s="201">
        <v>71.373000000000005</v>
      </c>
      <c r="M255" s="203">
        <f t="shared" si="59"/>
        <v>-1.03</v>
      </c>
      <c r="N255" s="204">
        <f t="shared" si="60"/>
        <v>-0.6</v>
      </c>
      <c r="O255" s="205">
        <f t="shared" si="61"/>
        <v>0</v>
      </c>
      <c r="P255" s="206">
        <f t="shared" si="62"/>
        <v>0</v>
      </c>
      <c r="Q255" s="206">
        <f t="shared" si="63"/>
        <v>-0.6</v>
      </c>
      <c r="R2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185020</v>
      </c>
      <c r="T2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5" s="208">
        <f ca="1">IF(Tabla33610673[[#This Row],[Equity]]&lt;Tabla33610673[[#This Row],[Equity Peak]],(Tabla33610673[[#This Row],[Equity Peak]]-Tabla33610673[[#This Row],[Equity]])/Tabla33610673[[#This Row],[Equity Peak]],"")</f>
        <v>1.9501854795972443E-2</v>
      </c>
      <c r="V255" s="209">
        <f t="shared" si="64"/>
        <v>0</v>
      </c>
      <c r="W255" s="209">
        <f t="shared" si="65"/>
        <v>0</v>
      </c>
      <c r="X255" s="209">
        <f t="shared" si="66"/>
        <v>-0.6</v>
      </c>
      <c r="Y255" s="209">
        <f t="shared" si="67"/>
        <v>0</v>
      </c>
      <c r="Z255" s="209">
        <f t="shared" si="68"/>
        <v>0</v>
      </c>
      <c r="AA255" s="205">
        <f t="shared" si="69"/>
        <v>0</v>
      </c>
      <c r="AB255" s="209">
        <f t="shared" si="70"/>
        <v>0</v>
      </c>
      <c r="AC255" s="205">
        <f t="shared" si="71"/>
        <v>0</v>
      </c>
      <c r="AD255" s="210">
        <f t="shared" si="72"/>
        <v>0.85416666666424135</v>
      </c>
      <c r="AE255" s="210">
        <f t="shared" si="73"/>
        <v>0</v>
      </c>
      <c r="AF255" s="210">
        <f t="shared" si="74"/>
        <v>0.85416666666424135</v>
      </c>
      <c r="AG255" s="210">
        <f t="shared" si="75"/>
        <v>0</v>
      </c>
    </row>
    <row r="256" spans="2:33" ht="15" customHeight="1" x14ac:dyDescent="0.3">
      <c r="B256" s="196" t="s">
        <v>5</v>
      </c>
      <c r="C256" s="197" t="s">
        <v>15</v>
      </c>
      <c r="D256" s="198" t="str">
        <f t="shared" si="57"/>
        <v>C</v>
      </c>
      <c r="E256" s="199">
        <v>44398.541666666664</v>
      </c>
      <c r="F256" s="200" t="s">
        <v>92</v>
      </c>
      <c r="G256" s="201">
        <v>14747.79</v>
      </c>
      <c r="H256" s="201">
        <v>14526.52</v>
      </c>
      <c r="I256" s="202">
        <f t="shared" si="58"/>
        <v>221.27000000000044</v>
      </c>
      <c r="J256" s="201">
        <v>16222.92</v>
      </c>
      <c r="K256" s="199">
        <v>44404.714583333334</v>
      </c>
      <c r="L256" s="201">
        <v>14985.78</v>
      </c>
      <c r="M256" s="203">
        <f t="shared" si="59"/>
        <v>237.99</v>
      </c>
      <c r="N256" s="204">
        <f t="shared" si="60"/>
        <v>1.08</v>
      </c>
      <c r="O256" s="205">
        <f t="shared" si="61"/>
        <v>0</v>
      </c>
      <c r="P256" s="206">
        <f t="shared" si="62"/>
        <v>1.08</v>
      </c>
      <c r="Q256" s="206">
        <f t="shared" si="63"/>
        <v>0</v>
      </c>
      <c r="R2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185620</v>
      </c>
      <c r="T2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6" s="208">
        <f ca="1">IF(Tabla33610673[[#This Row],[Equity]]&lt;Tabla33610673[[#This Row],[Equity Peak]],(Tabla33610673[[#This Row],[Equity Peak]]-Tabla33610673[[#This Row],[Equity]])/Tabla33610673[[#This Row],[Equity Peak]],"")</f>
        <v>1.6322204557498676E-2</v>
      </c>
      <c r="V256" s="209">
        <f t="shared" si="64"/>
        <v>0</v>
      </c>
      <c r="W256" s="209">
        <f t="shared" si="65"/>
        <v>0</v>
      </c>
      <c r="X256" s="209">
        <f t="shared" si="66"/>
        <v>0</v>
      </c>
      <c r="Y256" s="209">
        <f t="shared" si="67"/>
        <v>0</v>
      </c>
      <c r="Z256" s="209">
        <f t="shared" si="68"/>
        <v>1.08</v>
      </c>
      <c r="AA256" s="205">
        <f t="shared" si="69"/>
        <v>0</v>
      </c>
      <c r="AB256" s="209">
        <f t="shared" si="70"/>
        <v>0</v>
      </c>
      <c r="AC256" s="205">
        <f t="shared" si="71"/>
        <v>0</v>
      </c>
      <c r="AD256" s="210">
        <f t="shared" si="72"/>
        <v>6.1729166666700621</v>
      </c>
      <c r="AE256" s="210">
        <f t="shared" si="73"/>
        <v>6.1729166666700621</v>
      </c>
      <c r="AF256" s="210">
        <f t="shared" si="74"/>
        <v>0</v>
      </c>
      <c r="AG256" s="210">
        <f t="shared" si="75"/>
        <v>0</v>
      </c>
    </row>
    <row r="257" spans="2:33" ht="15" customHeight="1" x14ac:dyDescent="0.3">
      <c r="B257" s="196" t="s">
        <v>5</v>
      </c>
      <c r="C257" s="197" t="s">
        <v>15</v>
      </c>
      <c r="D257" s="198" t="str">
        <f t="shared" si="57"/>
        <v>C</v>
      </c>
      <c r="E257" s="199">
        <v>44403.125</v>
      </c>
      <c r="F257" s="200" t="s">
        <v>94</v>
      </c>
      <c r="G257" s="201">
        <v>7016.39</v>
      </c>
      <c r="H257" s="201">
        <v>6942.57</v>
      </c>
      <c r="I257" s="202">
        <f t="shared" si="58"/>
        <v>73.820000000000618</v>
      </c>
      <c r="J257" s="201">
        <v>7385.51</v>
      </c>
      <c r="K257" s="199">
        <v>44404.417361111111</v>
      </c>
      <c r="L257" s="201">
        <v>6975.51</v>
      </c>
      <c r="M257" s="203">
        <f t="shared" si="59"/>
        <v>-40.880000000000003</v>
      </c>
      <c r="N257" s="204">
        <f t="shared" si="60"/>
        <v>-0.55000000000000004</v>
      </c>
      <c r="O257" s="205">
        <f t="shared" si="61"/>
        <v>0</v>
      </c>
      <c r="P257" s="206">
        <f t="shared" si="62"/>
        <v>0</v>
      </c>
      <c r="Q257" s="206">
        <f t="shared" si="63"/>
        <v>-0.55000000000000004</v>
      </c>
      <c r="R2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184540</v>
      </c>
      <c r="T2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7" s="208">
        <f ca="1">IF(Tabla33610673[[#This Row],[Equity]]&lt;Tabla33610673[[#This Row],[Equity Peak]],(Tabla33610673[[#This Row],[Equity Peak]]-Tabla33610673[[#This Row],[Equity]])/Tabla33610673[[#This Row],[Equity Peak]],"")</f>
        <v>2.2045574986751457E-2</v>
      </c>
      <c r="V257" s="209">
        <f t="shared" si="64"/>
        <v>0</v>
      </c>
      <c r="W257" s="209">
        <f t="shared" si="65"/>
        <v>0</v>
      </c>
      <c r="X257" s="209">
        <f t="shared" si="66"/>
        <v>0</v>
      </c>
      <c r="Y257" s="209">
        <f t="shared" si="67"/>
        <v>0</v>
      </c>
      <c r="Z257" s="209">
        <f t="shared" si="68"/>
        <v>-0.55000000000000004</v>
      </c>
      <c r="AA257" s="205">
        <f t="shared" si="69"/>
        <v>0</v>
      </c>
      <c r="AB257" s="209">
        <f t="shared" si="70"/>
        <v>0</v>
      </c>
      <c r="AC257" s="205">
        <f t="shared" si="71"/>
        <v>0</v>
      </c>
      <c r="AD257" s="210">
        <f t="shared" si="72"/>
        <v>1.2923611111109494</v>
      </c>
      <c r="AE257" s="210">
        <f t="shared" si="73"/>
        <v>0</v>
      </c>
      <c r="AF257" s="210">
        <f t="shared" si="74"/>
        <v>1.2923611111109494</v>
      </c>
      <c r="AG257" s="210">
        <f t="shared" si="75"/>
        <v>0</v>
      </c>
    </row>
    <row r="258" spans="2:33" ht="15" customHeight="1" x14ac:dyDescent="0.3">
      <c r="B258" s="196" t="s">
        <v>7</v>
      </c>
      <c r="C258" s="197" t="s">
        <v>15</v>
      </c>
      <c r="D258" s="198" t="str">
        <f t="shared" si="57"/>
        <v>C</v>
      </c>
      <c r="E258" s="199">
        <v>44399.5</v>
      </c>
      <c r="F258" s="200" t="s">
        <v>114</v>
      </c>
      <c r="G258" s="201">
        <v>110.254</v>
      </c>
      <c r="H258" s="201">
        <v>109.712</v>
      </c>
      <c r="I258" s="202">
        <f t="shared" si="58"/>
        <v>0.54200000000000159</v>
      </c>
      <c r="J258" s="201">
        <v>112.785</v>
      </c>
      <c r="K258" s="199">
        <v>44403.411111111112</v>
      </c>
      <c r="L258" s="201">
        <v>110.25</v>
      </c>
      <c r="M258" s="203">
        <f t="shared" si="59"/>
        <v>-4.0000000000000001E-3</v>
      </c>
      <c r="N258" s="204">
        <f t="shared" si="60"/>
        <v>-0.01</v>
      </c>
      <c r="O258" s="205">
        <f t="shared" si="61"/>
        <v>0</v>
      </c>
      <c r="P258" s="206">
        <f t="shared" si="62"/>
        <v>0</v>
      </c>
      <c r="Q258" s="206">
        <f t="shared" si="63"/>
        <v>-0.01</v>
      </c>
      <c r="R2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185090</v>
      </c>
      <c r="T2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8" s="208">
        <f ca="1">IF(Tabla33610673[[#This Row],[Equity]]&lt;Tabla33610673[[#This Row],[Equity Peak]],(Tabla33610673[[#This Row],[Equity Peak]]-Tabla33610673[[#This Row],[Equity]])/Tabla33610673[[#This Row],[Equity Peak]],"")</f>
        <v>1.9130895601483837E-2</v>
      </c>
      <c r="V258" s="209">
        <f t="shared" si="64"/>
        <v>-0.01</v>
      </c>
      <c r="W258" s="209">
        <f t="shared" si="65"/>
        <v>0</v>
      </c>
      <c r="X258" s="209">
        <f t="shared" si="66"/>
        <v>0</v>
      </c>
      <c r="Y258" s="209">
        <f t="shared" si="67"/>
        <v>0</v>
      </c>
      <c r="Z258" s="209">
        <f t="shared" si="68"/>
        <v>0</v>
      </c>
      <c r="AA258" s="205">
        <f t="shared" si="69"/>
        <v>0</v>
      </c>
      <c r="AB258" s="209">
        <f t="shared" si="70"/>
        <v>0</v>
      </c>
      <c r="AC258" s="205">
        <f t="shared" si="71"/>
        <v>0</v>
      </c>
      <c r="AD258" s="210">
        <f t="shared" si="72"/>
        <v>3.9111111111124046</v>
      </c>
      <c r="AE258" s="210">
        <f t="shared" si="73"/>
        <v>0</v>
      </c>
      <c r="AF258" s="210">
        <f t="shared" si="74"/>
        <v>3.9111111111124046</v>
      </c>
      <c r="AG258" s="210">
        <f t="shared" si="75"/>
        <v>0</v>
      </c>
    </row>
    <row r="259" spans="2:33" ht="15" customHeight="1" x14ac:dyDescent="0.3">
      <c r="B259" s="196" t="s">
        <v>7</v>
      </c>
      <c r="C259" s="197" t="s">
        <v>13</v>
      </c>
      <c r="D259" s="198" t="str">
        <f t="shared" si="57"/>
        <v>C</v>
      </c>
      <c r="E259" s="199">
        <v>44393.833333333336</v>
      </c>
      <c r="F259" s="200" t="s">
        <v>115</v>
      </c>
      <c r="G259" s="201">
        <v>1.3777900000000001</v>
      </c>
      <c r="H259" s="201">
        <v>1.38795</v>
      </c>
      <c r="I259" s="202">
        <f t="shared" si="58"/>
        <v>1.0159999999999947E-2</v>
      </c>
      <c r="J259" s="201">
        <v>1.3371500000000001</v>
      </c>
      <c r="K259" s="199">
        <v>44399.620833333334</v>
      </c>
      <c r="L259" s="201">
        <v>1.37724</v>
      </c>
      <c r="M259" s="203">
        <f t="shared" si="59"/>
        <v>5.9999999999999995E-4</v>
      </c>
      <c r="N259" s="204">
        <f t="shared" si="60"/>
        <v>0.06</v>
      </c>
      <c r="O259" s="205">
        <f t="shared" si="61"/>
        <v>0</v>
      </c>
      <c r="P259" s="206">
        <f t="shared" si="62"/>
        <v>0.06</v>
      </c>
      <c r="Q259" s="206">
        <f t="shared" si="63"/>
        <v>0</v>
      </c>
      <c r="R2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185100</v>
      </c>
      <c r="T2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59" s="208">
        <f ca="1">IF(Tabla33610673[[#This Row],[Equity]]&lt;Tabla33610673[[#This Row],[Equity Peak]],(Tabla33610673[[#This Row],[Equity Peak]]-Tabla33610673[[#This Row],[Equity]])/Tabla33610673[[#This Row],[Equity Peak]],"")</f>
        <v>1.9077901430842606E-2</v>
      </c>
      <c r="V259" s="209">
        <f t="shared" si="64"/>
        <v>0.06</v>
      </c>
      <c r="W259" s="209">
        <f t="shared" si="65"/>
        <v>0</v>
      </c>
      <c r="X259" s="209">
        <f t="shared" si="66"/>
        <v>0</v>
      </c>
      <c r="Y259" s="209">
        <f t="shared" si="67"/>
        <v>0</v>
      </c>
      <c r="Z259" s="209">
        <f t="shared" si="68"/>
        <v>0</v>
      </c>
      <c r="AA259" s="205">
        <f t="shared" si="69"/>
        <v>0</v>
      </c>
      <c r="AB259" s="209">
        <f t="shared" si="70"/>
        <v>0</v>
      </c>
      <c r="AC259" s="205">
        <f t="shared" si="71"/>
        <v>0</v>
      </c>
      <c r="AD259" s="210">
        <f t="shared" si="72"/>
        <v>5.7874999999985448</v>
      </c>
      <c r="AE259" s="210">
        <f t="shared" si="73"/>
        <v>5.7874999999985448</v>
      </c>
      <c r="AF259" s="210">
        <f t="shared" si="74"/>
        <v>0</v>
      </c>
      <c r="AG259" s="210">
        <f t="shared" si="75"/>
        <v>0</v>
      </c>
    </row>
    <row r="260" spans="2:33" ht="15" customHeight="1" x14ac:dyDescent="0.3">
      <c r="B260" s="196" t="s">
        <v>5</v>
      </c>
      <c r="C260" s="197" t="s">
        <v>13</v>
      </c>
      <c r="D260" s="198" t="str">
        <f t="shared" si="57"/>
        <v>C</v>
      </c>
      <c r="E260" s="199">
        <v>44396.635416666664</v>
      </c>
      <c r="F260" s="200" t="s">
        <v>91</v>
      </c>
      <c r="G260" s="201">
        <v>15121.35</v>
      </c>
      <c r="H260" s="201">
        <v>15477.36</v>
      </c>
      <c r="I260" s="202">
        <f t="shared" si="58"/>
        <v>356.01000000000022</v>
      </c>
      <c r="J260" s="201">
        <v>13697.33</v>
      </c>
      <c r="K260" s="199">
        <v>44399.370833333334</v>
      </c>
      <c r="L260" s="201">
        <v>15477.36</v>
      </c>
      <c r="M260" s="203">
        <f t="shared" si="59"/>
        <v>-356.01</v>
      </c>
      <c r="N260" s="204">
        <f t="shared" si="60"/>
        <v>-1</v>
      </c>
      <c r="O260" s="205">
        <f t="shared" si="61"/>
        <v>0</v>
      </c>
      <c r="P260" s="206">
        <f t="shared" si="62"/>
        <v>0</v>
      </c>
      <c r="Q260" s="206">
        <f t="shared" si="63"/>
        <v>-1</v>
      </c>
      <c r="R2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185040</v>
      </c>
      <c r="T2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0" s="208">
        <f ca="1">IF(Tabla33610673[[#This Row],[Equity]]&lt;Tabla33610673[[#This Row],[Equity Peak]],(Tabla33610673[[#This Row],[Equity Peak]]-Tabla33610673[[#This Row],[Equity]])/Tabla33610673[[#This Row],[Equity Peak]],"")</f>
        <v>1.9395866454689985E-2</v>
      </c>
      <c r="V260" s="209">
        <f t="shared" si="64"/>
        <v>0</v>
      </c>
      <c r="W260" s="209">
        <f t="shared" si="65"/>
        <v>0</v>
      </c>
      <c r="X260" s="209">
        <f t="shared" si="66"/>
        <v>0</v>
      </c>
      <c r="Y260" s="209">
        <f t="shared" si="67"/>
        <v>0</v>
      </c>
      <c r="Z260" s="209">
        <f t="shared" si="68"/>
        <v>-1</v>
      </c>
      <c r="AA260" s="205">
        <f t="shared" si="69"/>
        <v>0</v>
      </c>
      <c r="AB260" s="209">
        <f t="shared" si="70"/>
        <v>0</v>
      </c>
      <c r="AC260" s="205">
        <f t="shared" si="71"/>
        <v>0</v>
      </c>
      <c r="AD260" s="210">
        <f t="shared" si="72"/>
        <v>2.7354166666700621</v>
      </c>
      <c r="AE260" s="210">
        <f t="shared" si="73"/>
        <v>0</v>
      </c>
      <c r="AF260" s="210">
        <f t="shared" si="74"/>
        <v>2.7354166666700621</v>
      </c>
      <c r="AG260" s="210">
        <f t="shared" si="75"/>
        <v>0</v>
      </c>
    </row>
    <row r="261" spans="2:33" ht="15" customHeight="1" x14ac:dyDescent="0.3">
      <c r="B261" s="196" t="s">
        <v>7</v>
      </c>
      <c r="C261" s="197" t="s">
        <v>15</v>
      </c>
      <c r="D261" s="198" t="str">
        <f t="shared" si="57"/>
        <v>C</v>
      </c>
      <c r="E261" s="199">
        <v>44396.166666666664</v>
      </c>
      <c r="F261" s="200" t="s">
        <v>121</v>
      </c>
      <c r="G261" s="201">
        <v>1.5995699999999999</v>
      </c>
      <c r="H261" s="201">
        <v>1.59379</v>
      </c>
      <c r="I261" s="202">
        <f t="shared" si="58"/>
        <v>5.7799999999998963E-3</v>
      </c>
      <c r="J261" s="201">
        <v>1.66117</v>
      </c>
      <c r="K261" s="199">
        <v>44399</v>
      </c>
      <c r="L261" s="201">
        <v>1.60165</v>
      </c>
      <c r="M261" s="203">
        <f t="shared" si="59"/>
        <v>2.0999999999999999E-3</v>
      </c>
      <c r="N261" s="204">
        <f t="shared" si="60"/>
        <v>0.36</v>
      </c>
      <c r="O261" s="205">
        <f t="shared" si="61"/>
        <v>0</v>
      </c>
      <c r="P261" s="206">
        <f t="shared" si="62"/>
        <v>0.36</v>
      </c>
      <c r="Q261" s="206">
        <f t="shared" si="63"/>
        <v>0</v>
      </c>
      <c r="R2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186040</v>
      </c>
      <c r="T2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1" s="208">
        <f ca="1">IF(Tabla33610673[[#This Row],[Equity]]&lt;Tabla33610673[[#This Row],[Equity Peak]],(Tabla33610673[[#This Row],[Equity Peak]]-Tabla33610673[[#This Row],[Equity]])/Tabla33610673[[#This Row],[Equity Peak]],"")</f>
        <v>1.4096449390567038E-2</v>
      </c>
      <c r="V261" s="209">
        <f t="shared" si="64"/>
        <v>0.36</v>
      </c>
      <c r="W261" s="209">
        <f t="shared" si="65"/>
        <v>0</v>
      </c>
      <c r="X261" s="209">
        <f t="shared" si="66"/>
        <v>0</v>
      </c>
      <c r="Y261" s="209">
        <f t="shared" si="67"/>
        <v>0</v>
      </c>
      <c r="Z261" s="209">
        <f t="shared" si="68"/>
        <v>0</v>
      </c>
      <c r="AA261" s="205">
        <f t="shared" si="69"/>
        <v>0</v>
      </c>
      <c r="AB261" s="209">
        <f t="shared" si="70"/>
        <v>0</v>
      </c>
      <c r="AC261" s="205">
        <f t="shared" si="71"/>
        <v>0</v>
      </c>
      <c r="AD261" s="210">
        <f t="shared" si="72"/>
        <v>2.8333333333357587</v>
      </c>
      <c r="AE261" s="210">
        <f t="shared" si="73"/>
        <v>2.8333333333357587</v>
      </c>
      <c r="AF261" s="210">
        <f t="shared" si="74"/>
        <v>0</v>
      </c>
      <c r="AG261" s="210">
        <f t="shared" si="75"/>
        <v>0</v>
      </c>
    </row>
    <row r="262" spans="2:33" ht="15" customHeight="1" x14ac:dyDescent="0.3">
      <c r="B262" s="196" t="s">
        <v>7</v>
      </c>
      <c r="C262" s="197" t="s">
        <v>13</v>
      </c>
      <c r="D262" s="198" t="str">
        <f t="shared" si="57"/>
        <v>C</v>
      </c>
      <c r="E262" s="199">
        <v>44396.166666666664</v>
      </c>
      <c r="F262" s="200" t="s">
        <v>123</v>
      </c>
      <c r="G262" s="201">
        <v>81.061999999999998</v>
      </c>
      <c r="H262" s="201">
        <v>81.474999999999994</v>
      </c>
      <c r="I262" s="202">
        <f t="shared" si="58"/>
        <v>0.4129999999999967</v>
      </c>
      <c r="J262" s="201">
        <v>73.899000000000001</v>
      </c>
      <c r="K262" s="199">
        <v>44398.756249999999</v>
      </c>
      <c r="L262" s="201">
        <v>81.037999999999997</v>
      </c>
      <c r="M262" s="203">
        <f t="shared" si="59"/>
        <v>2.4E-2</v>
      </c>
      <c r="N262" s="204">
        <f t="shared" si="60"/>
        <v>0.06</v>
      </c>
      <c r="O262" s="205">
        <f t="shared" si="61"/>
        <v>0</v>
      </c>
      <c r="P262" s="206">
        <f t="shared" si="62"/>
        <v>0.06</v>
      </c>
      <c r="Q262" s="206">
        <f t="shared" si="63"/>
        <v>0</v>
      </c>
      <c r="R2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185680</v>
      </c>
      <c r="T2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2" s="208">
        <f ca="1">IF(Tabla33610673[[#This Row],[Equity]]&lt;Tabla33610673[[#This Row],[Equity Peak]],(Tabla33610673[[#This Row],[Equity Peak]]-Tabla33610673[[#This Row],[Equity]])/Tabla33610673[[#This Row],[Equity Peak]],"")</f>
        <v>1.6004239533651297E-2</v>
      </c>
      <c r="V262" s="209">
        <f t="shared" si="64"/>
        <v>0.06</v>
      </c>
      <c r="W262" s="209">
        <f t="shared" si="65"/>
        <v>0</v>
      </c>
      <c r="X262" s="209">
        <f t="shared" si="66"/>
        <v>0</v>
      </c>
      <c r="Y262" s="209">
        <f t="shared" si="67"/>
        <v>0</v>
      </c>
      <c r="Z262" s="209">
        <f t="shared" si="68"/>
        <v>0</v>
      </c>
      <c r="AA262" s="205">
        <f t="shared" si="69"/>
        <v>0</v>
      </c>
      <c r="AB262" s="209">
        <f t="shared" si="70"/>
        <v>0</v>
      </c>
      <c r="AC262" s="205">
        <f t="shared" si="71"/>
        <v>0</v>
      </c>
      <c r="AD262" s="210">
        <f t="shared" si="72"/>
        <v>2.5895833333343035</v>
      </c>
      <c r="AE262" s="210">
        <f t="shared" si="73"/>
        <v>2.5895833333343035</v>
      </c>
      <c r="AF262" s="210">
        <f t="shared" si="74"/>
        <v>0</v>
      </c>
      <c r="AG262" s="210">
        <f t="shared" si="75"/>
        <v>0</v>
      </c>
    </row>
    <row r="263" spans="2:33" ht="15" customHeight="1" x14ac:dyDescent="0.3">
      <c r="B263" s="196" t="s">
        <v>19</v>
      </c>
      <c r="C263" s="197" t="s">
        <v>13</v>
      </c>
      <c r="D263" s="198" t="str">
        <f t="shared" si="57"/>
        <v>C</v>
      </c>
      <c r="E263" s="199">
        <v>44396.791666666664</v>
      </c>
      <c r="F263" s="200" t="s">
        <v>108</v>
      </c>
      <c r="G263" s="201">
        <v>67.462999999999994</v>
      </c>
      <c r="H263" s="201">
        <v>69.141999999999996</v>
      </c>
      <c r="I263" s="202">
        <f t="shared" si="58"/>
        <v>1.679000000000002</v>
      </c>
      <c r="J263" s="201">
        <v>47.32</v>
      </c>
      <c r="K263" s="199">
        <v>44397.879861111112</v>
      </c>
      <c r="L263" s="201">
        <v>67.625</v>
      </c>
      <c r="M263" s="203">
        <f t="shared" si="59"/>
        <v>-0.16200000000000001</v>
      </c>
      <c r="N263" s="204">
        <f t="shared" si="60"/>
        <v>-0.1</v>
      </c>
      <c r="O263" s="205">
        <f t="shared" si="61"/>
        <v>0</v>
      </c>
      <c r="P263" s="206">
        <f t="shared" si="62"/>
        <v>0</v>
      </c>
      <c r="Q263" s="206">
        <f t="shared" si="63"/>
        <v>-0.1</v>
      </c>
      <c r="R2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185620</v>
      </c>
      <c r="T2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3" s="208">
        <f ca="1">IF(Tabla33610673[[#This Row],[Equity]]&lt;Tabla33610673[[#This Row],[Equity Peak]],(Tabla33610673[[#This Row],[Equity Peak]]-Tabla33610673[[#This Row],[Equity]])/Tabla33610673[[#This Row],[Equity Peak]],"")</f>
        <v>1.6322204557498676E-2</v>
      </c>
      <c r="V263" s="209">
        <f t="shared" si="64"/>
        <v>0</v>
      </c>
      <c r="W263" s="209">
        <f t="shared" si="65"/>
        <v>0</v>
      </c>
      <c r="X263" s="209">
        <f t="shared" si="66"/>
        <v>-0.1</v>
      </c>
      <c r="Y263" s="209">
        <f t="shared" si="67"/>
        <v>0</v>
      </c>
      <c r="Z263" s="209">
        <f t="shared" si="68"/>
        <v>0</v>
      </c>
      <c r="AA263" s="205">
        <f t="shared" si="69"/>
        <v>0</v>
      </c>
      <c r="AB263" s="209">
        <f t="shared" si="70"/>
        <v>0</v>
      </c>
      <c r="AC263" s="205">
        <f t="shared" si="71"/>
        <v>0</v>
      </c>
      <c r="AD263" s="210">
        <f t="shared" si="72"/>
        <v>1.0881944444481633</v>
      </c>
      <c r="AE263" s="210">
        <f t="shared" si="73"/>
        <v>0</v>
      </c>
      <c r="AF263" s="210">
        <f t="shared" si="74"/>
        <v>1.0881944444481633</v>
      </c>
      <c r="AG263" s="210">
        <f t="shared" si="75"/>
        <v>0</v>
      </c>
    </row>
    <row r="264" spans="2:33" ht="15" customHeight="1" x14ac:dyDescent="0.3">
      <c r="B264" s="196" t="s">
        <v>84</v>
      </c>
      <c r="C264" s="197" t="s">
        <v>13</v>
      </c>
      <c r="D264" s="198" t="str">
        <f t="shared" si="57"/>
        <v>C</v>
      </c>
      <c r="E264" s="199">
        <v>44397.333333333336</v>
      </c>
      <c r="F264" s="200" t="s">
        <v>82</v>
      </c>
      <c r="G264" s="201">
        <v>1739.05</v>
      </c>
      <c r="H264" s="201">
        <v>1819.5</v>
      </c>
      <c r="I264" s="202">
        <f t="shared" si="58"/>
        <v>80.450000000000045</v>
      </c>
      <c r="J264" s="201">
        <v>237.25</v>
      </c>
      <c r="K264" s="199">
        <v>44397.791666666664</v>
      </c>
      <c r="L264" s="201">
        <v>1815.6</v>
      </c>
      <c r="M264" s="203">
        <f t="shared" si="59"/>
        <v>-76.55</v>
      </c>
      <c r="N264" s="204">
        <f t="shared" si="60"/>
        <v>-0.95</v>
      </c>
      <c r="O264" s="205">
        <f t="shared" si="61"/>
        <v>0</v>
      </c>
      <c r="P264" s="206">
        <f t="shared" si="62"/>
        <v>0</v>
      </c>
      <c r="Q264" s="206">
        <f t="shared" si="63"/>
        <v>-0.95</v>
      </c>
      <c r="R2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185720</v>
      </c>
      <c r="T2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4" s="208">
        <f ca="1">IF(Tabla33610673[[#This Row],[Equity]]&lt;Tabla33610673[[#This Row],[Equity Peak]],(Tabla33610673[[#This Row],[Equity Peak]]-Tabla33610673[[#This Row],[Equity]])/Tabla33610673[[#This Row],[Equity Peak]],"")</f>
        <v>1.579226285108638E-2</v>
      </c>
      <c r="V264" s="209">
        <f t="shared" si="64"/>
        <v>0</v>
      </c>
      <c r="W264" s="209">
        <f t="shared" si="65"/>
        <v>0</v>
      </c>
      <c r="X264" s="209">
        <f t="shared" si="66"/>
        <v>0</v>
      </c>
      <c r="Y264" s="209">
        <f t="shared" si="67"/>
        <v>0</v>
      </c>
      <c r="Z264" s="209">
        <f t="shared" si="68"/>
        <v>0</v>
      </c>
      <c r="AA264" s="205">
        <f t="shared" si="69"/>
        <v>0</v>
      </c>
      <c r="AB264" s="209">
        <f t="shared" si="70"/>
        <v>-0.95</v>
      </c>
      <c r="AC264" s="205">
        <f t="shared" si="71"/>
        <v>0</v>
      </c>
      <c r="AD264" s="210">
        <f t="shared" si="72"/>
        <v>0.45833333332848269</v>
      </c>
      <c r="AE264" s="210">
        <f t="shared" si="73"/>
        <v>0</v>
      </c>
      <c r="AF264" s="210">
        <f t="shared" si="74"/>
        <v>0.45833333332848269</v>
      </c>
      <c r="AG264" s="210">
        <f t="shared" si="75"/>
        <v>0</v>
      </c>
    </row>
    <row r="265" spans="2:33" ht="15" customHeight="1" x14ac:dyDescent="0.3">
      <c r="B265" s="196" t="s">
        <v>5</v>
      </c>
      <c r="C265" s="197" t="s">
        <v>13</v>
      </c>
      <c r="D265" s="198" t="str">
        <f t="shared" si="57"/>
        <v>C</v>
      </c>
      <c r="E265" s="199">
        <v>44397.118055555555</v>
      </c>
      <c r="F265" s="200" t="s">
        <v>90</v>
      </c>
      <c r="G265" s="201">
        <v>7210.35</v>
      </c>
      <c r="H265" s="201">
        <v>7264.34</v>
      </c>
      <c r="I265" s="202">
        <f t="shared" si="58"/>
        <v>53.989999999999782</v>
      </c>
      <c r="J265" s="201">
        <v>6490.42</v>
      </c>
      <c r="K265" s="199">
        <v>44397.197222222225</v>
      </c>
      <c r="L265" s="201">
        <v>7264.34</v>
      </c>
      <c r="M265" s="203">
        <f t="shared" si="59"/>
        <v>-53.99</v>
      </c>
      <c r="N265" s="204">
        <f t="shared" si="60"/>
        <v>-1</v>
      </c>
      <c r="O265" s="205">
        <f t="shared" si="61"/>
        <v>0</v>
      </c>
      <c r="P265" s="206">
        <f t="shared" si="62"/>
        <v>0</v>
      </c>
      <c r="Q265" s="206">
        <f t="shared" si="63"/>
        <v>-1</v>
      </c>
      <c r="R2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186670</v>
      </c>
      <c r="T2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5" s="208">
        <f ca="1">IF(Tabla33610673[[#This Row],[Equity]]&lt;Tabla33610673[[#This Row],[Equity Peak]],(Tabla33610673[[#This Row],[Equity Peak]]-Tabla33610673[[#This Row],[Equity]])/Tabla33610673[[#This Row],[Equity Peak]],"")</f>
        <v>1.0757816640169582E-2</v>
      </c>
      <c r="V265" s="209">
        <f t="shared" si="64"/>
        <v>0</v>
      </c>
      <c r="W265" s="209">
        <f t="shared" si="65"/>
        <v>0</v>
      </c>
      <c r="X265" s="209">
        <f t="shared" si="66"/>
        <v>0</v>
      </c>
      <c r="Y265" s="209">
        <f t="shared" si="67"/>
        <v>0</v>
      </c>
      <c r="Z265" s="209">
        <f t="shared" si="68"/>
        <v>-1</v>
      </c>
      <c r="AA265" s="205">
        <f t="shared" si="69"/>
        <v>0</v>
      </c>
      <c r="AB265" s="209">
        <f t="shared" si="70"/>
        <v>0</v>
      </c>
      <c r="AC265" s="205">
        <f t="shared" si="71"/>
        <v>0</v>
      </c>
      <c r="AD265" s="210">
        <f t="shared" si="72"/>
        <v>7.9166666670062114E-2</v>
      </c>
      <c r="AE265" s="210">
        <f t="shared" si="73"/>
        <v>0</v>
      </c>
      <c r="AF265" s="210">
        <f t="shared" si="74"/>
        <v>7.9166666670062114E-2</v>
      </c>
      <c r="AG265" s="210">
        <f t="shared" si="75"/>
        <v>0</v>
      </c>
    </row>
    <row r="266" spans="2:33" ht="15" customHeight="1" x14ac:dyDescent="0.3">
      <c r="B266" s="196" t="s">
        <v>5</v>
      </c>
      <c r="C266" s="197" t="s">
        <v>13</v>
      </c>
      <c r="D266" s="198" t="str">
        <f t="shared" si="57"/>
        <v>C</v>
      </c>
      <c r="E266" s="199">
        <v>44391.625</v>
      </c>
      <c r="F266" s="200" t="s">
        <v>94</v>
      </c>
      <c r="G266" s="201">
        <v>7084.91</v>
      </c>
      <c r="H266" s="201">
        <v>7140.01</v>
      </c>
      <c r="I266" s="202">
        <f t="shared" si="58"/>
        <v>55.100000000000364</v>
      </c>
      <c r="J266" s="201">
        <v>6809.41</v>
      </c>
      <c r="K266" s="199">
        <v>44396.712500000001</v>
      </c>
      <c r="L266" s="201">
        <v>6809.41</v>
      </c>
      <c r="M266" s="203">
        <f t="shared" si="59"/>
        <v>275.5</v>
      </c>
      <c r="N266" s="204">
        <f t="shared" si="60"/>
        <v>5</v>
      </c>
      <c r="O266" s="205">
        <f t="shared" si="61"/>
        <v>0</v>
      </c>
      <c r="P266" s="206">
        <f t="shared" si="62"/>
        <v>5</v>
      </c>
      <c r="Q266" s="206">
        <f t="shared" si="63"/>
        <v>0</v>
      </c>
      <c r="R2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187670</v>
      </c>
      <c r="T2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6" s="208">
        <f ca="1">IF(Tabla33610673[[#This Row],[Equity]]&lt;Tabla33610673[[#This Row],[Equity Peak]],(Tabla33610673[[#This Row],[Equity Peak]]-Tabla33610673[[#This Row],[Equity]])/Tabla33610673[[#This Row],[Equity Peak]],"")</f>
        <v>5.4583995760466349E-3</v>
      </c>
      <c r="V266" s="209">
        <f t="shared" si="64"/>
        <v>0</v>
      </c>
      <c r="W266" s="209">
        <f t="shared" si="65"/>
        <v>0</v>
      </c>
      <c r="X266" s="209">
        <f t="shared" si="66"/>
        <v>0</v>
      </c>
      <c r="Y266" s="209">
        <f t="shared" si="67"/>
        <v>0</v>
      </c>
      <c r="Z266" s="209">
        <f t="shared" si="68"/>
        <v>5</v>
      </c>
      <c r="AA266" s="205">
        <f t="shared" si="69"/>
        <v>0</v>
      </c>
      <c r="AB266" s="209">
        <f t="shared" si="70"/>
        <v>0</v>
      </c>
      <c r="AC266" s="205">
        <f t="shared" si="71"/>
        <v>0</v>
      </c>
      <c r="AD266" s="210">
        <f t="shared" si="72"/>
        <v>5.0875000000014552</v>
      </c>
      <c r="AE266" s="210">
        <f t="shared" si="73"/>
        <v>5.0875000000014552</v>
      </c>
      <c r="AF266" s="210">
        <f t="shared" si="74"/>
        <v>0</v>
      </c>
      <c r="AG266" s="210">
        <f t="shared" si="75"/>
        <v>0</v>
      </c>
    </row>
    <row r="267" spans="2:33" ht="15" customHeight="1" x14ac:dyDescent="0.3">
      <c r="B267" s="196" t="s">
        <v>5</v>
      </c>
      <c r="C267" s="197" t="s">
        <v>15</v>
      </c>
      <c r="D267" s="198" t="str">
        <f t="shared" si="57"/>
        <v>C</v>
      </c>
      <c r="E267" s="199">
        <v>44386.541666666664</v>
      </c>
      <c r="F267" s="200" t="s">
        <v>95</v>
      </c>
      <c r="G267" s="201">
        <v>34550.36</v>
      </c>
      <c r="H267" s="201">
        <v>34356.410000000003</v>
      </c>
      <c r="I267" s="202">
        <f t="shared" si="58"/>
        <v>193.94999999999709</v>
      </c>
      <c r="J267" s="201">
        <v>35326.15</v>
      </c>
      <c r="K267" s="199">
        <v>44396.109027777777</v>
      </c>
      <c r="L267" s="201">
        <v>34543.160000000003</v>
      </c>
      <c r="M267" s="203">
        <f t="shared" si="59"/>
        <v>-7.2</v>
      </c>
      <c r="N267" s="204">
        <f t="shared" si="60"/>
        <v>-0.04</v>
      </c>
      <c r="O267" s="205">
        <f t="shared" si="61"/>
        <v>0</v>
      </c>
      <c r="P267" s="206">
        <f t="shared" si="62"/>
        <v>0</v>
      </c>
      <c r="Q267" s="206">
        <f t="shared" si="63"/>
        <v>-0.04</v>
      </c>
      <c r="R2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182670</v>
      </c>
      <c r="T2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7" s="208">
        <f ca="1">IF(Tabla33610673[[#This Row],[Equity]]&lt;Tabla33610673[[#This Row],[Equity Peak]],(Tabla33610673[[#This Row],[Equity Peak]]-Tabla33610673[[#This Row],[Equity]])/Tabla33610673[[#This Row],[Equity Peak]],"")</f>
        <v>3.1955484896661369E-2</v>
      </c>
      <c r="V267" s="209">
        <f t="shared" si="64"/>
        <v>0</v>
      </c>
      <c r="W267" s="209">
        <f t="shared" si="65"/>
        <v>0</v>
      </c>
      <c r="X267" s="209">
        <f t="shared" si="66"/>
        <v>0</v>
      </c>
      <c r="Y267" s="209">
        <f t="shared" si="67"/>
        <v>0</v>
      </c>
      <c r="Z267" s="209">
        <f t="shared" si="68"/>
        <v>-0.04</v>
      </c>
      <c r="AA267" s="205">
        <f t="shared" si="69"/>
        <v>0</v>
      </c>
      <c r="AB267" s="209">
        <f t="shared" si="70"/>
        <v>0</v>
      </c>
      <c r="AC267" s="205">
        <f t="shared" si="71"/>
        <v>0</v>
      </c>
      <c r="AD267" s="210">
        <f t="shared" si="72"/>
        <v>9.5673611111124046</v>
      </c>
      <c r="AE267" s="210">
        <f t="shared" si="73"/>
        <v>0</v>
      </c>
      <c r="AF267" s="210">
        <f t="shared" si="74"/>
        <v>9.5673611111124046</v>
      </c>
      <c r="AG267" s="210">
        <f t="shared" si="75"/>
        <v>0</v>
      </c>
    </row>
    <row r="268" spans="2:33" ht="15" customHeight="1" x14ac:dyDescent="0.3">
      <c r="B268" s="196" t="s">
        <v>5</v>
      </c>
      <c r="C268" s="197" t="s">
        <v>15</v>
      </c>
      <c r="D268" s="198" t="str">
        <f t="shared" si="57"/>
        <v>C</v>
      </c>
      <c r="E268" s="199">
        <v>44389.302083333336</v>
      </c>
      <c r="F268" s="200" t="s">
        <v>91</v>
      </c>
      <c r="G268" s="201">
        <v>15649.46</v>
      </c>
      <c r="H268" s="201">
        <v>15304.72</v>
      </c>
      <c r="I268" s="202">
        <f t="shared" si="58"/>
        <v>344.73999999999978</v>
      </c>
      <c r="J268" s="201">
        <v>17028.41</v>
      </c>
      <c r="K268" s="199">
        <v>44393.713194444441</v>
      </c>
      <c r="L268" s="201">
        <v>15541.06</v>
      </c>
      <c r="M268" s="203">
        <f t="shared" si="59"/>
        <v>-108.4</v>
      </c>
      <c r="N268" s="204">
        <f t="shared" si="60"/>
        <v>-0.31</v>
      </c>
      <c r="O268" s="205">
        <f t="shared" si="61"/>
        <v>0</v>
      </c>
      <c r="P268" s="206">
        <f t="shared" si="62"/>
        <v>0</v>
      </c>
      <c r="Q268" s="206">
        <f t="shared" si="63"/>
        <v>-0.31</v>
      </c>
      <c r="R2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182710</v>
      </c>
      <c r="T2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8" s="208">
        <f ca="1">IF(Tabla33610673[[#This Row],[Equity]]&lt;Tabla33610673[[#This Row],[Equity Peak]],(Tabla33610673[[#This Row],[Equity Peak]]-Tabla33610673[[#This Row],[Equity]])/Tabla33610673[[#This Row],[Equity Peak]],"")</f>
        <v>3.1743508214096453E-2</v>
      </c>
      <c r="V268" s="209">
        <f t="shared" si="64"/>
        <v>0</v>
      </c>
      <c r="W268" s="209">
        <f t="shared" si="65"/>
        <v>0</v>
      </c>
      <c r="X268" s="209">
        <f t="shared" si="66"/>
        <v>0</v>
      </c>
      <c r="Y268" s="209">
        <f t="shared" si="67"/>
        <v>0</v>
      </c>
      <c r="Z268" s="209">
        <f t="shared" si="68"/>
        <v>-0.31</v>
      </c>
      <c r="AA268" s="205">
        <f t="shared" si="69"/>
        <v>0</v>
      </c>
      <c r="AB268" s="209">
        <f t="shared" si="70"/>
        <v>0</v>
      </c>
      <c r="AC268" s="205">
        <f t="shared" si="71"/>
        <v>0</v>
      </c>
      <c r="AD268" s="210">
        <f t="shared" si="72"/>
        <v>4.4111111111051287</v>
      </c>
      <c r="AE268" s="210">
        <f t="shared" si="73"/>
        <v>0</v>
      </c>
      <c r="AF268" s="210">
        <f t="shared" si="74"/>
        <v>4.4111111111051287</v>
      </c>
      <c r="AG268" s="210">
        <f t="shared" si="75"/>
        <v>0</v>
      </c>
    </row>
    <row r="269" spans="2:33" ht="15" customHeight="1" x14ac:dyDescent="0.3">
      <c r="B269" s="196" t="s">
        <v>19</v>
      </c>
      <c r="C269" s="197" t="s">
        <v>13</v>
      </c>
      <c r="D269" s="198" t="str">
        <f t="shared" si="57"/>
        <v>C</v>
      </c>
      <c r="E269" s="199">
        <v>44392.458333333336</v>
      </c>
      <c r="F269" s="200" t="s">
        <v>108</v>
      </c>
      <c r="G269" s="201">
        <v>71.962999999999994</v>
      </c>
      <c r="H269" s="201">
        <v>73.58</v>
      </c>
      <c r="I269" s="202">
        <f t="shared" si="58"/>
        <v>1.6170000000000044</v>
      </c>
      <c r="J269" s="201">
        <v>52.561999999999998</v>
      </c>
      <c r="K269" s="199">
        <v>44392.756249999999</v>
      </c>
      <c r="L269" s="201">
        <v>72.887</v>
      </c>
      <c r="M269" s="203">
        <f t="shared" si="59"/>
        <v>-0.92400000000000004</v>
      </c>
      <c r="N269" s="204">
        <f t="shared" si="60"/>
        <v>-0.56999999999999995</v>
      </c>
      <c r="O269" s="205">
        <f t="shared" si="61"/>
        <v>0</v>
      </c>
      <c r="P269" s="206">
        <f t="shared" si="62"/>
        <v>0</v>
      </c>
      <c r="Q269" s="206">
        <f t="shared" si="63"/>
        <v>-0.56999999999999995</v>
      </c>
      <c r="R2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183020</v>
      </c>
      <c r="T2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69" s="208">
        <f ca="1">IF(Tabla33610673[[#This Row],[Equity]]&lt;Tabla33610673[[#This Row],[Equity Peak]],(Tabla33610673[[#This Row],[Equity Peak]]-Tabla33610673[[#This Row],[Equity]])/Tabla33610673[[#This Row],[Equity Peak]],"")</f>
        <v>3.0100688924218334E-2</v>
      </c>
      <c r="V269" s="209">
        <f t="shared" si="64"/>
        <v>0</v>
      </c>
      <c r="W269" s="209">
        <f t="shared" si="65"/>
        <v>0</v>
      </c>
      <c r="X269" s="209">
        <f t="shared" si="66"/>
        <v>-0.56999999999999995</v>
      </c>
      <c r="Y269" s="209">
        <f t="shared" si="67"/>
        <v>0</v>
      </c>
      <c r="Z269" s="209">
        <f t="shared" si="68"/>
        <v>0</v>
      </c>
      <c r="AA269" s="205">
        <f t="shared" si="69"/>
        <v>0</v>
      </c>
      <c r="AB269" s="209">
        <f t="shared" si="70"/>
        <v>0</v>
      </c>
      <c r="AC269" s="205">
        <f t="shared" si="71"/>
        <v>0</v>
      </c>
      <c r="AD269" s="210">
        <f t="shared" si="72"/>
        <v>0.29791666666278616</v>
      </c>
      <c r="AE269" s="210">
        <f t="shared" si="73"/>
        <v>0</v>
      </c>
      <c r="AF269" s="210">
        <f t="shared" si="74"/>
        <v>0.29791666666278616</v>
      </c>
      <c r="AG269" s="210">
        <f t="shared" si="75"/>
        <v>0</v>
      </c>
    </row>
    <row r="270" spans="2:33" ht="15" customHeight="1" x14ac:dyDescent="0.3">
      <c r="B270" s="196" t="s">
        <v>5</v>
      </c>
      <c r="C270" s="197" t="s">
        <v>15</v>
      </c>
      <c r="D270" s="198" t="str">
        <f t="shared" si="57"/>
        <v>C</v>
      </c>
      <c r="E270" s="199">
        <v>44390.125</v>
      </c>
      <c r="F270" s="200" t="s">
        <v>94</v>
      </c>
      <c r="G270" s="201">
        <v>7119.71</v>
      </c>
      <c r="H270" s="201">
        <v>7026.67</v>
      </c>
      <c r="I270" s="202">
        <f t="shared" si="58"/>
        <v>93.039999999999964</v>
      </c>
      <c r="J270" s="201">
        <v>7584.92</v>
      </c>
      <c r="K270" s="199">
        <v>44391.431250000001</v>
      </c>
      <c r="L270" s="201">
        <v>7074.96</v>
      </c>
      <c r="M270" s="203">
        <f t="shared" si="59"/>
        <v>-44.75</v>
      </c>
      <c r="N270" s="204">
        <f t="shared" si="60"/>
        <v>-0.48</v>
      </c>
      <c r="O270" s="205">
        <f t="shared" si="61"/>
        <v>0</v>
      </c>
      <c r="P270" s="206">
        <f t="shared" si="62"/>
        <v>0</v>
      </c>
      <c r="Q270" s="206">
        <f t="shared" si="63"/>
        <v>-0.48</v>
      </c>
      <c r="R2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183590</v>
      </c>
      <c r="T2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0" s="208">
        <f ca="1">IF(Tabla33610673[[#This Row],[Equity]]&lt;Tabla33610673[[#This Row],[Equity Peak]],(Tabla33610673[[#This Row],[Equity Peak]]-Tabla33610673[[#This Row],[Equity]])/Tabla33610673[[#This Row],[Equity Peak]],"")</f>
        <v>2.7080021197668256E-2</v>
      </c>
      <c r="V270" s="209">
        <f t="shared" si="64"/>
        <v>0</v>
      </c>
      <c r="W270" s="209">
        <f t="shared" si="65"/>
        <v>0</v>
      </c>
      <c r="X270" s="209">
        <f t="shared" si="66"/>
        <v>0</v>
      </c>
      <c r="Y270" s="209">
        <f t="shared" si="67"/>
        <v>0</v>
      </c>
      <c r="Z270" s="209">
        <f t="shared" si="68"/>
        <v>-0.48</v>
      </c>
      <c r="AA270" s="205">
        <f t="shared" si="69"/>
        <v>0</v>
      </c>
      <c r="AB270" s="209">
        <f t="shared" si="70"/>
        <v>0</v>
      </c>
      <c r="AC270" s="205">
        <f t="shared" si="71"/>
        <v>0</v>
      </c>
      <c r="AD270" s="210">
        <f t="shared" si="72"/>
        <v>1.3062500000014552</v>
      </c>
      <c r="AE270" s="210">
        <f t="shared" si="73"/>
        <v>0</v>
      </c>
      <c r="AF270" s="210">
        <f t="shared" si="74"/>
        <v>1.3062500000014552</v>
      </c>
      <c r="AG270" s="210">
        <f t="shared" si="75"/>
        <v>0</v>
      </c>
    </row>
    <row r="271" spans="2:33" ht="15" customHeight="1" x14ac:dyDescent="0.3">
      <c r="B271" s="196" t="s">
        <v>19</v>
      </c>
      <c r="C271" s="197" t="s">
        <v>15</v>
      </c>
      <c r="D271" s="198" t="str">
        <f t="shared" si="57"/>
        <v>C</v>
      </c>
      <c r="E271" s="199">
        <v>44386.958333333336</v>
      </c>
      <c r="F271" s="200" t="s">
        <v>108</v>
      </c>
      <c r="G271" s="201">
        <v>74.722999999999999</v>
      </c>
      <c r="H271" s="201">
        <v>73.099000000000004</v>
      </c>
      <c r="I271" s="202">
        <f t="shared" si="58"/>
        <v>1.6239999999999952</v>
      </c>
      <c r="J271" s="201">
        <v>94.206999999999994</v>
      </c>
      <c r="K271" s="199">
        <v>44389.504166666666</v>
      </c>
      <c r="L271" s="201">
        <v>73.751000000000005</v>
      </c>
      <c r="M271" s="203">
        <f t="shared" si="59"/>
        <v>-0.97199999999999998</v>
      </c>
      <c r="N271" s="204">
        <f t="shared" si="60"/>
        <v>-0.6</v>
      </c>
      <c r="O271" s="205">
        <f t="shared" si="61"/>
        <v>0</v>
      </c>
      <c r="P271" s="206">
        <f t="shared" si="62"/>
        <v>0</v>
      </c>
      <c r="Q271" s="206">
        <f t="shared" si="63"/>
        <v>-0.6</v>
      </c>
      <c r="R2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184070</v>
      </c>
      <c r="T2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1" s="208">
        <f ca="1">IF(Tabla33610673[[#This Row],[Equity]]&lt;Tabla33610673[[#This Row],[Equity Peak]],(Tabla33610673[[#This Row],[Equity Peak]]-Tabla33610673[[#This Row],[Equity]])/Tabla33610673[[#This Row],[Equity Peak]],"")</f>
        <v>2.4536301006889243E-2</v>
      </c>
      <c r="V271" s="209">
        <f t="shared" si="64"/>
        <v>0</v>
      </c>
      <c r="W271" s="209">
        <f t="shared" si="65"/>
        <v>0</v>
      </c>
      <c r="X271" s="209">
        <f t="shared" si="66"/>
        <v>-0.6</v>
      </c>
      <c r="Y271" s="209">
        <f t="shared" si="67"/>
        <v>0</v>
      </c>
      <c r="Z271" s="209">
        <f t="shared" si="68"/>
        <v>0</v>
      </c>
      <c r="AA271" s="205">
        <f t="shared" si="69"/>
        <v>0</v>
      </c>
      <c r="AB271" s="209">
        <f t="shared" si="70"/>
        <v>0</v>
      </c>
      <c r="AC271" s="205">
        <f t="shared" si="71"/>
        <v>0</v>
      </c>
      <c r="AD271" s="210">
        <f t="shared" si="72"/>
        <v>2.5458333333299379</v>
      </c>
      <c r="AE271" s="210">
        <f t="shared" si="73"/>
        <v>0</v>
      </c>
      <c r="AF271" s="210">
        <f t="shared" si="74"/>
        <v>2.5458333333299379</v>
      </c>
      <c r="AG271" s="210">
        <f t="shared" si="75"/>
        <v>0</v>
      </c>
    </row>
    <row r="272" spans="2:33" ht="15" customHeight="1" x14ac:dyDescent="0.3">
      <c r="B272" s="196" t="s">
        <v>7</v>
      </c>
      <c r="C272" s="197" t="s">
        <v>15</v>
      </c>
      <c r="D272" s="198" t="str">
        <f t="shared" si="57"/>
        <v>C</v>
      </c>
      <c r="E272" s="199">
        <v>44385.333333333336</v>
      </c>
      <c r="F272" s="200" t="s">
        <v>121</v>
      </c>
      <c r="G272" s="201">
        <v>1.58019</v>
      </c>
      <c r="H272" s="201">
        <v>1.57257</v>
      </c>
      <c r="I272" s="202">
        <f t="shared" si="58"/>
        <v>7.6199999999999601E-3</v>
      </c>
      <c r="J272" s="201">
        <v>1.6614500000000001</v>
      </c>
      <c r="K272" s="199">
        <v>44386.754861111112</v>
      </c>
      <c r="L272" s="201">
        <v>1.5852200000000001</v>
      </c>
      <c r="M272" s="203">
        <f t="shared" si="59"/>
        <v>5.0000000000000001E-3</v>
      </c>
      <c r="N272" s="204">
        <f t="shared" si="60"/>
        <v>0.66</v>
      </c>
      <c r="O272" s="205">
        <f t="shared" si="61"/>
        <v>0</v>
      </c>
      <c r="P272" s="206">
        <f t="shared" si="62"/>
        <v>0.66</v>
      </c>
      <c r="Q272" s="206">
        <f t="shared" si="63"/>
        <v>0</v>
      </c>
      <c r="R2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184670</v>
      </c>
      <c r="T2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2" s="208">
        <f ca="1">IF(Tabla33610673[[#This Row],[Equity]]&lt;Tabla33610673[[#This Row],[Equity Peak]],(Tabla33610673[[#This Row],[Equity Peak]]-Tabla33610673[[#This Row],[Equity]])/Tabla33610673[[#This Row],[Equity Peak]],"")</f>
        <v>2.1356650768415475E-2</v>
      </c>
      <c r="V272" s="209">
        <f t="shared" si="64"/>
        <v>0.66</v>
      </c>
      <c r="W272" s="209">
        <f t="shared" si="65"/>
        <v>0</v>
      </c>
      <c r="X272" s="209">
        <f t="shared" si="66"/>
        <v>0</v>
      </c>
      <c r="Y272" s="209">
        <f t="shared" si="67"/>
        <v>0</v>
      </c>
      <c r="Z272" s="209">
        <f t="shared" si="68"/>
        <v>0</v>
      </c>
      <c r="AA272" s="205">
        <f t="shared" si="69"/>
        <v>0</v>
      </c>
      <c r="AB272" s="209">
        <f t="shared" si="70"/>
        <v>0</v>
      </c>
      <c r="AC272" s="205">
        <f t="shared" si="71"/>
        <v>0</v>
      </c>
      <c r="AD272" s="210">
        <f t="shared" si="72"/>
        <v>1.421527777776646</v>
      </c>
      <c r="AE272" s="210">
        <f t="shared" si="73"/>
        <v>1.421527777776646</v>
      </c>
      <c r="AF272" s="210">
        <f t="shared" si="74"/>
        <v>0</v>
      </c>
      <c r="AG272" s="210">
        <f t="shared" si="75"/>
        <v>0</v>
      </c>
    </row>
    <row r="273" spans="2:33" ht="15" customHeight="1" x14ac:dyDescent="0.3">
      <c r="B273" s="196" t="s">
        <v>7</v>
      </c>
      <c r="C273" s="197" t="s">
        <v>13</v>
      </c>
      <c r="D273" s="198" t="str">
        <f t="shared" ref="D273:D336" si="76">IF(E273&lt;&gt;"",IF(K273&lt;&gt;"","C","O"),"")</f>
        <v>C</v>
      </c>
      <c r="E273" s="199">
        <v>44385.5</v>
      </c>
      <c r="F273" s="200" t="s">
        <v>122</v>
      </c>
      <c r="G273" s="201">
        <v>0.74375000000000002</v>
      </c>
      <c r="H273" s="201">
        <v>0.74841999999999997</v>
      </c>
      <c r="I273" s="202">
        <f t="shared" ref="I273:I336" si="77">ABS(G273-H273)</f>
        <v>4.669999999999952E-3</v>
      </c>
      <c r="J273" s="201">
        <v>0.71884000000000003</v>
      </c>
      <c r="K273" s="199">
        <v>44386.73541666667</v>
      </c>
      <c r="L273" s="201">
        <v>0.74841999999999997</v>
      </c>
      <c r="M273" s="203">
        <f t="shared" ref="M273:M336" si="78">ROUND(IF(C273="L",(L273-G273),(G273-L273)),4)</f>
        <v>-4.7000000000000002E-3</v>
      </c>
      <c r="N273" s="204">
        <f t="shared" ref="N273:N336" si="79">IFERROR(ROUND((M273/I273),2),"")</f>
        <v>-1.01</v>
      </c>
      <c r="O273" s="205">
        <f t="shared" ref="O273:O336" si="80">IF(D273="O",IF(N273&lt;0,N273,0),0)</f>
        <v>0</v>
      </c>
      <c r="P273" s="206">
        <f t="shared" ref="P273:P336" si="81">IF(N273&gt;= 0,N273,0)</f>
        <v>0</v>
      </c>
      <c r="Q273" s="206">
        <f t="shared" ref="Q273:Q336" si="82">IF(N273&lt;0,N273,0)</f>
        <v>-1.01</v>
      </c>
      <c r="R2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184010</v>
      </c>
      <c r="T2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3" s="208">
        <f ca="1">IF(Tabla33610673[[#This Row],[Equity]]&lt;Tabla33610673[[#This Row],[Equity Peak]],(Tabla33610673[[#This Row],[Equity Peak]]-Tabla33610673[[#This Row],[Equity]])/Tabla33610673[[#This Row],[Equity Peak]],"")</f>
        <v>2.4854266030736618E-2</v>
      </c>
      <c r="V273" s="209">
        <f t="shared" ref="V273:V336" si="83">IF(B273="FX",N273,0)</f>
        <v>-1.01</v>
      </c>
      <c r="W273" s="209">
        <f t="shared" ref="W273:W336" si="84">IF(D273="O",IF(V273&lt;0,V273,0),0)</f>
        <v>0</v>
      </c>
      <c r="X273" s="209">
        <f t="shared" ref="X273:X336" si="85">IF(B273="COM",N273,0)</f>
        <v>0</v>
      </c>
      <c r="Y273" s="209">
        <f t="shared" ref="Y273:Y336" si="86">IF(D273="O",IF(X273&lt;0,X273,0),0)</f>
        <v>0</v>
      </c>
      <c r="Z273" s="209">
        <f t="shared" ref="Z273:Z336" si="87">IF(B273="IND",N273,0)</f>
        <v>0</v>
      </c>
      <c r="AA273" s="205">
        <f t="shared" ref="AA273:AA336" si="88">IF(D273="O",IF(Z273&lt;0,Z273,0),0)</f>
        <v>0</v>
      </c>
      <c r="AB273" s="209">
        <f t="shared" ref="AB273:AB336" si="89">IF(B273="CRYPTO",N273,0)</f>
        <v>0</v>
      </c>
      <c r="AC273" s="205">
        <f t="shared" ref="AC273:AC336" si="90">IF(D273="O",IF(AB273&lt;0,AB273,0),0)</f>
        <v>0</v>
      </c>
      <c r="AD273" s="210">
        <f t="shared" ref="AD273:AD336" si="91">IF(K273&lt;&gt;"",K273-E273,0)</f>
        <v>1.2354166666700621</v>
      </c>
      <c r="AE273" s="210">
        <f t="shared" ref="AE273:AE336" si="92">IF(N273&gt;0,AD273,0)</f>
        <v>0</v>
      </c>
      <c r="AF273" s="210">
        <f t="shared" ref="AF273:AF336" si="93">IF(N273&lt;0,AD273,0)</f>
        <v>1.2354166666700621</v>
      </c>
      <c r="AG273" s="210">
        <f t="shared" ref="AG273:AG336" si="94">IF(N273=0,AD273,0)</f>
        <v>0</v>
      </c>
    </row>
    <row r="274" spans="2:33" ht="15" customHeight="1" x14ac:dyDescent="0.3">
      <c r="B274" s="196" t="s">
        <v>84</v>
      </c>
      <c r="C274" s="197" t="s">
        <v>13</v>
      </c>
      <c r="D274" s="198" t="str">
        <f t="shared" si="76"/>
        <v>C</v>
      </c>
      <c r="E274" s="199">
        <v>44385.666666666664</v>
      </c>
      <c r="F274" s="200" t="s">
        <v>82</v>
      </c>
      <c r="G274" s="201">
        <v>2159.25</v>
      </c>
      <c r="H274" s="201">
        <v>2258.64</v>
      </c>
      <c r="I274" s="202">
        <f t="shared" si="77"/>
        <v>99.389999999999873</v>
      </c>
      <c r="J274" s="201">
        <v>303.99</v>
      </c>
      <c r="K274" s="199">
        <v>44386.724999999999</v>
      </c>
      <c r="L274" s="201">
        <v>2164.73</v>
      </c>
      <c r="M274" s="203">
        <f t="shared" si="78"/>
        <v>-5.48</v>
      </c>
      <c r="N274" s="204">
        <f t="shared" si="79"/>
        <v>-0.06</v>
      </c>
      <c r="O274" s="205">
        <f t="shared" si="80"/>
        <v>0</v>
      </c>
      <c r="P274" s="206">
        <f t="shared" si="81"/>
        <v>0</v>
      </c>
      <c r="Q274" s="206">
        <f t="shared" si="82"/>
        <v>-0.06</v>
      </c>
      <c r="R2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185020</v>
      </c>
      <c r="T2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4" s="208">
        <f ca="1">IF(Tabla33610673[[#This Row],[Equity]]&lt;Tabla33610673[[#This Row],[Equity Peak]],(Tabla33610673[[#This Row],[Equity Peak]]-Tabla33610673[[#This Row],[Equity]])/Tabla33610673[[#This Row],[Equity Peak]],"")</f>
        <v>1.9501854795972443E-2</v>
      </c>
      <c r="V274" s="209">
        <f t="shared" si="83"/>
        <v>0</v>
      </c>
      <c r="W274" s="209">
        <f t="shared" si="84"/>
        <v>0</v>
      </c>
      <c r="X274" s="209">
        <f t="shared" si="85"/>
        <v>0</v>
      </c>
      <c r="Y274" s="209">
        <f t="shared" si="86"/>
        <v>0</v>
      </c>
      <c r="Z274" s="209">
        <f t="shared" si="87"/>
        <v>0</v>
      </c>
      <c r="AA274" s="205">
        <f t="shared" si="88"/>
        <v>0</v>
      </c>
      <c r="AB274" s="209">
        <f t="shared" si="89"/>
        <v>-0.06</v>
      </c>
      <c r="AC274" s="205">
        <f t="shared" si="90"/>
        <v>0</v>
      </c>
      <c r="AD274" s="210">
        <f t="shared" si="91"/>
        <v>1.0583333333343035</v>
      </c>
      <c r="AE274" s="210">
        <f t="shared" si="92"/>
        <v>0</v>
      </c>
      <c r="AF274" s="210">
        <f t="shared" si="93"/>
        <v>1.0583333333343035</v>
      </c>
      <c r="AG274" s="210">
        <f t="shared" si="94"/>
        <v>0</v>
      </c>
    </row>
    <row r="275" spans="2:33" ht="15" customHeight="1" x14ac:dyDescent="0.3">
      <c r="B275" s="196" t="s">
        <v>7</v>
      </c>
      <c r="C275" s="197" t="s">
        <v>13</v>
      </c>
      <c r="D275" s="198" t="str">
        <f t="shared" si="76"/>
        <v>C</v>
      </c>
      <c r="E275" s="199">
        <v>44385.5</v>
      </c>
      <c r="F275" s="200" t="s">
        <v>123</v>
      </c>
      <c r="G275" s="201">
        <v>81.7</v>
      </c>
      <c r="H275" s="201">
        <v>82.337999999999994</v>
      </c>
      <c r="I275" s="202">
        <f t="shared" si="77"/>
        <v>0.63799999999999102</v>
      </c>
      <c r="J275" s="201">
        <v>70.643000000000001</v>
      </c>
      <c r="K275" s="199">
        <v>44386.70416666667</v>
      </c>
      <c r="L275" s="201">
        <v>82.337999999999994</v>
      </c>
      <c r="M275" s="203">
        <f t="shared" si="78"/>
        <v>-0.63800000000000001</v>
      </c>
      <c r="N275" s="204">
        <f t="shared" si="79"/>
        <v>-1</v>
      </c>
      <c r="O275" s="205">
        <f t="shared" si="80"/>
        <v>0</v>
      </c>
      <c r="P275" s="206">
        <f t="shared" si="81"/>
        <v>0</v>
      </c>
      <c r="Q275" s="206">
        <f t="shared" si="82"/>
        <v>-1</v>
      </c>
      <c r="R2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185080</v>
      </c>
      <c r="T2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5" s="208">
        <f ca="1">IF(Tabla33610673[[#This Row],[Equity]]&lt;Tabla33610673[[#This Row],[Equity Peak]],(Tabla33610673[[#This Row],[Equity Peak]]-Tabla33610673[[#This Row],[Equity]])/Tabla33610673[[#This Row],[Equity Peak]],"")</f>
        <v>1.9183889772125068E-2</v>
      </c>
      <c r="V275" s="209">
        <f t="shared" si="83"/>
        <v>-1</v>
      </c>
      <c r="W275" s="209">
        <f t="shared" si="84"/>
        <v>0</v>
      </c>
      <c r="X275" s="209">
        <f t="shared" si="85"/>
        <v>0</v>
      </c>
      <c r="Y275" s="209">
        <f t="shared" si="86"/>
        <v>0</v>
      </c>
      <c r="Z275" s="209">
        <f t="shared" si="87"/>
        <v>0</v>
      </c>
      <c r="AA275" s="205">
        <f t="shared" si="88"/>
        <v>0</v>
      </c>
      <c r="AB275" s="209">
        <f t="shared" si="89"/>
        <v>0</v>
      </c>
      <c r="AC275" s="205">
        <f t="shared" si="90"/>
        <v>0</v>
      </c>
      <c r="AD275" s="210">
        <f t="shared" si="91"/>
        <v>1.2041666666700621</v>
      </c>
      <c r="AE275" s="210">
        <f t="shared" si="92"/>
        <v>0</v>
      </c>
      <c r="AF275" s="210">
        <f t="shared" si="93"/>
        <v>1.2041666666700621</v>
      </c>
      <c r="AG275" s="210">
        <f t="shared" si="94"/>
        <v>0</v>
      </c>
    </row>
    <row r="276" spans="2:33" ht="15" customHeight="1" x14ac:dyDescent="0.3">
      <c r="B276" s="196" t="s">
        <v>84</v>
      </c>
      <c r="C276" s="197" t="s">
        <v>13</v>
      </c>
      <c r="D276" s="198" t="str">
        <f t="shared" si="76"/>
        <v>C</v>
      </c>
      <c r="E276" s="199">
        <v>44385.166666666664</v>
      </c>
      <c r="F276" s="200" t="s">
        <v>80</v>
      </c>
      <c r="G276" s="201">
        <v>33205.919999999998</v>
      </c>
      <c r="H276" s="201">
        <v>34755.730000000003</v>
      </c>
      <c r="I276" s="202">
        <f t="shared" si="77"/>
        <v>1549.8100000000049</v>
      </c>
      <c r="J276" s="201">
        <v>9958.75</v>
      </c>
      <c r="K276" s="199">
        <v>44386.69027777778</v>
      </c>
      <c r="L276" s="201">
        <v>33438.81</v>
      </c>
      <c r="M276" s="203">
        <f t="shared" si="78"/>
        <v>-232.89</v>
      </c>
      <c r="N276" s="204">
        <f t="shared" si="79"/>
        <v>-0.15</v>
      </c>
      <c r="O276" s="205">
        <f t="shared" si="80"/>
        <v>0</v>
      </c>
      <c r="P276" s="206">
        <f t="shared" si="81"/>
        <v>0</v>
      </c>
      <c r="Q276" s="206">
        <f t="shared" si="82"/>
        <v>-0.15</v>
      </c>
      <c r="R2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186080</v>
      </c>
      <c r="T2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6" s="208">
        <f ca="1">IF(Tabla33610673[[#This Row],[Equity]]&lt;Tabla33610673[[#This Row],[Equity Peak]],(Tabla33610673[[#This Row],[Equity Peak]]-Tabla33610673[[#This Row],[Equity]])/Tabla33610673[[#This Row],[Equity Peak]],"")</f>
        <v>1.3884472708002121E-2</v>
      </c>
      <c r="V276" s="209">
        <f t="shared" si="83"/>
        <v>0</v>
      </c>
      <c r="W276" s="209">
        <f t="shared" si="84"/>
        <v>0</v>
      </c>
      <c r="X276" s="209">
        <f t="shared" si="85"/>
        <v>0</v>
      </c>
      <c r="Y276" s="209">
        <f t="shared" si="86"/>
        <v>0</v>
      </c>
      <c r="Z276" s="209">
        <f t="shared" si="87"/>
        <v>0</v>
      </c>
      <c r="AA276" s="205">
        <f t="shared" si="88"/>
        <v>0</v>
      </c>
      <c r="AB276" s="209">
        <f t="shared" si="89"/>
        <v>-0.15</v>
      </c>
      <c r="AC276" s="205">
        <f t="shared" si="90"/>
        <v>0</v>
      </c>
      <c r="AD276" s="210">
        <f t="shared" si="91"/>
        <v>1.523611111115315</v>
      </c>
      <c r="AE276" s="210">
        <f t="shared" si="92"/>
        <v>0</v>
      </c>
      <c r="AF276" s="210">
        <f t="shared" si="93"/>
        <v>1.523611111115315</v>
      </c>
      <c r="AG276" s="210">
        <f t="shared" si="94"/>
        <v>0</v>
      </c>
    </row>
    <row r="277" spans="2:33" ht="15" customHeight="1" x14ac:dyDescent="0.3">
      <c r="B277" s="196" t="s">
        <v>5</v>
      </c>
      <c r="C277" s="197" t="s">
        <v>13</v>
      </c>
      <c r="D277" s="198" t="str">
        <f t="shared" si="76"/>
        <v>C</v>
      </c>
      <c r="E277" s="199">
        <v>44385.458333333336</v>
      </c>
      <c r="F277" s="200" t="s">
        <v>94</v>
      </c>
      <c r="G277" s="201">
        <v>7070.39</v>
      </c>
      <c r="H277" s="201">
        <v>7140.55</v>
      </c>
      <c r="I277" s="202">
        <f t="shared" si="77"/>
        <v>70.159999999999854</v>
      </c>
      <c r="J277" s="201">
        <v>6719.6</v>
      </c>
      <c r="K277" s="199">
        <v>44386.48541666667</v>
      </c>
      <c r="L277" s="201">
        <v>7079.29</v>
      </c>
      <c r="M277" s="203">
        <f t="shared" si="78"/>
        <v>-8.9</v>
      </c>
      <c r="N277" s="204">
        <f t="shared" si="79"/>
        <v>-0.13</v>
      </c>
      <c r="O277" s="205">
        <f t="shared" si="80"/>
        <v>0</v>
      </c>
      <c r="P277" s="206">
        <f t="shared" si="81"/>
        <v>0</v>
      </c>
      <c r="Q277" s="206">
        <f t="shared" si="82"/>
        <v>-0.13</v>
      </c>
      <c r="R2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186230</v>
      </c>
      <c r="T2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7" s="208">
        <f ca="1">IF(Tabla33610673[[#This Row],[Equity]]&lt;Tabla33610673[[#This Row],[Equity Peak]],(Tabla33610673[[#This Row],[Equity Peak]]-Tabla33610673[[#This Row],[Equity]])/Tabla33610673[[#This Row],[Equity Peak]],"")</f>
        <v>1.3089560148383677E-2</v>
      </c>
      <c r="V277" s="209">
        <f t="shared" si="83"/>
        <v>0</v>
      </c>
      <c r="W277" s="209">
        <f t="shared" si="84"/>
        <v>0</v>
      </c>
      <c r="X277" s="209">
        <f t="shared" si="85"/>
        <v>0</v>
      </c>
      <c r="Y277" s="209">
        <f t="shared" si="86"/>
        <v>0</v>
      </c>
      <c r="Z277" s="209">
        <f t="shared" si="87"/>
        <v>-0.13</v>
      </c>
      <c r="AA277" s="205">
        <f t="shared" si="88"/>
        <v>0</v>
      </c>
      <c r="AB277" s="209">
        <f t="shared" si="89"/>
        <v>0</v>
      </c>
      <c r="AC277" s="205">
        <f t="shared" si="90"/>
        <v>0</v>
      </c>
      <c r="AD277" s="210">
        <f t="shared" si="91"/>
        <v>1.0270833333343035</v>
      </c>
      <c r="AE277" s="210">
        <f t="shared" si="92"/>
        <v>0</v>
      </c>
      <c r="AF277" s="210">
        <f t="shared" si="93"/>
        <v>1.0270833333343035</v>
      </c>
      <c r="AG277" s="210">
        <f t="shared" si="94"/>
        <v>0</v>
      </c>
    </row>
    <row r="278" spans="2:33" ht="15" customHeight="1" x14ac:dyDescent="0.3">
      <c r="B278" s="196" t="s">
        <v>19</v>
      </c>
      <c r="C278" s="197" t="s">
        <v>13</v>
      </c>
      <c r="D278" s="198" t="str">
        <f t="shared" si="76"/>
        <v>C</v>
      </c>
      <c r="E278" s="199">
        <v>44385.458333333336</v>
      </c>
      <c r="F278" s="200" t="s">
        <v>108</v>
      </c>
      <c r="G278" s="201">
        <v>71.483000000000004</v>
      </c>
      <c r="H278" s="201">
        <v>73.084999999999994</v>
      </c>
      <c r="I278" s="202">
        <f t="shared" si="77"/>
        <v>1.6019999999999897</v>
      </c>
      <c r="J278" s="201">
        <v>52.262999999999998</v>
      </c>
      <c r="K278" s="199">
        <v>44385.76666666667</v>
      </c>
      <c r="L278" s="201">
        <v>72.433999999999997</v>
      </c>
      <c r="M278" s="203">
        <f t="shared" si="78"/>
        <v>-0.95099999999999996</v>
      </c>
      <c r="N278" s="204">
        <f t="shared" si="79"/>
        <v>-0.59</v>
      </c>
      <c r="O278" s="205">
        <f t="shared" si="80"/>
        <v>0</v>
      </c>
      <c r="P278" s="206">
        <f t="shared" si="81"/>
        <v>0</v>
      </c>
      <c r="Q278" s="206">
        <f t="shared" si="82"/>
        <v>-0.59</v>
      </c>
      <c r="R2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186360</v>
      </c>
      <c r="T2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8" s="208">
        <f ca="1">IF(Tabla33610673[[#This Row],[Equity]]&lt;Tabla33610673[[#This Row],[Equity Peak]],(Tabla33610673[[#This Row],[Equity Peak]]-Tabla33610673[[#This Row],[Equity]])/Tabla33610673[[#This Row],[Equity Peak]],"")</f>
        <v>1.2400635930047695E-2</v>
      </c>
      <c r="V278" s="209">
        <f t="shared" si="83"/>
        <v>0</v>
      </c>
      <c r="W278" s="209">
        <f t="shared" si="84"/>
        <v>0</v>
      </c>
      <c r="X278" s="209">
        <f t="shared" si="85"/>
        <v>-0.59</v>
      </c>
      <c r="Y278" s="209">
        <f t="shared" si="86"/>
        <v>0</v>
      </c>
      <c r="Z278" s="209">
        <f t="shared" si="87"/>
        <v>0</v>
      </c>
      <c r="AA278" s="205">
        <f t="shared" si="88"/>
        <v>0</v>
      </c>
      <c r="AB278" s="209">
        <f t="shared" si="89"/>
        <v>0</v>
      </c>
      <c r="AC278" s="205">
        <f t="shared" si="90"/>
        <v>0</v>
      </c>
      <c r="AD278" s="210">
        <f t="shared" si="91"/>
        <v>0.30833333333430346</v>
      </c>
      <c r="AE278" s="210">
        <f t="shared" si="92"/>
        <v>0</v>
      </c>
      <c r="AF278" s="210">
        <f t="shared" si="93"/>
        <v>0.30833333333430346</v>
      </c>
      <c r="AG278" s="210">
        <f t="shared" si="94"/>
        <v>0</v>
      </c>
    </row>
    <row r="279" spans="2:33" ht="15" customHeight="1" x14ac:dyDescent="0.3">
      <c r="B279" s="196" t="s">
        <v>7</v>
      </c>
      <c r="C279" s="197" t="s">
        <v>13</v>
      </c>
      <c r="D279" s="198" t="str">
        <f t="shared" si="76"/>
        <v>C</v>
      </c>
      <c r="E279" s="199">
        <v>44382.666666666664</v>
      </c>
      <c r="F279" s="200" t="s">
        <v>120</v>
      </c>
      <c r="G279" s="201">
        <v>0.85682000000000003</v>
      </c>
      <c r="H279" s="201">
        <v>0.85931999999999997</v>
      </c>
      <c r="I279" s="202">
        <f t="shared" si="77"/>
        <v>2.4999999999999467E-3</v>
      </c>
      <c r="J279" s="201">
        <v>0.85014999999999996</v>
      </c>
      <c r="K279" s="199">
        <v>44385.537499999999</v>
      </c>
      <c r="L279" s="201">
        <v>0.85865999999999998</v>
      </c>
      <c r="M279" s="203">
        <f t="shared" si="78"/>
        <v>-1.8E-3</v>
      </c>
      <c r="N279" s="204">
        <f t="shared" si="79"/>
        <v>-0.72</v>
      </c>
      <c r="O279" s="205">
        <f t="shared" si="80"/>
        <v>0</v>
      </c>
      <c r="P279" s="206">
        <f t="shared" si="81"/>
        <v>0</v>
      </c>
      <c r="Q279" s="206">
        <f t="shared" si="82"/>
        <v>-0.72</v>
      </c>
      <c r="R2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186950</v>
      </c>
      <c r="T2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79" s="208">
        <f ca="1">IF(Tabla33610673[[#This Row],[Equity]]&lt;Tabla33610673[[#This Row],[Equity Peak]],(Tabla33610673[[#This Row],[Equity Peak]]-Tabla33610673[[#This Row],[Equity]])/Tabla33610673[[#This Row],[Equity Peak]],"")</f>
        <v>9.2739798622151568E-3</v>
      </c>
      <c r="V279" s="209">
        <f t="shared" si="83"/>
        <v>-0.72</v>
      </c>
      <c r="W279" s="209">
        <f t="shared" si="84"/>
        <v>0</v>
      </c>
      <c r="X279" s="209">
        <f t="shared" si="85"/>
        <v>0</v>
      </c>
      <c r="Y279" s="209">
        <f t="shared" si="86"/>
        <v>0</v>
      </c>
      <c r="Z279" s="209">
        <f t="shared" si="87"/>
        <v>0</v>
      </c>
      <c r="AA279" s="205">
        <f t="shared" si="88"/>
        <v>0</v>
      </c>
      <c r="AB279" s="209">
        <f t="shared" si="89"/>
        <v>0</v>
      </c>
      <c r="AC279" s="205">
        <f t="shared" si="90"/>
        <v>0</v>
      </c>
      <c r="AD279" s="210">
        <f t="shared" si="91"/>
        <v>2.8708333333343035</v>
      </c>
      <c r="AE279" s="210">
        <f t="shared" si="92"/>
        <v>0</v>
      </c>
      <c r="AF279" s="210">
        <f t="shared" si="93"/>
        <v>2.8708333333343035</v>
      </c>
      <c r="AG279" s="210">
        <f t="shared" si="94"/>
        <v>0</v>
      </c>
    </row>
    <row r="280" spans="2:33" ht="15" customHeight="1" x14ac:dyDescent="0.3">
      <c r="B280" s="196" t="s">
        <v>84</v>
      </c>
      <c r="C280" s="197" t="s">
        <v>15</v>
      </c>
      <c r="D280" s="198" t="str">
        <f t="shared" si="76"/>
        <v>C</v>
      </c>
      <c r="E280" s="199">
        <v>44383.333333333336</v>
      </c>
      <c r="F280" s="200" t="s">
        <v>82</v>
      </c>
      <c r="G280" s="201">
        <v>2318.56</v>
      </c>
      <c r="H280" s="201">
        <v>2203.34</v>
      </c>
      <c r="I280" s="202">
        <f t="shared" si="77"/>
        <v>115.2199999999998</v>
      </c>
      <c r="J280" s="201">
        <v>4469.3599999999997</v>
      </c>
      <c r="K280" s="199">
        <v>44385.146527777775</v>
      </c>
      <c r="L280" s="201">
        <v>2279.58</v>
      </c>
      <c r="M280" s="203">
        <f t="shared" si="78"/>
        <v>-38.979999999999997</v>
      </c>
      <c r="N280" s="204">
        <f t="shared" si="79"/>
        <v>-0.34</v>
      </c>
      <c r="O280" s="205">
        <f t="shared" si="80"/>
        <v>0</v>
      </c>
      <c r="P280" s="206">
        <f t="shared" si="81"/>
        <v>0</v>
      </c>
      <c r="Q280" s="206">
        <f t="shared" si="82"/>
        <v>-0.34</v>
      </c>
      <c r="R2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187670</v>
      </c>
      <c r="T2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80" s="208">
        <f ca="1">IF(Tabla33610673[[#This Row],[Equity]]&lt;Tabla33610673[[#This Row],[Equity Peak]],(Tabla33610673[[#This Row],[Equity Peak]]-Tabla33610673[[#This Row],[Equity]])/Tabla33610673[[#This Row],[Equity Peak]],"")</f>
        <v>5.4583995760466349E-3</v>
      </c>
      <c r="V280" s="209">
        <f t="shared" si="83"/>
        <v>0</v>
      </c>
      <c r="W280" s="209">
        <f t="shared" si="84"/>
        <v>0</v>
      </c>
      <c r="X280" s="209">
        <f t="shared" si="85"/>
        <v>0</v>
      </c>
      <c r="Y280" s="209">
        <f t="shared" si="86"/>
        <v>0</v>
      </c>
      <c r="Z280" s="209">
        <f t="shared" si="87"/>
        <v>0</v>
      </c>
      <c r="AA280" s="205">
        <f t="shared" si="88"/>
        <v>0</v>
      </c>
      <c r="AB280" s="209">
        <f t="shared" si="89"/>
        <v>-0.34</v>
      </c>
      <c r="AC280" s="205">
        <f t="shared" si="90"/>
        <v>0</v>
      </c>
      <c r="AD280" s="210">
        <f t="shared" si="91"/>
        <v>1.8131944444394321</v>
      </c>
      <c r="AE280" s="210">
        <f t="shared" si="92"/>
        <v>0</v>
      </c>
      <c r="AF280" s="210">
        <f t="shared" si="93"/>
        <v>1.8131944444394321</v>
      </c>
      <c r="AG280" s="210">
        <f t="shared" si="94"/>
        <v>0</v>
      </c>
    </row>
    <row r="281" spans="2:33" ht="15" customHeight="1" x14ac:dyDescent="0.3">
      <c r="B281" s="196" t="s">
        <v>84</v>
      </c>
      <c r="C281" s="197" t="s">
        <v>15</v>
      </c>
      <c r="D281" s="198" t="str">
        <f t="shared" si="76"/>
        <v>C</v>
      </c>
      <c r="E281" s="199">
        <v>44384.5</v>
      </c>
      <c r="F281" s="200" t="s">
        <v>80</v>
      </c>
      <c r="G281" s="201">
        <v>34800.92</v>
      </c>
      <c r="H281" s="201">
        <v>33254.54</v>
      </c>
      <c r="I281" s="202">
        <f t="shared" si="77"/>
        <v>1546.3799999999974</v>
      </c>
      <c r="J281" s="201">
        <v>57996.58</v>
      </c>
      <c r="K281" s="199">
        <v>44385.131249999999</v>
      </c>
      <c r="L281" s="201">
        <v>33729.31</v>
      </c>
      <c r="M281" s="203">
        <f t="shared" si="78"/>
        <v>-1071.6099999999999</v>
      </c>
      <c r="N281" s="204">
        <f t="shared" si="79"/>
        <v>-0.69</v>
      </c>
      <c r="O281" s="205">
        <f t="shared" si="80"/>
        <v>0</v>
      </c>
      <c r="P281" s="206">
        <f t="shared" si="81"/>
        <v>0</v>
      </c>
      <c r="Q281" s="206">
        <f t="shared" si="82"/>
        <v>-0.69</v>
      </c>
      <c r="R2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188010</v>
      </c>
      <c r="T2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81" s="208">
        <f ca="1">IF(Tabla33610673[[#This Row],[Equity]]&lt;Tabla33610673[[#This Row],[Equity Peak]],(Tabla33610673[[#This Row],[Equity Peak]]-Tabla33610673[[#This Row],[Equity]])/Tabla33610673[[#This Row],[Equity Peak]],"")</f>
        <v>3.6565977742448329E-3</v>
      </c>
      <c r="V281" s="209">
        <f t="shared" si="83"/>
        <v>0</v>
      </c>
      <c r="W281" s="209">
        <f t="shared" si="84"/>
        <v>0</v>
      </c>
      <c r="X281" s="209">
        <f t="shared" si="85"/>
        <v>0</v>
      </c>
      <c r="Y281" s="209">
        <f t="shared" si="86"/>
        <v>0</v>
      </c>
      <c r="Z281" s="209">
        <f t="shared" si="87"/>
        <v>0</v>
      </c>
      <c r="AA281" s="205">
        <f t="shared" si="88"/>
        <v>0</v>
      </c>
      <c r="AB281" s="209">
        <f t="shared" si="89"/>
        <v>-0.69</v>
      </c>
      <c r="AC281" s="205">
        <f t="shared" si="90"/>
        <v>0</v>
      </c>
      <c r="AD281" s="210">
        <f t="shared" si="91"/>
        <v>0.63124999999854481</v>
      </c>
      <c r="AE281" s="210">
        <f t="shared" si="92"/>
        <v>0</v>
      </c>
      <c r="AF281" s="210">
        <f t="shared" si="93"/>
        <v>0.63124999999854481</v>
      </c>
      <c r="AG281" s="210">
        <f t="shared" si="94"/>
        <v>0</v>
      </c>
    </row>
    <row r="282" spans="2:33" ht="15" customHeight="1" x14ac:dyDescent="0.3">
      <c r="B282" s="196" t="s">
        <v>19</v>
      </c>
      <c r="C282" s="197" t="s">
        <v>15</v>
      </c>
      <c r="D282" s="198" t="str">
        <f t="shared" si="76"/>
        <v>C</v>
      </c>
      <c r="E282" s="199">
        <v>44341.125</v>
      </c>
      <c r="F282" s="200" t="s">
        <v>108</v>
      </c>
      <c r="G282" s="201">
        <v>65.992999999999995</v>
      </c>
      <c r="H282" s="201">
        <v>64.2</v>
      </c>
      <c r="I282" s="202">
        <f t="shared" si="77"/>
        <v>1.7929999999999922</v>
      </c>
      <c r="J282" s="201">
        <v>87.51</v>
      </c>
      <c r="K282" s="199">
        <v>44384.64166666667</v>
      </c>
      <c r="L282" s="201">
        <v>73.034000000000006</v>
      </c>
      <c r="M282" s="203">
        <f t="shared" si="78"/>
        <v>7.0410000000000004</v>
      </c>
      <c r="N282" s="204">
        <f t="shared" si="79"/>
        <v>3.93</v>
      </c>
      <c r="O282" s="205">
        <f t="shared" si="80"/>
        <v>0</v>
      </c>
      <c r="P282" s="206">
        <f t="shared" si="81"/>
        <v>3.93</v>
      </c>
      <c r="Q282" s="206">
        <f t="shared" si="82"/>
        <v>0</v>
      </c>
      <c r="R2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188700</v>
      </c>
      <c r="T2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188700</v>
      </c>
      <c r="U28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82" s="209">
        <f t="shared" si="83"/>
        <v>0</v>
      </c>
      <c r="W282" s="209">
        <f t="shared" si="84"/>
        <v>0</v>
      </c>
      <c r="X282" s="209">
        <f t="shared" si="85"/>
        <v>3.93</v>
      </c>
      <c r="Y282" s="209">
        <f t="shared" si="86"/>
        <v>0</v>
      </c>
      <c r="Z282" s="209">
        <f t="shared" si="87"/>
        <v>0</v>
      </c>
      <c r="AA282" s="205">
        <f t="shared" si="88"/>
        <v>0</v>
      </c>
      <c r="AB282" s="209">
        <f t="shared" si="89"/>
        <v>0</v>
      </c>
      <c r="AC282" s="205">
        <f t="shared" si="90"/>
        <v>0</v>
      </c>
      <c r="AD282" s="210">
        <f t="shared" si="91"/>
        <v>43.516666666670062</v>
      </c>
      <c r="AE282" s="210">
        <f t="shared" si="92"/>
        <v>43.516666666670062</v>
      </c>
      <c r="AF282" s="210">
        <f t="shared" si="93"/>
        <v>0</v>
      </c>
      <c r="AG282" s="210">
        <f t="shared" si="94"/>
        <v>0</v>
      </c>
    </row>
    <row r="283" spans="2:33" ht="15" customHeight="1" x14ac:dyDescent="0.3">
      <c r="B283" s="196" t="s">
        <v>5</v>
      </c>
      <c r="C283" s="197" t="s">
        <v>15</v>
      </c>
      <c r="D283" s="198" t="str">
        <f t="shared" si="76"/>
        <v>C</v>
      </c>
      <c r="E283" s="199">
        <v>44378.041666666664</v>
      </c>
      <c r="F283" s="200" t="s">
        <v>95</v>
      </c>
      <c r="G283" s="201">
        <v>34567.94</v>
      </c>
      <c r="H283" s="201">
        <v>34377.22</v>
      </c>
      <c r="I283" s="202">
        <f t="shared" si="77"/>
        <v>190.72000000000116</v>
      </c>
      <c r="J283" s="201">
        <v>35330.83</v>
      </c>
      <c r="K283" s="199">
        <v>44383.745833333334</v>
      </c>
      <c r="L283" s="201">
        <v>34411.339999999997</v>
      </c>
      <c r="M283" s="203">
        <f t="shared" si="78"/>
        <v>-156.6</v>
      </c>
      <c r="N283" s="204">
        <f t="shared" si="79"/>
        <v>-0.82</v>
      </c>
      <c r="O283" s="205">
        <f t="shared" si="80"/>
        <v>0</v>
      </c>
      <c r="P283" s="206">
        <f t="shared" si="81"/>
        <v>0</v>
      </c>
      <c r="Q283" s="206">
        <f t="shared" si="82"/>
        <v>-0.82</v>
      </c>
      <c r="R2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184770</v>
      </c>
      <c r="T2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185610</v>
      </c>
      <c r="U283" s="208">
        <f ca="1">IF(Tabla33610673[[#This Row],[Equity]]&lt;Tabla33610673[[#This Row],[Equity Peak]],(Tabla33610673[[#This Row],[Equity Peak]]-Tabla33610673[[#This Row],[Equity]])/Tabla33610673[[#This Row],[Equity Peak]],"")</f>
        <v>4.5256182317763051E-3</v>
      </c>
      <c r="V283" s="209">
        <f t="shared" si="83"/>
        <v>0</v>
      </c>
      <c r="W283" s="209">
        <f t="shared" si="84"/>
        <v>0</v>
      </c>
      <c r="X283" s="209">
        <f t="shared" si="85"/>
        <v>0</v>
      </c>
      <c r="Y283" s="209">
        <f t="shared" si="86"/>
        <v>0</v>
      </c>
      <c r="Z283" s="209">
        <f t="shared" si="87"/>
        <v>-0.82</v>
      </c>
      <c r="AA283" s="205">
        <f t="shared" si="88"/>
        <v>0</v>
      </c>
      <c r="AB283" s="209">
        <f t="shared" si="89"/>
        <v>0</v>
      </c>
      <c r="AC283" s="205">
        <f t="shared" si="90"/>
        <v>0</v>
      </c>
      <c r="AD283" s="210">
        <f t="shared" si="91"/>
        <v>5.7041666666700621</v>
      </c>
      <c r="AE283" s="210">
        <f t="shared" si="92"/>
        <v>0</v>
      </c>
      <c r="AF283" s="210">
        <f t="shared" si="93"/>
        <v>5.7041666666700621</v>
      </c>
      <c r="AG283" s="210">
        <f t="shared" si="94"/>
        <v>0</v>
      </c>
    </row>
    <row r="284" spans="2:33" ht="15" customHeight="1" x14ac:dyDescent="0.3">
      <c r="B284" s="196" t="s">
        <v>5</v>
      </c>
      <c r="C284" s="197" t="s">
        <v>15</v>
      </c>
      <c r="D284" s="198" t="str">
        <f t="shared" si="76"/>
        <v>C</v>
      </c>
      <c r="E284" s="199">
        <v>44378.791666666664</v>
      </c>
      <c r="F284" s="200" t="s">
        <v>94</v>
      </c>
      <c r="G284" s="201">
        <v>7115.72</v>
      </c>
      <c r="H284" s="201">
        <v>7037.53</v>
      </c>
      <c r="I284" s="202">
        <f t="shared" si="77"/>
        <v>78.190000000000509</v>
      </c>
      <c r="J284" s="201">
        <v>7506.67</v>
      </c>
      <c r="K284" s="199">
        <v>44383.714583333334</v>
      </c>
      <c r="L284" s="201">
        <v>7114.02</v>
      </c>
      <c r="M284" s="203">
        <f t="shared" si="78"/>
        <v>-1.7</v>
      </c>
      <c r="N284" s="204">
        <f t="shared" si="79"/>
        <v>-0.02</v>
      </c>
      <c r="O284" s="205">
        <f t="shared" si="80"/>
        <v>0</v>
      </c>
      <c r="P284" s="206">
        <f t="shared" si="81"/>
        <v>0</v>
      </c>
      <c r="Q284" s="206">
        <f t="shared" si="82"/>
        <v>-0.02</v>
      </c>
      <c r="R2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185590</v>
      </c>
      <c r="T2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185610</v>
      </c>
      <c r="U284" s="208">
        <f ca="1">IF(Tabla33610673[[#This Row],[Equity]]&lt;Tabla33610673[[#This Row],[Equity Peak]],(Tabla33610673[[#This Row],[Equity Peak]]-Tabla33610673[[#This Row],[Equity]])/Tabla33610673[[#This Row],[Equity Peak]],"")</f>
        <v>1.0775281504229298E-4</v>
      </c>
      <c r="V284" s="209">
        <f t="shared" si="83"/>
        <v>0</v>
      </c>
      <c r="W284" s="209">
        <f t="shared" si="84"/>
        <v>0</v>
      </c>
      <c r="X284" s="209">
        <f t="shared" si="85"/>
        <v>0</v>
      </c>
      <c r="Y284" s="209">
        <f t="shared" si="86"/>
        <v>0</v>
      </c>
      <c r="Z284" s="209">
        <f t="shared" si="87"/>
        <v>-0.02</v>
      </c>
      <c r="AA284" s="205">
        <f t="shared" si="88"/>
        <v>0</v>
      </c>
      <c r="AB284" s="209">
        <f t="shared" si="89"/>
        <v>0</v>
      </c>
      <c r="AC284" s="205">
        <f t="shared" si="90"/>
        <v>0</v>
      </c>
      <c r="AD284" s="210">
        <f t="shared" si="91"/>
        <v>4.9229166666700621</v>
      </c>
      <c r="AE284" s="210">
        <f t="shared" si="92"/>
        <v>0</v>
      </c>
      <c r="AF284" s="210">
        <f t="shared" si="93"/>
        <v>4.9229166666700621</v>
      </c>
      <c r="AG284" s="210">
        <f t="shared" si="94"/>
        <v>0</v>
      </c>
    </row>
    <row r="285" spans="2:33" ht="15" customHeight="1" x14ac:dyDescent="0.3">
      <c r="B285" s="196" t="s">
        <v>7</v>
      </c>
      <c r="C285" s="197" t="s">
        <v>13</v>
      </c>
      <c r="D285" s="198" t="str">
        <f t="shared" si="76"/>
        <v>C</v>
      </c>
      <c r="E285" s="199">
        <v>44382.5</v>
      </c>
      <c r="F285" s="200" t="s">
        <v>121</v>
      </c>
      <c r="G285" s="201">
        <v>1.57602</v>
      </c>
      <c r="H285" s="201">
        <v>1.5811299999999999</v>
      </c>
      <c r="I285" s="202">
        <f t="shared" si="77"/>
        <v>5.1099999999999479E-3</v>
      </c>
      <c r="J285" s="201">
        <v>1.5215099999999999</v>
      </c>
      <c r="K285" s="199">
        <v>44383.712500000001</v>
      </c>
      <c r="L285" s="201">
        <v>1.57009</v>
      </c>
      <c r="M285" s="203">
        <f t="shared" si="78"/>
        <v>5.8999999999999999E-3</v>
      </c>
      <c r="N285" s="204">
        <f t="shared" si="79"/>
        <v>1.1499999999999999</v>
      </c>
      <c r="O285" s="205">
        <f t="shared" si="80"/>
        <v>0</v>
      </c>
      <c r="P285" s="206">
        <f t="shared" si="81"/>
        <v>1.1499999999999999</v>
      </c>
      <c r="Q285" s="206">
        <f t="shared" si="82"/>
        <v>0</v>
      </c>
      <c r="R2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185610</v>
      </c>
      <c r="T2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185610</v>
      </c>
      <c r="U28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85" s="209">
        <f t="shared" si="83"/>
        <v>1.1499999999999999</v>
      </c>
      <c r="W285" s="209">
        <f t="shared" si="84"/>
        <v>0</v>
      </c>
      <c r="X285" s="209">
        <f t="shared" si="85"/>
        <v>0</v>
      </c>
      <c r="Y285" s="209">
        <f t="shared" si="86"/>
        <v>0</v>
      </c>
      <c r="Z285" s="209">
        <f t="shared" si="87"/>
        <v>0</v>
      </c>
      <c r="AA285" s="205">
        <f t="shared" si="88"/>
        <v>0</v>
      </c>
      <c r="AB285" s="209">
        <f t="shared" si="89"/>
        <v>0</v>
      </c>
      <c r="AC285" s="205">
        <f t="shared" si="90"/>
        <v>0</v>
      </c>
      <c r="AD285" s="210">
        <f t="shared" si="91"/>
        <v>1.2125000000014552</v>
      </c>
      <c r="AE285" s="210">
        <f t="shared" si="92"/>
        <v>1.2125000000014552</v>
      </c>
      <c r="AF285" s="210">
        <f t="shared" si="93"/>
        <v>0</v>
      </c>
      <c r="AG285" s="210">
        <f t="shared" si="94"/>
        <v>0</v>
      </c>
    </row>
    <row r="286" spans="2:33" ht="15" customHeight="1" x14ac:dyDescent="0.3">
      <c r="B286" s="196" t="s">
        <v>7</v>
      </c>
      <c r="C286" s="197" t="s">
        <v>15</v>
      </c>
      <c r="D286" s="198" t="str">
        <f t="shared" si="76"/>
        <v>C</v>
      </c>
      <c r="E286" s="199">
        <v>44327.166666666664</v>
      </c>
      <c r="F286" s="200" t="s">
        <v>117</v>
      </c>
      <c r="G286" s="201">
        <v>1.8037799999999999</v>
      </c>
      <c r="H286" s="201">
        <v>1.78901</v>
      </c>
      <c r="I286" s="202">
        <f t="shared" si="77"/>
        <v>1.476999999999995E-2</v>
      </c>
      <c r="J286" s="201">
        <v>1.8530199999999999</v>
      </c>
      <c r="K286" s="199">
        <v>44383.552777777775</v>
      </c>
      <c r="L286" s="201">
        <v>1.8257000000000001</v>
      </c>
      <c r="M286" s="203">
        <f t="shared" si="78"/>
        <v>2.1899999999999999E-2</v>
      </c>
      <c r="N286" s="204">
        <f t="shared" si="79"/>
        <v>1.48</v>
      </c>
      <c r="O286" s="205">
        <f t="shared" si="80"/>
        <v>0</v>
      </c>
      <c r="P286" s="206">
        <f t="shared" si="81"/>
        <v>1.48</v>
      </c>
      <c r="Q286" s="206">
        <f t="shared" si="82"/>
        <v>0</v>
      </c>
      <c r="R2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184460</v>
      </c>
      <c r="T2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184460</v>
      </c>
      <c r="U28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86" s="209">
        <f t="shared" si="83"/>
        <v>1.48</v>
      </c>
      <c r="W286" s="209">
        <f t="shared" si="84"/>
        <v>0</v>
      </c>
      <c r="X286" s="209">
        <f t="shared" si="85"/>
        <v>0</v>
      </c>
      <c r="Y286" s="209">
        <f t="shared" si="86"/>
        <v>0</v>
      </c>
      <c r="Z286" s="209">
        <f t="shared" si="87"/>
        <v>0</v>
      </c>
      <c r="AA286" s="205">
        <f t="shared" si="88"/>
        <v>0</v>
      </c>
      <c r="AB286" s="209">
        <f t="shared" si="89"/>
        <v>0</v>
      </c>
      <c r="AC286" s="205">
        <f t="shared" si="90"/>
        <v>0</v>
      </c>
      <c r="AD286" s="210">
        <f t="shared" si="91"/>
        <v>56.386111111110949</v>
      </c>
      <c r="AE286" s="210">
        <f t="shared" si="92"/>
        <v>56.386111111110949</v>
      </c>
      <c r="AF286" s="210">
        <f t="shared" si="93"/>
        <v>0</v>
      </c>
      <c r="AG286" s="210">
        <f t="shared" si="94"/>
        <v>0</v>
      </c>
    </row>
    <row r="287" spans="2:33" ht="15" customHeight="1" x14ac:dyDescent="0.3">
      <c r="B287" s="196" t="s">
        <v>84</v>
      </c>
      <c r="C287" s="197" t="s">
        <v>15</v>
      </c>
      <c r="D287" s="198" t="str">
        <f t="shared" si="76"/>
        <v>C</v>
      </c>
      <c r="E287" s="199">
        <v>44287.017361111109</v>
      </c>
      <c r="F287" s="200" t="s">
        <v>82</v>
      </c>
      <c r="G287" s="201">
        <v>1944.53</v>
      </c>
      <c r="H287" s="201">
        <v>1882.24</v>
      </c>
      <c r="I287" s="202">
        <f t="shared" si="77"/>
        <v>62.289999999999964</v>
      </c>
      <c r="J287" s="201">
        <v>3107.19</v>
      </c>
      <c r="K287" s="199">
        <v>44383.333333333336</v>
      </c>
      <c r="L287" s="201">
        <v>2318.56</v>
      </c>
      <c r="M287" s="203">
        <f t="shared" si="78"/>
        <v>374.03</v>
      </c>
      <c r="N287" s="204">
        <f t="shared" si="79"/>
        <v>6</v>
      </c>
      <c r="O287" s="205">
        <f t="shared" si="80"/>
        <v>0</v>
      </c>
      <c r="P287" s="206">
        <f t="shared" si="81"/>
        <v>6</v>
      </c>
      <c r="Q287" s="206">
        <f t="shared" si="82"/>
        <v>0</v>
      </c>
      <c r="R2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182980</v>
      </c>
      <c r="T2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182980</v>
      </c>
      <c r="U28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87" s="209">
        <f t="shared" si="83"/>
        <v>0</v>
      </c>
      <c r="W287" s="209">
        <f t="shared" si="84"/>
        <v>0</v>
      </c>
      <c r="X287" s="209">
        <f t="shared" si="85"/>
        <v>0</v>
      </c>
      <c r="Y287" s="209">
        <f t="shared" si="86"/>
        <v>0</v>
      </c>
      <c r="Z287" s="209">
        <f t="shared" si="87"/>
        <v>0</v>
      </c>
      <c r="AA287" s="205">
        <f t="shared" si="88"/>
        <v>0</v>
      </c>
      <c r="AB287" s="209">
        <f t="shared" si="89"/>
        <v>6</v>
      </c>
      <c r="AC287" s="205">
        <f t="shared" si="90"/>
        <v>0</v>
      </c>
      <c r="AD287" s="210">
        <f t="shared" si="91"/>
        <v>96.315972222226264</v>
      </c>
      <c r="AE287" s="210">
        <f t="shared" si="92"/>
        <v>96.315972222226264</v>
      </c>
      <c r="AF287" s="210">
        <f t="shared" si="93"/>
        <v>0</v>
      </c>
      <c r="AG287" s="210">
        <f t="shared" si="94"/>
        <v>0</v>
      </c>
    </row>
    <row r="288" spans="2:33" ht="15" customHeight="1" x14ac:dyDescent="0.3">
      <c r="B288" s="196" t="s">
        <v>84</v>
      </c>
      <c r="C288" s="197" t="s">
        <v>13</v>
      </c>
      <c r="D288" s="198" t="str">
        <f t="shared" si="76"/>
        <v>C</v>
      </c>
      <c r="E288" s="199">
        <v>44377.666666666664</v>
      </c>
      <c r="F288" s="200" t="s">
        <v>80</v>
      </c>
      <c r="G288" s="201">
        <v>34652.92</v>
      </c>
      <c r="H288" s="201">
        <v>36388.06</v>
      </c>
      <c r="I288" s="202">
        <f t="shared" si="77"/>
        <v>1735.1399999999994</v>
      </c>
      <c r="J288" s="201">
        <v>8625.7800000000007</v>
      </c>
      <c r="K288" s="199">
        <v>44382</v>
      </c>
      <c r="L288" s="201">
        <v>34670.81</v>
      </c>
      <c r="M288" s="203">
        <f t="shared" si="78"/>
        <v>-17.89</v>
      </c>
      <c r="N288" s="204">
        <f t="shared" si="79"/>
        <v>-0.01</v>
      </c>
      <c r="O288" s="205">
        <f t="shared" si="80"/>
        <v>0</v>
      </c>
      <c r="P288" s="206">
        <f t="shared" si="81"/>
        <v>0</v>
      </c>
      <c r="Q288" s="206">
        <f t="shared" si="82"/>
        <v>-0.01</v>
      </c>
      <c r="R2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176980</v>
      </c>
      <c r="T2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88" s="208">
        <f ca="1">IF(Tabla33610673[[#This Row],[Equity]]&lt;Tabla33610673[[#This Row],[Equity Peak]],(Tabla33610673[[#This Row],[Equity Peak]]-Tabla33610673[[#This Row],[Equity]])/Tabla33610673[[#This Row],[Equity Peak]],"")</f>
        <v>6.1769991015274035E-3</v>
      </c>
      <c r="V288" s="209">
        <f t="shared" si="83"/>
        <v>0</v>
      </c>
      <c r="W288" s="209">
        <f t="shared" si="84"/>
        <v>0</v>
      </c>
      <c r="X288" s="209">
        <f t="shared" si="85"/>
        <v>0</v>
      </c>
      <c r="Y288" s="209">
        <f t="shared" si="86"/>
        <v>0</v>
      </c>
      <c r="Z288" s="209">
        <f t="shared" si="87"/>
        <v>0</v>
      </c>
      <c r="AA288" s="205">
        <f t="shared" si="88"/>
        <v>0</v>
      </c>
      <c r="AB288" s="209">
        <f t="shared" si="89"/>
        <v>-0.01</v>
      </c>
      <c r="AC288" s="205">
        <f t="shared" si="90"/>
        <v>0</v>
      </c>
      <c r="AD288" s="210">
        <f t="shared" si="91"/>
        <v>4.3333333333357587</v>
      </c>
      <c r="AE288" s="210">
        <f t="shared" si="92"/>
        <v>0</v>
      </c>
      <c r="AF288" s="210">
        <f t="shared" si="93"/>
        <v>4.3333333333357587</v>
      </c>
      <c r="AG288" s="210">
        <f t="shared" si="94"/>
        <v>0</v>
      </c>
    </row>
    <row r="289" spans="2:33" ht="15" customHeight="1" x14ac:dyDescent="0.3">
      <c r="B289" s="196" t="s">
        <v>7</v>
      </c>
      <c r="C289" s="197" t="s">
        <v>15</v>
      </c>
      <c r="D289" s="198" t="str">
        <f t="shared" si="76"/>
        <v>C</v>
      </c>
      <c r="E289" s="199">
        <v>44378.5</v>
      </c>
      <c r="F289" s="200" t="s">
        <v>114</v>
      </c>
      <c r="G289" s="201">
        <v>111.40600000000001</v>
      </c>
      <c r="H289" s="201">
        <v>110.83199999999999</v>
      </c>
      <c r="I289" s="202">
        <f t="shared" si="77"/>
        <v>0.57400000000001228</v>
      </c>
      <c r="J289" s="201">
        <v>114.083</v>
      </c>
      <c r="K289" s="199">
        <v>44379.652083333334</v>
      </c>
      <c r="L289" s="201">
        <v>111.32299999999999</v>
      </c>
      <c r="M289" s="203">
        <f t="shared" si="78"/>
        <v>-8.3000000000000004E-2</v>
      </c>
      <c r="N289" s="204">
        <f t="shared" si="79"/>
        <v>-0.14000000000000001</v>
      </c>
      <c r="O289" s="205">
        <f t="shared" si="80"/>
        <v>0</v>
      </c>
      <c r="P289" s="206">
        <f t="shared" si="81"/>
        <v>0</v>
      </c>
      <c r="Q289" s="206">
        <f t="shared" si="82"/>
        <v>-0.14000000000000001</v>
      </c>
      <c r="R2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176990</v>
      </c>
      <c r="T2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89" s="208">
        <f ca="1">IF(Tabla33610673[[#This Row],[Equity]]&lt;Tabla33610673[[#This Row],[Equity Peak]],(Tabla33610673[[#This Row],[Equity Peak]]-Tabla33610673[[#This Row],[Equity]])/Tabla33610673[[#This Row],[Equity Peak]],"")</f>
        <v>6.1208445642407907E-3</v>
      </c>
      <c r="V289" s="209">
        <f t="shared" si="83"/>
        <v>-0.14000000000000001</v>
      </c>
      <c r="W289" s="209">
        <f t="shared" si="84"/>
        <v>0</v>
      </c>
      <c r="X289" s="209">
        <f t="shared" si="85"/>
        <v>0</v>
      </c>
      <c r="Y289" s="209">
        <f t="shared" si="86"/>
        <v>0</v>
      </c>
      <c r="Z289" s="209">
        <f t="shared" si="87"/>
        <v>0</v>
      </c>
      <c r="AA289" s="205">
        <f t="shared" si="88"/>
        <v>0</v>
      </c>
      <c r="AB289" s="209">
        <f t="shared" si="89"/>
        <v>0</v>
      </c>
      <c r="AC289" s="205">
        <f t="shared" si="90"/>
        <v>0</v>
      </c>
      <c r="AD289" s="210">
        <f t="shared" si="91"/>
        <v>1.1520833333343035</v>
      </c>
      <c r="AE289" s="210">
        <f t="shared" si="92"/>
        <v>0</v>
      </c>
      <c r="AF289" s="210">
        <f t="shared" si="93"/>
        <v>1.1520833333343035</v>
      </c>
      <c r="AG289" s="210">
        <f t="shared" si="94"/>
        <v>0</v>
      </c>
    </row>
    <row r="290" spans="2:33" ht="15" customHeight="1" x14ac:dyDescent="0.3">
      <c r="B290" s="196" t="s">
        <v>5</v>
      </c>
      <c r="C290" s="197" t="s">
        <v>15</v>
      </c>
      <c r="D290" s="198" t="str">
        <f t="shared" si="76"/>
        <v>C</v>
      </c>
      <c r="E290" s="199">
        <v>44370.208333333336</v>
      </c>
      <c r="F290" s="200" t="s">
        <v>93</v>
      </c>
      <c r="G290" s="201">
        <v>4251.99</v>
      </c>
      <c r="H290" s="201">
        <v>4223.51</v>
      </c>
      <c r="I290" s="202">
        <f t="shared" si="77"/>
        <v>28.479999999999563</v>
      </c>
      <c r="J290" s="201">
        <v>4327.9399999999996</v>
      </c>
      <c r="K290" s="199">
        <v>44379.65</v>
      </c>
      <c r="L290" s="201">
        <v>4327.9399999999996</v>
      </c>
      <c r="M290" s="203">
        <f t="shared" si="78"/>
        <v>75.95</v>
      </c>
      <c r="N290" s="204">
        <f t="shared" si="79"/>
        <v>2.67</v>
      </c>
      <c r="O290" s="205">
        <f t="shared" si="80"/>
        <v>0</v>
      </c>
      <c r="P290" s="206">
        <f t="shared" si="81"/>
        <v>2.67</v>
      </c>
      <c r="Q290" s="206">
        <f t="shared" si="82"/>
        <v>0</v>
      </c>
      <c r="R2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177130</v>
      </c>
      <c r="T2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0" s="208">
        <f ca="1">IF(Tabla33610673[[#This Row],[Equity]]&lt;Tabla33610673[[#This Row],[Equity Peak]],(Tabla33610673[[#This Row],[Equity Peak]]-Tabla33610673[[#This Row],[Equity]])/Tabla33610673[[#This Row],[Equity Peak]],"")</f>
        <v>5.3346810422282122E-3</v>
      </c>
      <c r="V290" s="209">
        <f t="shared" si="83"/>
        <v>0</v>
      </c>
      <c r="W290" s="209">
        <f t="shared" si="84"/>
        <v>0</v>
      </c>
      <c r="X290" s="209">
        <f t="shared" si="85"/>
        <v>0</v>
      </c>
      <c r="Y290" s="209">
        <f t="shared" si="86"/>
        <v>0</v>
      </c>
      <c r="Z290" s="209">
        <f t="shared" si="87"/>
        <v>2.67</v>
      </c>
      <c r="AA290" s="205">
        <f t="shared" si="88"/>
        <v>0</v>
      </c>
      <c r="AB290" s="209">
        <f t="shared" si="89"/>
        <v>0</v>
      </c>
      <c r="AC290" s="205">
        <f t="shared" si="90"/>
        <v>0</v>
      </c>
      <c r="AD290" s="210">
        <f t="shared" si="91"/>
        <v>9.4416666666656965</v>
      </c>
      <c r="AE290" s="210">
        <f t="shared" si="92"/>
        <v>9.4416666666656965</v>
      </c>
      <c r="AF290" s="210">
        <f t="shared" si="93"/>
        <v>0</v>
      </c>
      <c r="AG290" s="210">
        <f t="shared" si="94"/>
        <v>0</v>
      </c>
    </row>
    <row r="291" spans="2:33" ht="15" customHeight="1" x14ac:dyDescent="0.3">
      <c r="B291" s="196" t="s">
        <v>7</v>
      </c>
      <c r="C291" s="197" t="s">
        <v>13</v>
      </c>
      <c r="D291" s="198" t="str">
        <f t="shared" si="76"/>
        <v>C</v>
      </c>
      <c r="E291" s="199">
        <v>44372.5</v>
      </c>
      <c r="F291" s="200" t="s">
        <v>116</v>
      </c>
      <c r="G291" s="201">
        <v>154.03299999999999</v>
      </c>
      <c r="H291" s="201">
        <v>155.005</v>
      </c>
      <c r="I291" s="202">
        <f t="shared" si="77"/>
        <v>0.97200000000000841</v>
      </c>
      <c r="J291" s="201">
        <v>148.58799999999999</v>
      </c>
      <c r="K291" s="199">
        <v>44377.95416666667</v>
      </c>
      <c r="L291" s="201">
        <v>153.684</v>
      </c>
      <c r="M291" s="203">
        <f t="shared" si="78"/>
        <v>0.34899999999999998</v>
      </c>
      <c r="N291" s="204">
        <f t="shared" si="79"/>
        <v>0.36</v>
      </c>
      <c r="O291" s="205">
        <f t="shared" si="80"/>
        <v>0</v>
      </c>
      <c r="P291" s="206">
        <f t="shared" si="81"/>
        <v>0.36</v>
      </c>
      <c r="Q291" s="206">
        <f t="shared" si="82"/>
        <v>0</v>
      </c>
      <c r="R2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174460</v>
      </c>
      <c r="T2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1" s="208">
        <f ca="1">IF(Tabla33610673[[#This Row],[Equity]]&lt;Tabla33610673[[#This Row],[Equity Peak]],(Tabla33610673[[#This Row],[Equity Peak]]-Tabla33610673[[#This Row],[Equity]])/Tabla33610673[[#This Row],[Equity Peak]],"")</f>
        <v>2.0327942497753819E-2</v>
      </c>
      <c r="V291" s="209">
        <f t="shared" si="83"/>
        <v>0.36</v>
      </c>
      <c r="W291" s="209">
        <f t="shared" si="84"/>
        <v>0</v>
      </c>
      <c r="X291" s="209">
        <f t="shared" si="85"/>
        <v>0</v>
      </c>
      <c r="Y291" s="209">
        <f t="shared" si="86"/>
        <v>0</v>
      </c>
      <c r="Z291" s="209">
        <f t="shared" si="87"/>
        <v>0</v>
      </c>
      <c r="AA291" s="205">
        <f t="shared" si="88"/>
        <v>0</v>
      </c>
      <c r="AB291" s="209">
        <f t="shared" si="89"/>
        <v>0</v>
      </c>
      <c r="AC291" s="205">
        <f t="shared" si="90"/>
        <v>0</v>
      </c>
      <c r="AD291" s="210">
        <f t="shared" si="91"/>
        <v>5.4541666666700621</v>
      </c>
      <c r="AE291" s="210">
        <f t="shared" si="92"/>
        <v>5.4541666666700621</v>
      </c>
      <c r="AF291" s="210">
        <f t="shared" si="93"/>
        <v>0</v>
      </c>
      <c r="AG291" s="210">
        <f t="shared" si="94"/>
        <v>0</v>
      </c>
    </row>
    <row r="292" spans="2:33" ht="15" customHeight="1" x14ac:dyDescent="0.3">
      <c r="B292" s="196" t="s">
        <v>7</v>
      </c>
      <c r="C292" s="197" t="s">
        <v>15</v>
      </c>
      <c r="D292" s="198" t="str">
        <f t="shared" si="76"/>
        <v>C</v>
      </c>
      <c r="E292" s="199">
        <v>44376.333333333336</v>
      </c>
      <c r="F292" s="200" t="s">
        <v>121</v>
      </c>
      <c r="G292" s="201">
        <v>1.5771999999999999</v>
      </c>
      <c r="H292" s="201">
        <v>1.57311</v>
      </c>
      <c r="I292" s="202">
        <f t="shared" si="77"/>
        <v>4.089999999999927E-3</v>
      </c>
      <c r="J292" s="201">
        <v>1.6208100000000001</v>
      </c>
      <c r="K292" s="199">
        <v>44377.745833333334</v>
      </c>
      <c r="L292" s="201">
        <v>1.5788599999999999</v>
      </c>
      <c r="M292" s="203">
        <f t="shared" si="78"/>
        <v>1.6999999999999999E-3</v>
      </c>
      <c r="N292" s="204">
        <f t="shared" si="79"/>
        <v>0.42</v>
      </c>
      <c r="O292" s="205">
        <f t="shared" si="80"/>
        <v>0</v>
      </c>
      <c r="P292" s="206">
        <f t="shared" si="81"/>
        <v>0.42</v>
      </c>
      <c r="Q292" s="206">
        <f t="shared" si="82"/>
        <v>0</v>
      </c>
      <c r="R2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174100</v>
      </c>
      <c r="T2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2" s="208">
        <f ca="1">IF(Tabla33610673[[#This Row],[Equity]]&lt;Tabla33610673[[#This Row],[Equity Peak]],(Tabla33610673[[#This Row],[Equity Peak]]-Tabla33610673[[#This Row],[Equity]])/Tabla33610673[[#This Row],[Equity Peak]],"")</f>
        <v>2.2349505840071879E-2</v>
      </c>
      <c r="V292" s="209">
        <f t="shared" si="83"/>
        <v>0.42</v>
      </c>
      <c r="W292" s="209">
        <f t="shared" si="84"/>
        <v>0</v>
      </c>
      <c r="X292" s="209">
        <f t="shared" si="85"/>
        <v>0</v>
      </c>
      <c r="Y292" s="209">
        <f t="shared" si="86"/>
        <v>0</v>
      </c>
      <c r="Z292" s="209">
        <f t="shared" si="87"/>
        <v>0</v>
      </c>
      <c r="AA292" s="205">
        <f t="shared" si="88"/>
        <v>0</v>
      </c>
      <c r="AB292" s="209">
        <f t="shared" si="89"/>
        <v>0</v>
      </c>
      <c r="AC292" s="205">
        <f t="shared" si="90"/>
        <v>0</v>
      </c>
      <c r="AD292" s="210">
        <f t="shared" si="91"/>
        <v>1.4124999999985448</v>
      </c>
      <c r="AE292" s="210">
        <f t="shared" si="92"/>
        <v>1.4124999999985448</v>
      </c>
      <c r="AF292" s="210">
        <f t="shared" si="93"/>
        <v>0</v>
      </c>
      <c r="AG292" s="210">
        <f t="shared" si="94"/>
        <v>0</v>
      </c>
    </row>
    <row r="293" spans="2:33" ht="15" customHeight="1" x14ac:dyDescent="0.3">
      <c r="B293" s="196" t="s">
        <v>5</v>
      </c>
      <c r="C293" s="197" t="s">
        <v>15</v>
      </c>
      <c r="D293" s="198" t="str">
        <f t="shared" si="76"/>
        <v>C</v>
      </c>
      <c r="E293" s="199">
        <v>44372.208333333336</v>
      </c>
      <c r="F293" s="200" t="s">
        <v>95</v>
      </c>
      <c r="G293" s="201">
        <v>34326.769999999997</v>
      </c>
      <c r="H293" s="201">
        <v>34130.74</v>
      </c>
      <c r="I293" s="202">
        <f t="shared" si="77"/>
        <v>196.02999999999884</v>
      </c>
      <c r="J293" s="201">
        <v>35110.9</v>
      </c>
      <c r="K293" s="199">
        <v>44377.504861111112</v>
      </c>
      <c r="L293" s="201">
        <v>34130.74</v>
      </c>
      <c r="M293" s="203">
        <f t="shared" si="78"/>
        <v>-196.03</v>
      </c>
      <c r="N293" s="204">
        <f t="shared" si="79"/>
        <v>-1</v>
      </c>
      <c r="O293" s="205">
        <f t="shared" si="80"/>
        <v>0</v>
      </c>
      <c r="P293" s="206">
        <f t="shared" si="81"/>
        <v>0</v>
      </c>
      <c r="Q293" s="206">
        <f t="shared" si="82"/>
        <v>-1</v>
      </c>
      <c r="R2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173680</v>
      </c>
      <c r="T2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3" s="208">
        <f ca="1">IF(Tabla33610673[[#This Row],[Equity]]&lt;Tabla33610673[[#This Row],[Equity Peak]],(Tabla33610673[[#This Row],[Equity Peak]]-Tabla33610673[[#This Row],[Equity]])/Tabla33610673[[#This Row],[Equity Peak]],"")</f>
        <v>2.4707996406109614E-2</v>
      </c>
      <c r="V293" s="209">
        <f t="shared" si="83"/>
        <v>0</v>
      </c>
      <c r="W293" s="209">
        <f t="shared" si="84"/>
        <v>0</v>
      </c>
      <c r="X293" s="209">
        <f t="shared" si="85"/>
        <v>0</v>
      </c>
      <c r="Y293" s="209">
        <f t="shared" si="86"/>
        <v>0</v>
      </c>
      <c r="Z293" s="209">
        <f t="shared" si="87"/>
        <v>-1</v>
      </c>
      <c r="AA293" s="205">
        <f t="shared" si="88"/>
        <v>0</v>
      </c>
      <c r="AB293" s="209">
        <f t="shared" si="89"/>
        <v>0</v>
      </c>
      <c r="AC293" s="205">
        <f t="shared" si="90"/>
        <v>0</v>
      </c>
      <c r="AD293" s="210">
        <f t="shared" si="91"/>
        <v>5.296527777776646</v>
      </c>
      <c r="AE293" s="210">
        <f t="shared" si="92"/>
        <v>0</v>
      </c>
      <c r="AF293" s="210">
        <f t="shared" si="93"/>
        <v>5.296527777776646</v>
      </c>
      <c r="AG293" s="210">
        <f t="shared" si="94"/>
        <v>0</v>
      </c>
    </row>
    <row r="294" spans="2:33" ht="15" customHeight="1" x14ac:dyDescent="0.3">
      <c r="B294" s="196" t="s">
        <v>84</v>
      </c>
      <c r="C294" s="197" t="s">
        <v>15</v>
      </c>
      <c r="D294" s="198" t="str">
        <f t="shared" si="76"/>
        <v>C</v>
      </c>
      <c r="E294" s="199">
        <v>44376.666666666664</v>
      </c>
      <c r="F294" s="200" t="s">
        <v>80</v>
      </c>
      <c r="G294" s="201">
        <v>35827.919999999998</v>
      </c>
      <c r="H294" s="201">
        <v>33517.919999999998</v>
      </c>
      <c r="I294" s="202">
        <f t="shared" si="77"/>
        <v>2310</v>
      </c>
      <c r="J294" s="201">
        <v>70477.919999999998</v>
      </c>
      <c r="K294" s="199">
        <v>44377.494444444441</v>
      </c>
      <c r="L294" s="201">
        <v>34635.46</v>
      </c>
      <c r="M294" s="203">
        <f t="shared" si="78"/>
        <v>-1192.46</v>
      </c>
      <c r="N294" s="204">
        <f t="shared" si="79"/>
        <v>-0.52</v>
      </c>
      <c r="O294" s="205">
        <f t="shared" si="80"/>
        <v>0</v>
      </c>
      <c r="P294" s="206">
        <f t="shared" si="81"/>
        <v>0</v>
      </c>
      <c r="Q294" s="206">
        <f t="shared" si="82"/>
        <v>-0.52</v>
      </c>
      <c r="R2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174680</v>
      </c>
      <c r="T2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4" s="208">
        <f ca="1">IF(Tabla33610673[[#This Row],[Equity]]&lt;Tabla33610673[[#This Row],[Equity Peak]],(Tabla33610673[[#This Row],[Equity Peak]]-Tabla33610673[[#This Row],[Equity]])/Tabla33610673[[#This Row],[Equity Peak]],"")</f>
        <v>1.9092542677448338E-2</v>
      </c>
      <c r="V294" s="209">
        <f t="shared" si="83"/>
        <v>0</v>
      </c>
      <c r="W294" s="209">
        <f t="shared" si="84"/>
        <v>0</v>
      </c>
      <c r="X294" s="209">
        <f t="shared" si="85"/>
        <v>0</v>
      </c>
      <c r="Y294" s="209">
        <f t="shared" si="86"/>
        <v>0</v>
      </c>
      <c r="Z294" s="209">
        <f t="shared" si="87"/>
        <v>0</v>
      </c>
      <c r="AA294" s="205">
        <f t="shared" si="88"/>
        <v>0</v>
      </c>
      <c r="AB294" s="209">
        <f t="shared" si="89"/>
        <v>-0.52</v>
      </c>
      <c r="AC294" s="205">
        <f t="shared" si="90"/>
        <v>0</v>
      </c>
      <c r="AD294" s="210">
        <f t="shared" si="91"/>
        <v>0.82777777777664596</v>
      </c>
      <c r="AE294" s="210">
        <f t="shared" si="92"/>
        <v>0</v>
      </c>
      <c r="AF294" s="210">
        <f t="shared" si="93"/>
        <v>0.82777777777664596</v>
      </c>
      <c r="AG294" s="210">
        <f t="shared" si="94"/>
        <v>0</v>
      </c>
    </row>
    <row r="295" spans="2:33" ht="15" customHeight="1" x14ac:dyDescent="0.3">
      <c r="B295" s="196" t="s">
        <v>5</v>
      </c>
      <c r="C295" s="197" t="s">
        <v>13</v>
      </c>
      <c r="D295" s="198" t="str">
        <f t="shared" si="76"/>
        <v>C</v>
      </c>
      <c r="E295" s="199">
        <v>44376.125</v>
      </c>
      <c r="F295" s="200" t="s">
        <v>94</v>
      </c>
      <c r="G295" s="201">
        <v>7076.47</v>
      </c>
      <c r="H295" s="201">
        <v>7125.41</v>
      </c>
      <c r="I295" s="202">
        <f t="shared" si="77"/>
        <v>48.9399999999996</v>
      </c>
      <c r="J295" s="201">
        <v>6831.78</v>
      </c>
      <c r="K295" s="199">
        <v>44376.42291666667</v>
      </c>
      <c r="L295" s="201">
        <v>7100.22</v>
      </c>
      <c r="M295" s="203">
        <f t="shared" si="78"/>
        <v>-23.75</v>
      </c>
      <c r="N295" s="204">
        <f t="shared" si="79"/>
        <v>-0.49</v>
      </c>
      <c r="O295" s="205">
        <f t="shared" si="80"/>
        <v>0</v>
      </c>
      <c r="P295" s="206">
        <f t="shared" si="81"/>
        <v>0</v>
      </c>
      <c r="Q295" s="206">
        <f t="shared" si="82"/>
        <v>-0.49</v>
      </c>
      <c r="R2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175200</v>
      </c>
      <c r="T2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5" s="208">
        <f ca="1">IF(Tabla33610673[[#This Row],[Equity]]&lt;Tabla33610673[[#This Row],[Equity Peak]],(Tabla33610673[[#This Row],[Equity Peak]]-Tabla33610673[[#This Row],[Equity]])/Tabla33610673[[#This Row],[Equity Peak]],"")</f>
        <v>1.6172506738544475E-2</v>
      </c>
      <c r="V295" s="209">
        <f t="shared" si="83"/>
        <v>0</v>
      </c>
      <c r="W295" s="209">
        <f t="shared" si="84"/>
        <v>0</v>
      </c>
      <c r="X295" s="209">
        <f t="shared" si="85"/>
        <v>0</v>
      </c>
      <c r="Y295" s="209">
        <f t="shared" si="86"/>
        <v>0</v>
      </c>
      <c r="Z295" s="209">
        <f t="shared" si="87"/>
        <v>-0.49</v>
      </c>
      <c r="AA295" s="205">
        <f t="shared" si="88"/>
        <v>0</v>
      </c>
      <c r="AB295" s="209">
        <f t="shared" si="89"/>
        <v>0</v>
      </c>
      <c r="AC295" s="205">
        <f t="shared" si="90"/>
        <v>0</v>
      </c>
      <c r="AD295" s="210">
        <f t="shared" si="91"/>
        <v>0.29791666667006211</v>
      </c>
      <c r="AE295" s="210">
        <f t="shared" si="92"/>
        <v>0</v>
      </c>
      <c r="AF295" s="210">
        <f t="shared" si="93"/>
        <v>0.29791666667006211</v>
      </c>
      <c r="AG295" s="210">
        <f t="shared" si="94"/>
        <v>0</v>
      </c>
    </row>
    <row r="296" spans="2:33" ht="15" customHeight="1" x14ac:dyDescent="0.3">
      <c r="B296" s="196" t="s">
        <v>7</v>
      </c>
      <c r="C296" s="197" t="s">
        <v>13</v>
      </c>
      <c r="D296" s="198" t="str">
        <f t="shared" si="76"/>
        <v>C</v>
      </c>
      <c r="E296" s="199">
        <v>44371.017361111109</v>
      </c>
      <c r="F296" s="200" t="s">
        <v>121</v>
      </c>
      <c r="G296" s="201">
        <v>1.5740799999999999</v>
      </c>
      <c r="H296" s="201">
        <v>1.5796600000000001</v>
      </c>
      <c r="I296" s="202">
        <f t="shared" si="77"/>
        <v>5.5800000000001404E-3</v>
      </c>
      <c r="J296" s="201">
        <v>1.5145599999999999</v>
      </c>
      <c r="K296" s="199">
        <v>44375.495833333334</v>
      </c>
      <c r="L296" s="201">
        <v>1.57473</v>
      </c>
      <c r="M296" s="203">
        <f t="shared" si="78"/>
        <v>-6.9999999999999999E-4</v>
      </c>
      <c r="N296" s="204">
        <f t="shared" si="79"/>
        <v>-0.13</v>
      </c>
      <c r="O296" s="205">
        <f t="shared" si="80"/>
        <v>0</v>
      </c>
      <c r="P296" s="206">
        <f t="shared" si="81"/>
        <v>0</v>
      </c>
      <c r="Q296" s="206">
        <f t="shared" si="82"/>
        <v>-0.13</v>
      </c>
      <c r="R2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175690</v>
      </c>
      <c r="T2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6" s="208">
        <f ca="1">IF(Tabla33610673[[#This Row],[Equity]]&lt;Tabla33610673[[#This Row],[Equity Peak]],(Tabla33610673[[#This Row],[Equity Peak]]-Tabla33610673[[#This Row],[Equity]])/Tabla33610673[[#This Row],[Equity Peak]],"")</f>
        <v>1.3420934411500449E-2</v>
      </c>
      <c r="V296" s="209">
        <f t="shared" si="83"/>
        <v>-0.13</v>
      </c>
      <c r="W296" s="209">
        <f t="shared" si="84"/>
        <v>0</v>
      </c>
      <c r="X296" s="209">
        <f t="shared" si="85"/>
        <v>0</v>
      </c>
      <c r="Y296" s="209">
        <f t="shared" si="86"/>
        <v>0</v>
      </c>
      <c r="Z296" s="209">
        <f t="shared" si="87"/>
        <v>0</v>
      </c>
      <c r="AA296" s="205">
        <f t="shared" si="88"/>
        <v>0</v>
      </c>
      <c r="AB296" s="209">
        <f t="shared" si="89"/>
        <v>0</v>
      </c>
      <c r="AC296" s="205">
        <f t="shared" si="90"/>
        <v>0</v>
      </c>
      <c r="AD296" s="210">
        <f t="shared" si="91"/>
        <v>4.4784722222248092</v>
      </c>
      <c r="AE296" s="210">
        <f t="shared" si="92"/>
        <v>0</v>
      </c>
      <c r="AF296" s="210">
        <f t="shared" si="93"/>
        <v>4.4784722222248092</v>
      </c>
      <c r="AG296" s="210">
        <f t="shared" si="94"/>
        <v>0</v>
      </c>
    </row>
    <row r="297" spans="2:33" ht="15" customHeight="1" x14ac:dyDescent="0.3">
      <c r="B297" s="196" t="s">
        <v>5</v>
      </c>
      <c r="C297" s="197" t="s">
        <v>15</v>
      </c>
      <c r="D297" s="198" t="str">
        <f t="shared" si="76"/>
        <v>C</v>
      </c>
      <c r="E297" s="199">
        <v>44371.791666666664</v>
      </c>
      <c r="F297" s="200" t="s">
        <v>94</v>
      </c>
      <c r="G297" s="201">
        <v>7110.87</v>
      </c>
      <c r="H297" s="201">
        <v>7052.55</v>
      </c>
      <c r="I297" s="202">
        <f t="shared" si="77"/>
        <v>58.319999999999709</v>
      </c>
      <c r="J297" s="201">
        <v>7402.49</v>
      </c>
      <c r="K297" s="199">
        <v>44375.418749999997</v>
      </c>
      <c r="L297" s="201">
        <v>7107.23</v>
      </c>
      <c r="M297" s="203">
        <f t="shared" si="78"/>
        <v>-3.64</v>
      </c>
      <c r="N297" s="204">
        <f t="shared" si="79"/>
        <v>-0.06</v>
      </c>
      <c r="O297" s="205">
        <f t="shared" si="80"/>
        <v>0</v>
      </c>
      <c r="P297" s="206">
        <f t="shared" si="81"/>
        <v>0</v>
      </c>
      <c r="Q297" s="206">
        <f t="shared" si="82"/>
        <v>-0.06</v>
      </c>
      <c r="R2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175820</v>
      </c>
      <c r="T2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7" s="208">
        <f ca="1">IF(Tabla33610673[[#This Row],[Equity]]&lt;Tabla33610673[[#This Row],[Equity Peak]],(Tabla33610673[[#This Row],[Equity Peak]]-Tabla33610673[[#This Row],[Equity]])/Tabla33610673[[#This Row],[Equity Peak]],"")</f>
        <v>1.2690925426774483E-2</v>
      </c>
      <c r="V297" s="209">
        <f t="shared" si="83"/>
        <v>0</v>
      </c>
      <c r="W297" s="209">
        <f t="shared" si="84"/>
        <v>0</v>
      </c>
      <c r="X297" s="209">
        <f t="shared" si="85"/>
        <v>0</v>
      </c>
      <c r="Y297" s="209">
        <f t="shared" si="86"/>
        <v>0</v>
      </c>
      <c r="Z297" s="209">
        <f t="shared" si="87"/>
        <v>-0.06</v>
      </c>
      <c r="AA297" s="205">
        <f t="shared" si="88"/>
        <v>0</v>
      </c>
      <c r="AB297" s="209">
        <f t="shared" si="89"/>
        <v>0</v>
      </c>
      <c r="AC297" s="205">
        <f t="shared" si="90"/>
        <v>0</v>
      </c>
      <c r="AD297" s="210">
        <f t="shared" si="91"/>
        <v>3.6270833333328483</v>
      </c>
      <c r="AE297" s="210">
        <f t="shared" si="92"/>
        <v>0</v>
      </c>
      <c r="AF297" s="210">
        <f t="shared" si="93"/>
        <v>3.6270833333328483</v>
      </c>
      <c r="AG297" s="210">
        <f t="shared" si="94"/>
        <v>0</v>
      </c>
    </row>
    <row r="298" spans="2:33" ht="15" customHeight="1" x14ac:dyDescent="0.3">
      <c r="B298" s="196" t="s">
        <v>7</v>
      </c>
      <c r="C298" s="197" t="s">
        <v>15</v>
      </c>
      <c r="D298" s="198" t="str">
        <f t="shared" si="76"/>
        <v>C</v>
      </c>
      <c r="E298" s="199">
        <v>44371.5</v>
      </c>
      <c r="F298" s="200" t="s">
        <v>116</v>
      </c>
      <c r="G298" s="201">
        <v>154.90199999999999</v>
      </c>
      <c r="H298" s="201">
        <v>153.977</v>
      </c>
      <c r="I298" s="202">
        <f t="shared" si="77"/>
        <v>0.92499999999998295</v>
      </c>
      <c r="J298" s="201">
        <v>160.083</v>
      </c>
      <c r="K298" s="199">
        <v>44371.62777777778</v>
      </c>
      <c r="L298" s="201">
        <v>153.977</v>
      </c>
      <c r="M298" s="203">
        <f t="shared" si="78"/>
        <v>-0.92500000000000004</v>
      </c>
      <c r="N298" s="204">
        <f t="shared" si="79"/>
        <v>-1</v>
      </c>
      <c r="O298" s="205">
        <f t="shared" si="80"/>
        <v>0</v>
      </c>
      <c r="P298" s="206">
        <f t="shared" si="81"/>
        <v>0</v>
      </c>
      <c r="Q298" s="206">
        <f t="shared" si="82"/>
        <v>-1</v>
      </c>
      <c r="R2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175880</v>
      </c>
      <c r="T2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8" s="208">
        <f ca="1">IF(Tabla33610673[[#This Row],[Equity]]&lt;Tabla33610673[[#This Row],[Equity Peak]],(Tabla33610673[[#This Row],[Equity Peak]]-Tabla33610673[[#This Row],[Equity]])/Tabla33610673[[#This Row],[Equity Peak]],"")</f>
        <v>1.2353998203054807E-2</v>
      </c>
      <c r="V298" s="209">
        <f t="shared" si="83"/>
        <v>-1</v>
      </c>
      <c r="W298" s="209">
        <f t="shared" si="84"/>
        <v>0</v>
      </c>
      <c r="X298" s="209">
        <f t="shared" si="85"/>
        <v>0</v>
      </c>
      <c r="Y298" s="209">
        <f t="shared" si="86"/>
        <v>0</v>
      </c>
      <c r="Z298" s="209">
        <f t="shared" si="87"/>
        <v>0</v>
      </c>
      <c r="AA298" s="205">
        <f t="shared" si="88"/>
        <v>0</v>
      </c>
      <c r="AB298" s="209">
        <f t="shared" si="89"/>
        <v>0</v>
      </c>
      <c r="AC298" s="205">
        <f t="shared" si="90"/>
        <v>0</v>
      </c>
      <c r="AD298" s="210">
        <f t="shared" si="91"/>
        <v>0.12777777777955635</v>
      </c>
      <c r="AE298" s="210">
        <f t="shared" si="92"/>
        <v>0</v>
      </c>
      <c r="AF298" s="210">
        <f t="shared" si="93"/>
        <v>0.12777777777955635</v>
      </c>
      <c r="AG298" s="210">
        <f t="shared" si="94"/>
        <v>0</v>
      </c>
    </row>
    <row r="299" spans="2:33" ht="15" customHeight="1" x14ac:dyDescent="0.3">
      <c r="B299" s="196" t="s">
        <v>84</v>
      </c>
      <c r="C299" s="197" t="s">
        <v>13</v>
      </c>
      <c r="D299" s="198" t="str">
        <f t="shared" si="76"/>
        <v>C</v>
      </c>
      <c r="E299" s="199">
        <v>44365.333333333336</v>
      </c>
      <c r="F299" s="200" t="s">
        <v>80</v>
      </c>
      <c r="G299" s="201">
        <v>37918.92</v>
      </c>
      <c r="H299" s="201">
        <v>39681.660000000003</v>
      </c>
      <c r="I299" s="202">
        <f t="shared" si="77"/>
        <v>1762.7400000000052</v>
      </c>
      <c r="J299" s="201">
        <v>11477.88</v>
      </c>
      <c r="K299" s="199">
        <v>44370.17291666667</v>
      </c>
      <c r="L299" s="201">
        <v>34330.35</v>
      </c>
      <c r="M299" s="203">
        <f t="shared" si="78"/>
        <v>3588.57</v>
      </c>
      <c r="N299" s="204">
        <f t="shared" si="79"/>
        <v>2.04</v>
      </c>
      <c r="O299" s="205">
        <f t="shared" si="80"/>
        <v>0</v>
      </c>
      <c r="P299" s="206">
        <f t="shared" si="81"/>
        <v>2.04</v>
      </c>
      <c r="Q299" s="206">
        <f t="shared" si="82"/>
        <v>0</v>
      </c>
      <c r="R2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176880</v>
      </c>
      <c r="T2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299" s="208">
        <f ca="1">IF(Tabla33610673[[#This Row],[Equity]]&lt;Tabla33610673[[#This Row],[Equity Peak]],(Tabla33610673[[#This Row],[Equity Peak]]-Tabla33610673[[#This Row],[Equity]])/Tabla33610673[[#This Row],[Equity Peak]],"")</f>
        <v>6.7385444743935314E-3</v>
      </c>
      <c r="V299" s="209">
        <f t="shared" si="83"/>
        <v>0</v>
      </c>
      <c r="W299" s="209">
        <f t="shared" si="84"/>
        <v>0</v>
      </c>
      <c r="X299" s="209">
        <f t="shared" si="85"/>
        <v>0</v>
      </c>
      <c r="Y299" s="209">
        <f t="shared" si="86"/>
        <v>0</v>
      </c>
      <c r="Z299" s="209">
        <f t="shared" si="87"/>
        <v>0</v>
      </c>
      <c r="AA299" s="205">
        <f t="shared" si="88"/>
        <v>0</v>
      </c>
      <c r="AB299" s="209">
        <f t="shared" si="89"/>
        <v>2.04</v>
      </c>
      <c r="AC299" s="205">
        <f t="shared" si="90"/>
        <v>0</v>
      </c>
      <c r="AD299" s="210">
        <f t="shared" si="91"/>
        <v>4.8395833333343035</v>
      </c>
      <c r="AE299" s="210">
        <f t="shared" si="92"/>
        <v>4.8395833333343035</v>
      </c>
      <c r="AF299" s="210">
        <f t="shared" si="93"/>
        <v>0</v>
      </c>
      <c r="AG299" s="210">
        <f t="shared" si="94"/>
        <v>0</v>
      </c>
    </row>
    <row r="300" spans="2:33" ht="15" customHeight="1" x14ac:dyDescent="0.3">
      <c r="B300" s="196" t="s">
        <v>7</v>
      </c>
      <c r="C300" s="197" t="s">
        <v>13</v>
      </c>
      <c r="D300" s="198" t="str">
        <f t="shared" si="76"/>
        <v>C</v>
      </c>
      <c r="E300" s="199">
        <v>44363.017361111109</v>
      </c>
      <c r="F300" s="200" t="s">
        <v>123</v>
      </c>
      <c r="G300" s="201">
        <v>84.61</v>
      </c>
      <c r="H300" s="201">
        <v>84.882999999999996</v>
      </c>
      <c r="I300" s="202">
        <f t="shared" si="77"/>
        <v>0.27299999999999613</v>
      </c>
      <c r="J300" s="201">
        <v>79.882000000000005</v>
      </c>
      <c r="K300" s="199">
        <v>44369.754166666666</v>
      </c>
      <c r="L300" s="201">
        <v>83.308000000000007</v>
      </c>
      <c r="M300" s="203">
        <f t="shared" si="78"/>
        <v>1.302</v>
      </c>
      <c r="N300" s="204">
        <f t="shared" si="79"/>
        <v>4.7699999999999996</v>
      </c>
      <c r="O300" s="205">
        <f t="shared" si="80"/>
        <v>0</v>
      </c>
      <c r="P300" s="206">
        <f t="shared" si="81"/>
        <v>4.7699999999999996</v>
      </c>
      <c r="Q300" s="206">
        <f t="shared" si="82"/>
        <v>0</v>
      </c>
      <c r="R3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174840</v>
      </c>
      <c r="T3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0" s="208">
        <f ca="1">IF(Tabla33610673[[#This Row],[Equity]]&lt;Tabla33610673[[#This Row],[Equity Peak]],(Tabla33610673[[#This Row],[Equity Peak]]-Tabla33610673[[#This Row],[Equity]])/Tabla33610673[[#This Row],[Equity Peak]],"")</f>
        <v>1.8194070080862535E-2</v>
      </c>
      <c r="V300" s="209">
        <f t="shared" si="83"/>
        <v>4.7699999999999996</v>
      </c>
      <c r="W300" s="209">
        <f t="shared" si="84"/>
        <v>0</v>
      </c>
      <c r="X300" s="209">
        <f t="shared" si="85"/>
        <v>0</v>
      </c>
      <c r="Y300" s="209">
        <f t="shared" si="86"/>
        <v>0</v>
      </c>
      <c r="Z300" s="209">
        <f t="shared" si="87"/>
        <v>0</v>
      </c>
      <c r="AA300" s="205">
        <f t="shared" si="88"/>
        <v>0</v>
      </c>
      <c r="AB300" s="209">
        <f t="shared" si="89"/>
        <v>0</v>
      </c>
      <c r="AC300" s="205">
        <f t="shared" si="90"/>
        <v>0</v>
      </c>
      <c r="AD300" s="210">
        <f t="shared" si="91"/>
        <v>6.7368055555562023</v>
      </c>
      <c r="AE300" s="210">
        <f t="shared" si="92"/>
        <v>6.7368055555562023</v>
      </c>
      <c r="AF300" s="210">
        <f t="shared" si="93"/>
        <v>0</v>
      </c>
      <c r="AG300" s="210">
        <f t="shared" si="94"/>
        <v>0</v>
      </c>
    </row>
    <row r="301" spans="2:33" ht="15" customHeight="1" x14ac:dyDescent="0.3">
      <c r="B301" s="196" t="s">
        <v>7</v>
      </c>
      <c r="C301" s="197" t="s">
        <v>13</v>
      </c>
      <c r="D301" s="198" t="str">
        <f t="shared" si="76"/>
        <v>C</v>
      </c>
      <c r="E301" s="199">
        <v>44365.017361111109</v>
      </c>
      <c r="F301" s="200" t="s">
        <v>116</v>
      </c>
      <c r="G301" s="201">
        <v>153.48099999999999</v>
      </c>
      <c r="H301" s="201">
        <v>154.64099999999999</v>
      </c>
      <c r="I301" s="202">
        <f t="shared" si="77"/>
        <v>1.1599999999999966</v>
      </c>
      <c r="J301" s="201">
        <v>146.98400000000001</v>
      </c>
      <c r="K301" s="199">
        <v>44368.84652777778</v>
      </c>
      <c r="L301" s="201">
        <v>153.488</v>
      </c>
      <c r="M301" s="203">
        <f t="shared" si="78"/>
        <v>-7.0000000000000001E-3</v>
      </c>
      <c r="N301" s="204">
        <f t="shared" si="79"/>
        <v>-0.01</v>
      </c>
      <c r="O301" s="205">
        <f t="shared" si="80"/>
        <v>0</v>
      </c>
      <c r="P301" s="206">
        <f t="shared" si="81"/>
        <v>0</v>
      </c>
      <c r="Q301" s="206">
        <f t="shared" si="82"/>
        <v>-0.01</v>
      </c>
      <c r="R3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170070</v>
      </c>
      <c r="T3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1" s="208">
        <f ca="1">IF(Tabla33610673[[#This Row],[Equity]]&lt;Tabla33610673[[#This Row],[Equity Peak]],(Tabla33610673[[#This Row],[Equity Peak]]-Tabla33610673[[#This Row],[Equity]])/Tabla33610673[[#This Row],[Equity Peak]],"")</f>
        <v>4.4979784366576819E-2</v>
      </c>
      <c r="V301" s="209">
        <f t="shared" si="83"/>
        <v>-0.01</v>
      </c>
      <c r="W301" s="209">
        <f t="shared" si="84"/>
        <v>0</v>
      </c>
      <c r="X301" s="209">
        <f t="shared" si="85"/>
        <v>0</v>
      </c>
      <c r="Y301" s="209">
        <f t="shared" si="86"/>
        <v>0</v>
      </c>
      <c r="Z301" s="209">
        <f t="shared" si="87"/>
        <v>0</v>
      </c>
      <c r="AA301" s="205">
        <f t="shared" si="88"/>
        <v>0</v>
      </c>
      <c r="AB301" s="209">
        <f t="shared" si="89"/>
        <v>0</v>
      </c>
      <c r="AC301" s="205">
        <f t="shared" si="90"/>
        <v>0</v>
      </c>
      <c r="AD301" s="210">
        <f t="shared" si="91"/>
        <v>3.8291666666700621</v>
      </c>
      <c r="AE301" s="210">
        <f t="shared" si="92"/>
        <v>0</v>
      </c>
      <c r="AF301" s="210">
        <f t="shared" si="93"/>
        <v>3.8291666666700621</v>
      </c>
      <c r="AG301" s="210">
        <f t="shared" si="94"/>
        <v>0</v>
      </c>
    </row>
    <row r="302" spans="2:33" ht="15" customHeight="1" x14ac:dyDescent="0.3">
      <c r="B302" s="196" t="s">
        <v>5</v>
      </c>
      <c r="C302" s="197" t="s">
        <v>13</v>
      </c>
      <c r="D302" s="198" t="str">
        <f t="shared" si="76"/>
        <v>C</v>
      </c>
      <c r="E302" s="199">
        <v>44365.625</v>
      </c>
      <c r="F302" s="200" t="s">
        <v>94</v>
      </c>
      <c r="G302" s="201">
        <v>7073.28</v>
      </c>
      <c r="H302" s="201">
        <v>7140.39</v>
      </c>
      <c r="I302" s="202">
        <f t="shared" si="77"/>
        <v>67.110000000000582</v>
      </c>
      <c r="J302" s="201">
        <v>6737.74</v>
      </c>
      <c r="K302" s="199">
        <v>44368.515277777777</v>
      </c>
      <c r="L302" s="201">
        <v>7038.53</v>
      </c>
      <c r="M302" s="203">
        <f t="shared" si="78"/>
        <v>34.75</v>
      </c>
      <c r="N302" s="204">
        <f t="shared" si="79"/>
        <v>0.52</v>
      </c>
      <c r="O302" s="205">
        <f t="shared" si="80"/>
        <v>0</v>
      </c>
      <c r="P302" s="206">
        <f t="shared" si="81"/>
        <v>0.52</v>
      </c>
      <c r="Q302" s="206">
        <f t="shared" si="82"/>
        <v>0</v>
      </c>
      <c r="R3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170080</v>
      </c>
      <c r="T3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2" s="208">
        <f ca="1">IF(Tabla33610673[[#This Row],[Equity]]&lt;Tabla33610673[[#This Row],[Equity Peak]],(Tabla33610673[[#This Row],[Equity Peak]]-Tabla33610673[[#This Row],[Equity]])/Tabla33610673[[#This Row],[Equity Peak]],"")</f>
        <v>4.4923629829290206E-2</v>
      </c>
      <c r="V302" s="209">
        <f t="shared" si="83"/>
        <v>0</v>
      </c>
      <c r="W302" s="209">
        <f t="shared" si="84"/>
        <v>0</v>
      </c>
      <c r="X302" s="209">
        <f t="shared" si="85"/>
        <v>0</v>
      </c>
      <c r="Y302" s="209">
        <f t="shared" si="86"/>
        <v>0</v>
      </c>
      <c r="Z302" s="209">
        <f t="shared" si="87"/>
        <v>0.52</v>
      </c>
      <c r="AA302" s="205">
        <f t="shared" si="88"/>
        <v>0</v>
      </c>
      <c r="AB302" s="209">
        <f t="shared" si="89"/>
        <v>0</v>
      </c>
      <c r="AC302" s="205">
        <f t="shared" si="90"/>
        <v>0</v>
      </c>
      <c r="AD302" s="210">
        <f t="shared" si="91"/>
        <v>2.890277777776646</v>
      </c>
      <c r="AE302" s="210">
        <f t="shared" si="92"/>
        <v>2.890277777776646</v>
      </c>
      <c r="AF302" s="210">
        <f t="shared" si="93"/>
        <v>0</v>
      </c>
      <c r="AG302" s="210">
        <f t="shared" si="94"/>
        <v>0</v>
      </c>
    </row>
    <row r="303" spans="2:33" ht="15" customHeight="1" x14ac:dyDescent="0.3">
      <c r="B303" s="196" t="s">
        <v>5</v>
      </c>
      <c r="C303" s="197" t="s">
        <v>13</v>
      </c>
      <c r="D303" s="198" t="str">
        <f t="shared" si="76"/>
        <v>C</v>
      </c>
      <c r="E303" s="199">
        <v>44368.208333333336</v>
      </c>
      <c r="F303" s="200" t="s">
        <v>95</v>
      </c>
      <c r="G303" s="201">
        <v>33113.85</v>
      </c>
      <c r="H303" s="201">
        <v>33311.72</v>
      </c>
      <c r="I303" s="202">
        <f t="shared" si="77"/>
        <v>197.87000000000262</v>
      </c>
      <c r="J303" s="201">
        <v>32322.39</v>
      </c>
      <c r="K303" s="199">
        <v>44368.443749999999</v>
      </c>
      <c r="L303" s="201">
        <v>33311.72</v>
      </c>
      <c r="M303" s="203">
        <f t="shared" si="78"/>
        <v>-197.87</v>
      </c>
      <c r="N303" s="204">
        <f t="shared" si="79"/>
        <v>-1</v>
      </c>
      <c r="O303" s="205">
        <f t="shared" si="80"/>
        <v>0</v>
      </c>
      <c r="P303" s="206">
        <f t="shared" si="81"/>
        <v>0</v>
      </c>
      <c r="Q303" s="206">
        <f t="shared" si="82"/>
        <v>-1</v>
      </c>
      <c r="R3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169560</v>
      </c>
      <c r="T3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3" s="208">
        <f ca="1">IF(Tabla33610673[[#This Row],[Equity]]&lt;Tabla33610673[[#This Row],[Equity Peak]],(Tabla33610673[[#This Row],[Equity Peak]]-Tabla33610673[[#This Row],[Equity]])/Tabla33610673[[#This Row],[Equity Peak]],"")</f>
        <v>4.7843665768194071E-2</v>
      </c>
      <c r="V303" s="209">
        <f t="shared" si="83"/>
        <v>0</v>
      </c>
      <c r="W303" s="209">
        <f t="shared" si="84"/>
        <v>0</v>
      </c>
      <c r="X303" s="209">
        <f t="shared" si="85"/>
        <v>0</v>
      </c>
      <c r="Y303" s="209">
        <f t="shared" si="86"/>
        <v>0</v>
      </c>
      <c r="Z303" s="209">
        <f t="shared" si="87"/>
        <v>-1</v>
      </c>
      <c r="AA303" s="205">
        <f t="shared" si="88"/>
        <v>0</v>
      </c>
      <c r="AB303" s="209">
        <f t="shared" si="89"/>
        <v>0</v>
      </c>
      <c r="AC303" s="205">
        <f t="shared" si="90"/>
        <v>0</v>
      </c>
      <c r="AD303" s="210">
        <f t="shared" si="91"/>
        <v>0.23541666666278616</v>
      </c>
      <c r="AE303" s="210">
        <f t="shared" si="92"/>
        <v>0</v>
      </c>
      <c r="AF303" s="210">
        <f t="shared" si="93"/>
        <v>0.23541666666278616</v>
      </c>
      <c r="AG303" s="210">
        <f t="shared" si="94"/>
        <v>0</v>
      </c>
    </row>
    <row r="304" spans="2:33" ht="15" customHeight="1" x14ac:dyDescent="0.3">
      <c r="B304" s="196" t="s">
        <v>7</v>
      </c>
      <c r="C304" s="197" t="s">
        <v>15</v>
      </c>
      <c r="D304" s="198" t="str">
        <f t="shared" si="76"/>
        <v>C</v>
      </c>
      <c r="E304" s="199">
        <v>44368.017361111109</v>
      </c>
      <c r="F304" s="200" t="s">
        <v>121</v>
      </c>
      <c r="G304" s="201">
        <v>1.5848100000000001</v>
      </c>
      <c r="H304" s="201">
        <v>1.57751</v>
      </c>
      <c r="I304" s="202">
        <f t="shared" si="77"/>
        <v>7.3000000000000842E-3</v>
      </c>
      <c r="J304" s="201">
        <v>1.66272</v>
      </c>
      <c r="K304" s="199">
        <v>44368.21875</v>
      </c>
      <c r="L304" s="201">
        <v>1.57856</v>
      </c>
      <c r="M304" s="203">
        <f t="shared" si="78"/>
        <v>-6.3E-3</v>
      </c>
      <c r="N304" s="204">
        <f t="shared" si="79"/>
        <v>-0.86</v>
      </c>
      <c r="O304" s="205">
        <f t="shared" si="80"/>
        <v>0</v>
      </c>
      <c r="P304" s="206">
        <f t="shared" si="81"/>
        <v>0</v>
      </c>
      <c r="Q304" s="206">
        <f t="shared" si="82"/>
        <v>-0.86</v>
      </c>
      <c r="R3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170560</v>
      </c>
      <c r="T3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4" s="208">
        <f ca="1">IF(Tabla33610673[[#This Row],[Equity]]&lt;Tabla33610673[[#This Row],[Equity Peak]],(Tabla33610673[[#This Row],[Equity Peak]]-Tabla33610673[[#This Row],[Equity]])/Tabla33610673[[#This Row],[Equity Peak]],"")</f>
        <v>4.2228212039532795E-2</v>
      </c>
      <c r="V304" s="209">
        <f t="shared" si="83"/>
        <v>-0.86</v>
      </c>
      <c r="W304" s="209">
        <f t="shared" si="84"/>
        <v>0</v>
      </c>
      <c r="X304" s="209">
        <f t="shared" si="85"/>
        <v>0</v>
      </c>
      <c r="Y304" s="209">
        <f t="shared" si="86"/>
        <v>0</v>
      </c>
      <c r="Z304" s="209">
        <f t="shared" si="87"/>
        <v>0</v>
      </c>
      <c r="AA304" s="205">
        <f t="shared" si="88"/>
        <v>0</v>
      </c>
      <c r="AB304" s="209">
        <f t="shared" si="89"/>
        <v>0</v>
      </c>
      <c r="AC304" s="205">
        <f t="shared" si="90"/>
        <v>0</v>
      </c>
      <c r="AD304" s="210">
        <f t="shared" si="91"/>
        <v>0.20138888889050577</v>
      </c>
      <c r="AE304" s="210">
        <f t="shared" si="92"/>
        <v>0</v>
      </c>
      <c r="AF304" s="210">
        <f t="shared" si="93"/>
        <v>0.20138888889050577</v>
      </c>
      <c r="AG304" s="210">
        <f t="shared" si="94"/>
        <v>0</v>
      </c>
    </row>
    <row r="305" spans="2:33" ht="15" customHeight="1" x14ac:dyDescent="0.3">
      <c r="B305" s="196" t="s">
        <v>7</v>
      </c>
      <c r="C305" s="197" t="s">
        <v>13</v>
      </c>
      <c r="D305" s="198" t="str">
        <f t="shared" si="76"/>
        <v>C</v>
      </c>
      <c r="E305" s="199">
        <v>44364.166666666664</v>
      </c>
      <c r="F305" s="200" t="s">
        <v>119</v>
      </c>
      <c r="G305" s="201">
        <v>132.77000000000001</v>
      </c>
      <c r="H305" s="201">
        <v>133.327</v>
      </c>
      <c r="I305" s="202">
        <f t="shared" si="77"/>
        <v>0.55699999999998795</v>
      </c>
      <c r="J305" s="201">
        <v>130.542</v>
      </c>
      <c r="K305" s="199">
        <v>44368.213194444441</v>
      </c>
      <c r="L305" s="201">
        <v>130.542</v>
      </c>
      <c r="M305" s="203">
        <f t="shared" si="78"/>
        <v>2.2280000000000002</v>
      </c>
      <c r="N305" s="204">
        <f t="shared" si="79"/>
        <v>4</v>
      </c>
      <c r="O305" s="205">
        <f t="shared" si="80"/>
        <v>0</v>
      </c>
      <c r="P305" s="206">
        <f t="shared" si="81"/>
        <v>4</v>
      </c>
      <c r="Q305" s="206">
        <f t="shared" si="82"/>
        <v>0</v>
      </c>
      <c r="R3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171420</v>
      </c>
      <c r="T3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5" s="208">
        <f ca="1">IF(Tabla33610673[[#This Row],[Equity]]&lt;Tabla33610673[[#This Row],[Equity Peak]],(Tabla33610673[[#This Row],[Equity Peak]]-Tabla33610673[[#This Row],[Equity]])/Tabla33610673[[#This Row],[Equity Peak]],"")</f>
        <v>3.7398921832884097E-2</v>
      </c>
      <c r="V305" s="209">
        <f t="shared" si="83"/>
        <v>4</v>
      </c>
      <c r="W305" s="209">
        <f t="shared" si="84"/>
        <v>0</v>
      </c>
      <c r="X305" s="209">
        <f t="shared" si="85"/>
        <v>0</v>
      </c>
      <c r="Y305" s="209">
        <f t="shared" si="86"/>
        <v>0</v>
      </c>
      <c r="Z305" s="209">
        <f t="shared" si="87"/>
        <v>0</v>
      </c>
      <c r="AA305" s="205">
        <f t="shared" si="88"/>
        <v>0</v>
      </c>
      <c r="AB305" s="209">
        <f t="shared" si="89"/>
        <v>0</v>
      </c>
      <c r="AC305" s="205">
        <f t="shared" si="90"/>
        <v>0</v>
      </c>
      <c r="AD305" s="210">
        <f t="shared" si="91"/>
        <v>4.046527777776646</v>
      </c>
      <c r="AE305" s="210">
        <f t="shared" si="92"/>
        <v>4.046527777776646</v>
      </c>
      <c r="AF305" s="210">
        <f t="shared" si="93"/>
        <v>0</v>
      </c>
      <c r="AG305" s="210">
        <f t="shared" si="94"/>
        <v>0</v>
      </c>
    </row>
    <row r="306" spans="2:33" ht="15" customHeight="1" x14ac:dyDescent="0.3">
      <c r="B306" s="196" t="s">
        <v>5</v>
      </c>
      <c r="C306" s="197" t="s">
        <v>15</v>
      </c>
      <c r="D306" s="198" t="str">
        <f t="shared" si="76"/>
        <v>C</v>
      </c>
      <c r="E306" s="199">
        <v>44340.802083333336</v>
      </c>
      <c r="F306" s="200" t="s">
        <v>91</v>
      </c>
      <c r="G306" s="201">
        <v>15554.2</v>
      </c>
      <c r="H306" s="201">
        <v>15292.8</v>
      </c>
      <c r="I306" s="202">
        <f t="shared" si="77"/>
        <v>261.40000000000146</v>
      </c>
      <c r="J306" s="201">
        <v>16599.78</v>
      </c>
      <c r="K306" s="199">
        <v>44365.635416666664</v>
      </c>
      <c r="L306" s="201">
        <v>15513.53</v>
      </c>
      <c r="M306" s="203">
        <f t="shared" si="78"/>
        <v>-40.67</v>
      </c>
      <c r="N306" s="204">
        <f t="shared" si="79"/>
        <v>-0.16</v>
      </c>
      <c r="O306" s="205">
        <f t="shared" si="80"/>
        <v>0</v>
      </c>
      <c r="P306" s="206">
        <f t="shared" si="81"/>
        <v>0</v>
      </c>
      <c r="Q306" s="206">
        <f t="shared" si="82"/>
        <v>-0.16</v>
      </c>
      <c r="R3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167420</v>
      </c>
      <c r="T3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6" s="208">
        <f ca="1">IF(Tabla33610673[[#This Row],[Equity]]&lt;Tabla33610673[[#This Row],[Equity Peak]],(Tabla33610673[[#This Row],[Equity Peak]]-Tabla33610673[[#This Row],[Equity]])/Tabla33610673[[#This Row],[Equity Peak]],"")</f>
        <v>5.9860736747529203E-2</v>
      </c>
      <c r="V306" s="209">
        <f t="shared" si="83"/>
        <v>0</v>
      </c>
      <c r="W306" s="209">
        <f t="shared" si="84"/>
        <v>0</v>
      </c>
      <c r="X306" s="209">
        <f t="shared" si="85"/>
        <v>0</v>
      </c>
      <c r="Y306" s="209">
        <f t="shared" si="86"/>
        <v>0</v>
      </c>
      <c r="Z306" s="209">
        <f t="shared" si="87"/>
        <v>-0.16</v>
      </c>
      <c r="AA306" s="205">
        <f t="shared" si="88"/>
        <v>0</v>
      </c>
      <c r="AB306" s="209">
        <f t="shared" si="89"/>
        <v>0</v>
      </c>
      <c r="AC306" s="205">
        <f t="shared" si="90"/>
        <v>0</v>
      </c>
      <c r="AD306" s="210">
        <f t="shared" si="91"/>
        <v>24.833333333328483</v>
      </c>
      <c r="AE306" s="210">
        <f t="shared" si="92"/>
        <v>0</v>
      </c>
      <c r="AF306" s="210">
        <f t="shared" si="93"/>
        <v>24.833333333328483</v>
      </c>
      <c r="AG306" s="210">
        <f t="shared" si="94"/>
        <v>0</v>
      </c>
    </row>
    <row r="307" spans="2:33" ht="15" customHeight="1" x14ac:dyDescent="0.3">
      <c r="B307" s="196" t="s">
        <v>5</v>
      </c>
      <c r="C307" s="197" t="s">
        <v>15</v>
      </c>
      <c r="D307" s="198" t="str">
        <f t="shared" si="76"/>
        <v>C</v>
      </c>
      <c r="E307" s="199">
        <v>44340.590277777781</v>
      </c>
      <c r="F307" s="200" t="s">
        <v>90</v>
      </c>
      <c r="G307" s="201">
        <v>7056.52</v>
      </c>
      <c r="H307" s="201">
        <v>7010.69</v>
      </c>
      <c r="I307" s="202">
        <f t="shared" si="77"/>
        <v>45.830000000000837</v>
      </c>
      <c r="J307" s="201">
        <v>7667.56</v>
      </c>
      <c r="K307" s="199">
        <v>44365.634722222225</v>
      </c>
      <c r="L307" s="201">
        <v>7319.32</v>
      </c>
      <c r="M307" s="203">
        <f t="shared" si="78"/>
        <v>262.8</v>
      </c>
      <c r="N307" s="204">
        <f t="shared" si="79"/>
        <v>5.73</v>
      </c>
      <c r="O307" s="205">
        <f t="shared" si="80"/>
        <v>0</v>
      </c>
      <c r="P307" s="206">
        <f t="shared" si="81"/>
        <v>5.73</v>
      </c>
      <c r="Q307" s="206">
        <f t="shared" si="82"/>
        <v>0</v>
      </c>
      <c r="R3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167580</v>
      </c>
      <c r="T3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7" s="208">
        <f ca="1">IF(Tabla33610673[[#This Row],[Equity]]&lt;Tabla33610673[[#This Row],[Equity Peak]],(Tabla33610673[[#This Row],[Equity Peak]]-Tabla33610673[[#This Row],[Equity]])/Tabla33610673[[#This Row],[Equity Peak]],"")</f>
        <v>5.8962264150943397E-2</v>
      </c>
      <c r="V307" s="209">
        <f t="shared" si="83"/>
        <v>0</v>
      </c>
      <c r="W307" s="209">
        <f t="shared" si="84"/>
        <v>0</v>
      </c>
      <c r="X307" s="209">
        <f t="shared" si="85"/>
        <v>0</v>
      </c>
      <c r="Y307" s="209">
        <f t="shared" si="86"/>
        <v>0</v>
      </c>
      <c r="Z307" s="209">
        <f t="shared" si="87"/>
        <v>5.73</v>
      </c>
      <c r="AA307" s="205">
        <f t="shared" si="88"/>
        <v>0</v>
      </c>
      <c r="AB307" s="209">
        <f t="shared" si="89"/>
        <v>0</v>
      </c>
      <c r="AC307" s="205">
        <f t="shared" si="90"/>
        <v>0</v>
      </c>
      <c r="AD307" s="210">
        <f t="shared" si="91"/>
        <v>25.044444444443798</v>
      </c>
      <c r="AE307" s="210">
        <f t="shared" si="92"/>
        <v>25.044444444443798</v>
      </c>
      <c r="AF307" s="210">
        <f t="shared" si="93"/>
        <v>0</v>
      </c>
      <c r="AG307" s="210">
        <f t="shared" si="94"/>
        <v>0</v>
      </c>
    </row>
    <row r="308" spans="2:33" ht="15" customHeight="1" x14ac:dyDescent="0.3">
      <c r="B308" s="196" t="s">
        <v>19</v>
      </c>
      <c r="C308" s="197" t="s">
        <v>13</v>
      </c>
      <c r="D308" s="198" t="str">
        <f t="shared" si="76"/>
        <v>C</v>
      </c>
      <c r="E308" s="199">
        <v>44364.041666666664</v>
      </c>
      <c r="F308" s="200" t="s">
        <v>89</v>
      </c>
      <c r="G308" s="201">
        <v>26.884</v>
      </c>
      <c r="H308" s="201">
        <v>27.457000000000001</v>
      </c>
      <c r="I308" s="202">
        <f t="shared" si="77"/>
        <v>0.5730000000000004</v>
      </c>
      <c r="J308" s="201">
        <v>24.132999999999999</v>
      </c>
      <c r="K308" s="199">
        <v>44365.45</v>
      </c>
      <c r="L308" s="201">
        <v>26.315000000000001</v>
      </c>
      <c r="M308" s="203">
        <f t="shared" si="78"/>
        <v>0.56899999999999995</v>
      </c>
      <c r="N308" s="204">
        <f t="shared" si="79"/>
        <v>0.99</v>
      </c>
      <c r="O308" s="205">
        <f t="shared" si="80"/>
        <v>0</v>
      </c>
      <c r="P308" s="206">
        <f t="shared" si="81"/>
        <v>0.99</v>
      </c>
      <c r="Q308" s="206">
        <f t="shared" si="82"/>
        <v>0</v>
      </c>
      <c r="R3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161850</v>
      </c>
      <c r="T3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8" s="208">
        <f ca="1">IF(Tabla33610673[[#This Row],[Equity]]&lt;Tabla33610673[[#This Row],[Equity Peak]],(Tabla33610673[[#This Row],[Equity Peak]]-Tabla33610673[[#This Row],[Equity]])/Tabla33610673[[#This Row],[Equity Peak]],"")</f>
        <v>9.1138814016172506E-2</v>
      </c>
      <c r="V308" s="209">
        <f t="shared" si="83"/>
        <v>0</v>
      </c>
      <c r="W308" s="209">
        <f t="shared" si="84"/>
        <v>0</v>
      </c>
      <c r="X308" s="209">
        <f t="shared" si="85"/>
        <v>0.99</v>
      </c>
      <c r="Y308" s="209">
        <f t="shared" si="86"/>
        <v>0</v>
      </c>
      <c r="Z308" s="209">
        <f t="shared" si="87"/>
        <v>0</v>
      </c>
      <c r="AA308" s="205">
        <f t="shared" si="88"/>
        <v>0</v>
      </c>
      <c r="AB308" s="209">
        <f t="shared" si="89"/>
        <v>0</v>
      </c>
      <c r="AC308" s="205">
        <f t="shared" si="90"/>
        <v>0</v>
      </c>
      <c r="AD308" s="210">
        <f t="shared" si="91"/>
        <v>1.4083333333328483</v>
      </c>
      <c r="AE308" s="210">
        <f t="shared" si="92"/>
        <v>1.4083333333328483</v>
      </c>
      <c r="AF308" s="210">
        <f t="shared" si="93"/>
        <v>0</v>
      </c>
      <c r="AG308" s="210">
        <f t="shared" si="94"/>
        <v>0</v>
      </c>
    </row>
    <row r="309" spans="2:33" ht="15" customHeight="1" x14ac:dyDescent="0.3">
      <c r="B309" s="196" t="s">
        <v>7</v>
      </c>
      <c r="C309" s="197" t="s">
        <v>13</v>
      </c>
      <c r="D309" s="198" t="str">
        <f t="shared" si="76"/>
        <v>C</v>
      </c>
      <c r="E309" s="199">
        <v>44361.020138888889</v>
      </c>
      <c r="F309" s="200" t="s">
        <v>122</v>
      </c>
      <c r="G309" s="201">
        <v>0.77048000000000005</v>
      </c>
      <c r="H309" s="201">
        <v>0.77392000000000005</v>
      </c>
      <c r="I309" s="202">
        <f t="shared" si="77"/>
        <v>3.4399999999999986E-3</v>
      </c>
      <c r="J309" s="201">
        <v>0.75214999999999999</v>
      </c>
      <c r="K309" s="199">
        <v>44365.338194444441</v>
      </c>
      <c r="L309" s="201">
        <v>0.75214999999999999</v>
      </c>
      <c r="M309" s="203">
        <f t="shared" si="78"/>
        <v>1.83E-2</v>
      </c>
      <c r="N309" s="204">
        <f t="shared" si="79"/>
        <v>5.32</v>
      </c>
      <c r="O309" s="205">
        <f t="shared" si="80"/>
        <v>0</v>
      </c>
      <c r="P309" s="206">
        <f t="shared" si="81"/>
        <v>5.32</v>
      </c>
      <c r="Q309" s="206">
        <f t="shared" si="82"/>
        <v>0</v>
      </c>
      <c r="R3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160860</v>
      </c>
      <c r="T3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09" s="208">
        <f ca="1">IF(Tabla33610673[[#This Row],[Equity]]&lt;Tabla33610673[[#This Row],[Equity Peak]],(Tabla33610673[[#This Row],[Equity Peak]]-Tabla33610673[[#This Row],[Equity]])/Tabla33610673[[#This Row],[Equity Peak]],"")</f>
        <v>9.6698113207547176E-2</v>
      </c>
      <c r="V309" s="209">
        <f t="shared" si="83"/>
        <v>5.32</v>
      </c>
      <c r="W309" s="209">
        <f t="shared" si="84"/>
        <v>0</v>
      </c>
      <c r="X309" s="209">
        <f t="shared" si="85"/>
        <v>0</v>
      </c>
      <c r="Y309" s="209">
        <f t="shared" si="86"/>
        <v>0</v>
      </c>
      <c r="Z309" s="209">
        <f t="shared" si="87"/>
        <v>0</v>
      </c>
      <c r="AA309" s="205">
        <f t="shared" si="88"/>
        <v>0</v>
      </c>
      <c r="AB309" s="209">
        <f t="shared" si="89"/>
        <v>0</v>
      </c>
      <c r="AC309" s="205">
        <f t="shared" si="90"/>
        <v>0</v>
      </c>
      <c r="AD309" s="210">
        <f t="shared" si="91"/>
        <v>4.3180555555518367</v>
      </c>
      <c r="AE309" s="210">
        <f t="shared" si="92"/>
        <v>4.3180555555518367</v>
      </c>
      <c r="AF309" s="210">
        <f t="shared" si="93"/>
        <v>0</v>
      </c>
      <c r="AG309" s="210">
        <f t="shared" si="94"/>
        <v>0</v>
      </c>
    </row>
    <row r="310" spans="2:33" ht="15" customHeight="1" x14ac:dyDescent="0.3">
      <c r="B310" s="196" t="s">
        <v>84</v>
      </c>
      <c r="C310" s="197" t="s">
        <v>15</v>
      </c>
      <c r="D310" s="198" t="str">
        <f t="shared" si="76"/>
        <v>C</v>
      </c>
      <c r="E310" s="199">
        <v>44357.666666666664</v>
      </c>
      <c r="F310" s="200" t="s">
        <v>80</v>
      </c>
      <c r="G310" s="201">
        <v>37761.39</v>
      </c>
      <c r="H310" s="201">
        <v>35022.230000000003</v>
      </c>
      <c r="I310" s="202">
        <f t="shared" si="77"/>
        <v>2739.1599999999962</v>
      </c>
      <c r="J310" s="201">
        <v>78848.75</v>
      </c>
      <c r="K310" s="199">
        <v>44364.856249999997</v>
      </c>
      <c r="L310" s="201">
        <v>37638.1</v>
      </c>
      <c r="M310" s="203">
        <f t="shared" si="78"/>
        <v>-123.29</v>
      </c>
      <c r="N310" s="204">
        <f t="shared" si="79"/>
        <v>-0.05</v>
      </c>
      <c r="O310" s="205">
        <f t="shared" si="80"/>
        <v>0</v>
      </c>
      <c r="P310" s="206">
        <f t="shared" si="81"/>
        <v>0</v>
      </c>
      <c r="Q310" s="206">
        <f t="shared" si="82"/>
        <v>-0.05</v>
      </c>
      <c r="R3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155540</v>
      </c>
      <c r="T3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0" s="208">
        <f ca="1">IF(Tabla33610673[[#This Row],[Equity]]&lt;Tabla33610673[[#This Row],[Equity Peak]],(Tabla33610673[[#This Row],[Equity Peak]]-Tabla33610673[[#This Row],[Equity]])/Tabla33610673[[#This Row],[Equity Peak]],"")</f>
        <v>0.12657232704402516</v>
      </c>
      <c r="V310" s="209">
        <f t="shared" si="83"/>
        <v>0</v>
      </c>
      <c r="W310" s="209">
        <f t="shared" si="84"/>
        <v>0</v>
      </c>
      <c r="X310" s="209">
        <f t="shared" si="85"/>
        <v>0</v>
      </c>
      <c r="Y310" s="209">
        <f t="shared" si="86"/>
        <v>0</v>
      </c>
      <c r="Z310" s="209">
        <f t="shared" si="87"/>
        <v>0</v>
      </c>
      <c r="AA310" s="205">
        <f t="shared" si="88"/>
        <v>0</v>
      </c>
      <c r="AB310" s="209">
        <f t="shared" si="89"/>
        <v>-0.05</v>
      </c>
      <c r="AC310" s="205">
        <f t="shared" si="90"/>
        <v>0</v>
      </c>
      <c r="AD310" s="210">
        <f t="shared" si="91"/>
        <v>7.1895833333328483</v>
      </c>
      <c r="AE310" s="210">
        <f t="shared" si="92"/>
        <v>0</v>
      </c>
      <c r="AF310" s="210">
        <f t="shared" si="93"/>
        <v>7.1895833333328483</v>
      </c>
      <c r="AG310" s="210">
        <f t="shared" si="94"/>
        <v>0</v>
      </c>
    </row>
    <row r="311" spans="2:33" ht="15" customHeight="1" x14ac:dyDescent="0.3">
      <c r="B311" s="196" t="s">
        <v>7</v>
      </c>
      <c r="C311" s="197" t="s">
        <v>15</v>
      </c>
      <c r="D311" s="198" t="str">
        <f t="shared" si="76"/>
        <v>C</v>
      </c>
      <c r="E311" s="199">
        <v>44361.833333333336</v>
      </c>
      <c r="F311" s="200" t="s">
        <v>119</v>
      </c>
      <c r="G311" s="201">
        <v>133.375</v>
      </c>
      <c r="H311" s="201">
        <v>132.63399999999999</v>
      </c>
      <c r="I311" s="202">
        <f t="shared" si="77"/>
        <v>0.74100000000001387</v>
      </c>
      <c r="J311" s="201">
        <v>136.33799999999999</v>
      </c>
      <c r="K311" s="199">
        <v>44363.879166666666</v>
      </c>
      <c r="L311" s="201">
        <v>133.01400000000001</v>
      </c>
      <c r="M311" s="203">
        <f t="shared" si="78"/>
        <v>-0.36099999999999999</v>
      </c>
      <c r="N311" s="204">
        <f t="shared" si="79"/>
        <v>-0.49</v>
      </c>
      <c r="O311" s="205">
        <f t="shared" si="80"/>
        <v>0</v>
      </c>
      <c r="P311" s="206">
        <f t="shared" si="81"/>
        <v>0</v>
      </c>
      <c r="Q311" s="206">
        <f t="shared" si="82"/>
        <v>-0.49</v>
      </c>
      <c r="R3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155590</v>
      </c>
      <c r="T3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1" s="208">
        <f ca="1">IF(Tabla33610673[[#This Row],[Equity]]&lt;Tabla33610673[[#This Row],[Equity Peak]],(Tabla33610673[[#This Row],[Equity Peak]]-Tabla33610673[[#This Row],[Equity]])/Tabla33610673[[#This Row],[Equity Peak]],"")</f>
        <v>0.1262915543575921</v>
      </c>
      <c r="V311" s="209">
        <f t="shared" si="83"/>
        <v>-0.49</v>
      </c>
      <c r="W311" s="209">
        <f t="shared" si="84"/>
        <v>0</v>
      </c>
      <c r="X311" s="209">
        <f t="shared" si="85"/>
        <v>0</v>
      </c>
      <c r="Y311" s="209">
        <f t="shared" si="86"/>
        <v>0</v>
      </c>
      <c r="Z311" s="209">
        <f t="shared" si="87"/>
        <v>0</v>
      </c>
      <c r="AA311" s="205">
        <f t="shared" si="88"/>
        <v>0</v>
      </c>
      <c r="AB311" s="209">
        <f t="shared" si="89"/>
        <v>0</v>
      </c>
      <c r="AC311" s="205">
        <f t="shared" si="90"/>
        <v>0</v>
      </c>
      <c r="AD311" s="210">
        <f t="shared" si="91"/>
        <v>2.0458333333299379</v>
      </c>
      <c r="AE311" s="210">
        <f t="shared" si="92"/>
        <v>0</v>
      </c>
      <c r="AF311" s="210">
        <f t="shared" si="93"/>
        <v>2.0458333333299379</v>
      </c>
      <c r="AG311" s="210">
        <f t="shared" si="94"/>
        <v>0</v>
      </c>
    </row>
    <row r="312" spans="2:33" ht="15" customHeight="1" x14ac:dyDescent="0.3">
      <c r="B312" s="196" t="s">
        <v>5</v>
      </c>
      <c r="C312" s="197" t="s">
        <v>15</v>
      </c>
      <c r="D312" s="198" t="str">
        <f t="shared" si="76"/>
        <v>C</v>
      </c>
      <c r="E312" s="199">
        <v>44337.541666666664</v>
      </c>
      <c r="F312" s="200" t="s">
        <v>92</v>
      </c>
      <c r="G312" s="201">
        <v>13523.48</v>
      </c>
      <c r="H312" s="201">
        <v>13209.48</v>
      </c>
      <c r="I312" s="202">
        <f t="shared" si="77"/>
        <v>314</v>
      </c>
      <c r="J312" s="201">
        <v>15616.82</v>
      </c>
      <c r="K312" s="199">
        <v>44363.87777777778</v>
      </c>
      <c r="L312" s="201">
        <v>13974.76</v>
      </c>
      <c r="M312" s="203">
        <f t="shared" si="78"/>
        <v>451.28</v>
      </c>
      <c r="N312" s="204">
        <f t="shared" si="79"/>
        <v>1.44</v>
      </c>
      <c r="O312" s="205">
        <f t="shared" si="80"/>
        <v>0</v>
      </c>
      <c r="P312" s="206">
        <f t="shared" si="81"/>
        <v>1.44</v>
      </c>
      <c r="Q312" s="206">
        <f t="shared" si="82"/>
        <v>0</v>
      </c>
      <c r="R3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156080</v>
      </c>
      <c r="T3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2" s="208">
        <f ca="1">IF(Tabla33610673[[#This Row],[Equity]]&lt;Tabla33610673[[#This Row],[Equity Peak]],(Tabla33610673[[#This Row],[Equity Peak]]-Tabla33610673[[#This Row],[Equity]])/Tabla33610673[[#This Row],[Equity Peak]],"")</f>
        <v>0.12353998203054807</v>
      </c>
      <c r="V312" s="209">
        <f t="shared" si="83"/>
        <v>0</v>
      </c>
      <c r="W312" s="209">
        <f t="shared" si="84"/>
        <v>0</v>
      </c>
      <c r="X312" s="209">
        <f t="shared" si="85"/>
        <v>0</v>
      </c>
      <c r="Y312" s="209">
        <f t="shared" si="86"/>
        <v>0</v>
      </c>
      <c r="Z312" s="209">
        <f t="shared" si="87"/>
        <v>1.44</v>
      </c>
      <c r="AA312" s="205">
        <f t="shared" si="88"/>
        <v>0</v>
      </c>
      <c r="AB312" s="209">
        <f t="shared" si="89"/>
        <v>0</v>
      </c>
      <c r="AC312" s="205">
        <f t="shared" si="90"/>
        <v>0</v>
      </c>
      <c r="AD312" s="210">
        <f t="shared" si="91"/>
        <v>26.336111111115315</v>
      </c>
      <c r="AE312" s="210">
        <f t="shared" si="92"/>
        <v>26.336111111115315</v>
      </c>
      <c r="AF312" s="210">
        <f t="shared" si="93"/>
        <v>0</v>
      </c>
      <c r="AG312" s="210">
        <f t="shared" si="94"/>
        <v>0</v>
      </c>
    </row>
    <row r="313" spans="2:33" ht="15" customHeight="1" x14ac:dyDescent="0.3">
      <c r="B313" s="196" t="s">
        <v>5</v>
      </c>
      <c r="C313" s="197" t="s">
        <v>15</v>
      </c>
      <c r="D313" s="198" t="str">
        <f t="shared" si="76"/>
        <v>C</v>
      </c>
      <c r="E313" s="199">
        <v>44337.541666666664</v>
      </c>
      <c r="F313" s="200" t="s">
        <v>95</v>
      </c>
      <c r="G313" s="201">
        <v>34179.160000000003</v>
      </c>
      <c r="H313" s="201">
        <v>33942.44</v>
      </c>
      <c r="I313" s="202">
        <f t="shared" si="77"/>
        <v>236.72000000000116</v>
      </c>
      <c r="J313" s="201">
        <v>35126.019999999997</v>
      </c>
      <c r="K313" s="199">
        <v>44363.847916666666</v>
      </c>
      <c r="L313" s="201">
        <v>34178.620000000003</v>
      </c>
      <c r="M313" s="203">
        <f t="shared" si="78"/>
        <v>-0.54</v>
      </c>
      <c r="N313" s="204">
        <f t="shared" si="79"/>
        <v>0</v>
      </c>
      <c r="O313" s="205">
        <f t="shared" si="80"/>
        <v>0</v>
      </c>
      <c r="P313" s="206">
        <f t="shared" si="81"/>
        <v>0</v>
      </c>
      <c r="Q313" s="206">
        <f t="shared" si="82"/>
        <v>0</v>
      </c>
      <c r="R3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154640</v>
      </c>
      <c r="T3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3" s="208">
        <f ca="1">IF(Tabla33610673[[#This Row],[Equity]]&lt;Tabla33610673[[#This Row],[Equity Peak]],(Tabla33610673[[#This Row],[Equity Peak]]-Tabla33610673[[#This Row],[Equity]])/Tabla33610673[[#This Row],[Equity Peak]],"")</f>
        <v>0.1316262353998203</v>
      </c>
      <c r="V313" s="209">
        <f t="shared" si="83"/>
        <v>0</v>
      </c>
      <c r="W313" s="209">
        <f t="shared" si="84"/>
        <v>0</v>
      </c>
      <c r="X313" s="209">
        <f t="shared" si="85"/>
        <v>0</v>
      </c>
      <c r="Y313" s="209">
        <f t="shared" si="86"/>
        <v>0</v>
      </c>
      <c r="Z313" s="209">
        <f t="shared" si="87"/>
        <v>0</v>
      </c>
      <c r="AA313" s="205">
        <f t="shared" si="88"/>
        <v>0</v>
      </c>
      <c r="AB313" s="209">
        <f t="shared" si="89"/>
        <v>0</v>
      </c>
      <c r="AC313" s="205">
        <f t="shared" si="90"/>
        <v>0</v>
      </c>
      <c r="AD313" s="210">
        <f t="shared" si="91"/>
        <v>26.306250000001455</v>
      </c>
      <c r="AE313" s="210">
        <f t="shared" si="92"/>
        <v>0</v>
      </c>
      <c r="AF313" s="210">
        <f t="shared" si="93"/>
        <v>0</v>
      </c>
      <c r="AG313" s="210">
        <f t="shared" si="94"/>
        <v>26.306250000001455</v>
      </c>
    </row>
    <row r="314" spans="2:33" ht="15" customHeight="1" x14ac:dyDescent="0.3">
      <c r="B314" s="196" t="s">
        <v>7</v>
      </c>
      <c r="C314" s="197" t="s">
        <v>15</v>
      </c>
      <c r="D314" s="198" t="str">
        <f t="shared" si="76"/>
        <v>C</v>
      </c>
      <c r="E314" s="199">
        <v>44358.833333333336</v>
      </c>
      <c r="F314" s="200" t="s">
        <v>114</v>
      </c>
      <c r="G314" s="201">
        <v>109.68899999999999</v>
      </c>
      <c r="H314" s="201">
        <v>109.081</v>
      </c>
      <c r="I314" s="202">
        <f t="shared" si="77"/>
        <v>0.60799999999998988</v>
      </c>
      <c r="J314" s="201">
        <v>112.52800000000001</v>
      </c>
      <c r="K314" s="199">
        <v>44363.629861111112</v>
      </c>
      <c r="L314" s="201">
        <v>109.85899999999999</v>
      </c>
      <c r="M314" s="203">
        <f t="shared" si="78"/>
        <v>0.17</v>
      </c>
      <c r="N314" s="204">
        <f t="shared" si="79"/>
        <v>0.28000000000000003</v>
      </c>
      <c r="O314" s="205">
        <f t="shared" si="80"/>
        <v>0</v>
      </c>
      <c r="P314" s="206">
        <f t="shared" si="81"/>
        <v>0.28000000000000003</v>
      </c>
      <c r="Q314" s="206">
        <f t="shared" si="82"/>
        <v>0</v>
      </c>
      <c r="R3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154640</v>
      </c>
      <c r="T3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4" s="208">
        <f ca="1">IF(Tabla33610673[[#This Row],[Equity]]&lt;Tabla33610673[[#This Row],[Equity Peak]],(Tabla33610673[[#This Row],[Equity Peak]]-Tabla33610673[[#This Row],[Equity]])/Tabla33610673[[#This Row],[Equity Peak]],"")</f>
        <v>0.1316262353998203</v>
      </c>
      <c r="V314" s="209">
        <f t="shared" si="83"/>
        <v>0.28000000000000003</v>
      </c>
      <c r="W314" s="209">
        <f t="shared" si="84"/>
        <v>0</v>
      </c>
      <c r="X314" s="209">
        <f t="shared" si="85"/>
        <v>0</v>
      </c>
      <c r="Y314" s="209">
        <f t="shared" si="86"/>
        <v>0</v>
      </c>
      <c r="Z314" s="209">
        <f t="shared" si="87"/>
        <v>0</v>
      </c>
      <c r="AA314" s="205">
        <f t="shared" si="88"/>
        <v>0</v>
      </c>
      <c r="AB314" s="209">
        <f t="shared" si="89"/>
        <v>0</v>
      </c>
      <c r="AC314" s="205">
        <f t="shared" si="90"/>
        <v>0</v>
      </c>
      <c r="AD314" s="210">
        <f t="shared" si="91"/>
        <v>4.796527777776646</v>
      </c>
      <c r="AE314" s="210">
        <f t="shared" si="92"/>
        <v>4.796527777776646</v>
      </c>
      <c r="AF314" s="210">
        <f t="shared" si="93"/>
        <v>0</v>
      </c>
      <c r="AG314" s="210">
        <f t="shared" si="94"/>
        <v>0</v>
      </c>
    </row>
    <row r="315" spans="2:33" ht="15" customHeight="1" x14ac:dyDescent="0.3">
      <c r="B315" s="196" t="s">
        <v>7</v>
      </c>
      <c r="C315" s="197" t="s">
        <v>15</v>
      </c>
      <c r="D315" s="198" t="str">
        <f t="shared" si="76"/>
        <v>C</v>
      </c>
      <c r="E315" s="199">
        <v>44362.5</v>
      </c>
      <c r="F315" s="200" t="s">
        <v>121</v>
      </c>
      <c r="G315" s="201">
        <v>1.57704</v>
      </c>
      <c r="H315" s="201">
        <v>1.57212</v>
      </c>
      <c r="I315" s="202">
        <f t="shared" si="77"/>
        <v>4.9200000000000355E-3</v>
      </c>
      <c r="J315" s="201">
        <v>1.6294999999999999</v>
      </c>
      <c r="K315" s="199">
        <v>44363.537499999999</v>
      </c>
      <c r="L315" s="201">
        <v>1.5727</v>
      </c>
      <c r="M315" s="203">
        <f t="shared" si="78"/>
        <v>-4.3E-3</v>
      </c>
      <c r="N315" s="204">
        <f t="shared" si="79"/>
        <v>-0.87</v>
      </c>
      <c r="O315" s="205">
        <f t="shared" si="80"/>
        <v>0</v>
      </c>
      <c r="P315" s="206">
        <f t="shared" si="81"/>
        <v>0</v>
      </c>
      <c r="Q315" s="206">
        <f t="shared" si="82"/>
        <v>-0.87</v>
      </c>
      <c r="R3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154360</v>
      </c>
      <c r="T3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5" s="208">
        <f ca="1">IF(Tabla33610673[[#This Row],[Equity]]&lt;Tabla33610673[[#This Row],[Equity Peak]],(Tabla33610673[[#This Row],[Equity Peak]]-Tabla33610673[[#This Row],[Equity]])/Tabla33610673[[#This Row],[Equity Peak]],"")</f>
        <v>0.13319856244384545</v>
      </c>
      <c r="V315" s="209">
        <f t="shared" si="83"/>
        <v>-0.87</v>
      </c>
      <c r="W315" s="209">
        <f t="shared" si="84"/>
        <v>0</v>
      </c>
      <c r="X315" s="209">
        <f t="shared" si="85"/>
        <v>0</v>
      </c>
      <c r="Y315" s="209">
        <f t="shared" si="86"/>
        <v>0</v>
      </c>
      <c r="Z315" s="209">
        <f t="shared" si="87"/>
        <v>0</v>
      </c>
      <c r="AA315" s="205">
        <f t="shared" si="88"/>
        <v>0</v>
      </c>
      <c r="AB315" s="209">
        <f t="shared" si="89"/>
        <v>0</v>
      </c>
      <c r="AC315" s="205">
        <f t="shared" si="90"/>
        <v>0</v>
      </c>
      <c r="AD315" s="210">
        <f t="shared" si="91"/>
        <v>1.0374999999985448</v>
      </c>
      <c r="AE315" s="210">
        <f t="shared" si="92"/>
        <v>0</v>
      </c>
      <c r="AF315" s="210">
        <f t="shared" si="93"/>
        <v>1.0374999999985448</v>
      </c>
      <c r="AG315" s="210">
        <f t="shared" si="94"/>
        <v>0</v>
      </c>
    </row>
    <row r="316" spans="2:33" ht="15" customHeight="1" x14ac:dyDescent="0.3">
      <c r="B316" s="196" t="s">
        <v>7</v>
      </c>
      <c r="C316" s="197" t="s">
        <v>15</v>
      </c>
      <c r="D316" s="198" t="str">
        <f t="shared" si="76"/>
        <v>C</v>
      </c>
      <c r="E316" s="199">
        <v>44362.017361111109</v>
      </c>
      <c r="F316" s="200" t="s">
        <v>123</v>
      </c>
      <c r="G316" s="201">
        <v>84.856999999999999</v>
      </c>
      <c r="H316" s="201">
        <v>84.543000000000006</v>
      </c>
      <c r="I316" s="202">
        <f t="shared" si="77"/>
        <v>0.31399999999999295</v>
      </c>
      <c r="J316" s="201">
        <v>90.295000000000002</v>
      </c>
      <c r="K316" s="199">
        <v>44362.73541666667</v>
      </c>
      <c r="L316" s="201">
        <v>84.543000000000006</v>
      </c>
      <c r="M316" s="203">
        <f t="shared" si="78"/>
        <v>-0.314</v>
      </c>
      <c r="N316" s="204">
        <f t="shared" si="79"/>
        <v>-1</v>
      </c>
      <c r="O316" s="205">
        <f t="shared" si="80"/>
        <v>0</v>
      </c>
      <c r="P316" s="206">
        <f t="shared" si="81"/>
        <v>0</v>
      </c>
      <c r="Q316" s="206">
        <f t="shared" si="82"/>
        <v>-1</v>
      </c>
      <c r="R3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155230</v>
      </c>
      <c r="T3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6" s="208">
        <f ca="1">IF(Tabla33610673[[#This Row],[Equity]]&lt;Tabla33610673[[#This Row],[Equity Peak]],(Tabla33610673[[#This Row],[Equity Peak]]-Tabla33610673[[#This Row],[Equity]])/Tabla33610673[[#This Row],[Equity Peak]],"")</f>
        <v>0.12831311769991016</v>
      </c>
      <c r="V316" s="209">
        <f t="shared" si="83"/>
        <v>-1</v>
      </c>
      <c r="W316" s="209">
        <f t="shared" si="84"/>
        <v>0</v>
      </c>
      <c r="X316" s="209">
        <f t="shared" si="85"/>
        <v>0</v>
      </c>
      <c r="Y316" s="209">
        <f t="shared" si="86"/>
        <v>0</v>
      </c>
      <c r="Z316" s="209">
        <f t="shared" si="87"/>
        <v>0</v>
      </c>
      <c r="AA316" s="205">
        <f t="shared" si="88"/>
        <v>0</v>
      </c>
      <c r="AB316" s="209">
        <f t="shared" si="89"/>
        <v>0</v>
      </c>
      <c r="AC316" s="205">
        <f t="shared" si="90"/>
        <v>0</v>
      </c>
      <c r="AD316" s="210">
        <f t="shared" si="91"/>
        <v>0.71805555556056788</v>
      </c>
      <c r="AE316" s="210">
        <f t="shared" si="92"/>
        <v>0</v>
      </c>
      <c r="AF316" s="210">
        <f t="shared" si="93"/>
        <v>0.71805555556056788</v>
      </c>
      <c r="AG316" s="210">
        <f t="shared" si="94"/>
        <v>0</v>
      </c>
    </row>
    <row r="317" spans="2:33" ht="15" customHeight="1" x14ac:dyDescent="0.3">
      <c r="B317" s="196" t="s">
        <v>5</v>
      </c>
      <c r="C317" s="197" t="s">
        <v>15</v>
      </c>
      <c r="D317" s="198" t="str">
        <f t="shared" si="76"/>
        <v>C</v>
      </c>
      <c r="E317" s="199">
        <v>44362.208333333336</v>
      </c>
      <c r="F317" s="200" t="s">
        <v>93</v>
      </c>
      <c r="G317" s="201">
        <v>4259.51</v>
      </c>
      <c r="H317" s="201">
        <v>4245.49</v>
      </c>
      <c r="I317" s="202">
        <f t="shared" si="77"/>
        <v>14.020000000000437</v>
      </c>
      <c r="J317" s="201">
        <v>4296.8999999999996</v>
      </c>
      <c r="K317" s="199">
        <v>44362.724999999999</v>
      </c>
      <c r="L317" s="201">
        <v>4245.49</v>
      </c>
      <c r="M317" s="203">
        <f t="shared" si="78"/>
        <v>-14.02</v>
      </c>
      <c r="N317" s="204">
        <f t="shared" si="79"/>
        <v>-1</v>
      </c>
      <c r="O317" s="205">
        <f t="shared" si="80"/>
        <v>0</v>
      </c>
      <c r="P317" s="206">
        <f t="shared" si="81"/>
        <v>0</v>
      </c>
      <c r="Q317" s="206">
        <f t="shared" si="82"/>
        <v>-1</v>
      </c>
      <c r="R3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156230</v>
      </c>
      <c r="T3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7" s="208">
        <f ca="1">IF(Tabla33610673[[#This Row],[Equity]]&lt;Tabla33610673[[#This Row],[Equity Peak]],(Tabla33610673[[#This Row],[Equity Peak]]-Tabla33610673[[#This Row],[Equity]])/Tabla33610673[[#This Row],[Equity Peak]],"")</f>
        <v>0.12269766397124887</v>
      </c>
      <c r="V317" s="209">
        <f t="shared" si="83"/>
        <v>0</v>
      </c>
      <c r="W317" s="209">
        <f t="shared" si="84"/>
        <v>0</v>
      </c>
      <c r="X317" s="209">
        <f t="shared" si="85"/>
        <v>0</v>
      </c>
      <c r="Y317" s="209">
        <f t="shared" si="86"/>
        <v>0</v>
      </c>
      <c r="Z317" s="209">
        <f t="shared" si="87"/>
        <v>-1</v>
      </c>
      <c r="AA317" s="205">
        <f t="shared" si="88"/>
        <v>0</v>
      </c>
      <c r="AB317" s="209">
        <f t="shared" si="89"/>
        <v>0</v>
      </c>
      <c r="AC317" s="205">
        <f t="shared" si="90"/>
        <v>0</v>
      </c>
      <c r="AD317" s="210">
        <f t="shared" si="91"/>
        <v>0.51666666666278616</v>
      </c>
      <c r="AE317" s="210">
        <f t="shared" si="92"/>
        <v>0</v>
      </c>
      <c r="AF317" s="210">
        <f t="shared" si="93"/>
        <v>0.51666666666278616</v>
      </c>
      <c r="AG317" s="210">
        <f t="shared" si="94"/>
        <v>0</v>
      </c>
    </row>
    <row r="318" spans="2:33" ht="15" customHeight="1" x14ac:dyDescent="0.3">
      <c r="B318" s="196" t="s">
        <v>7</v>
      </c>
      <c r="C318" s="197" t="s">
        <v>13</v>
      </c>
      <c r="D318" s="198" t="str">
        <f t="shared" si="76"/>
        <v>C</v>
      </c>
      <c r="E318" s="199">
        <v>44358.833333333336</v>
      </c>
      <c r="F318" s="200" t="s">
        <v>119</v>
      </c>
      <c r="G318" s="201">
        <v>132.68299999999999</v>
      </c>
      <c r="H318" s="201">
        <v>133.333</v>
      </c>
      <c r="I318" s="202">
        <f t="shared" si="77"/>
        <v>0.65000000000000568</v>
      </c>
      <c r="J318" s="201">
        <v>130.08199999999999</v>
      </c>
      <c r="K318" s="199">
        <v>44361.724999999999</v>
      </c>
      <c r="L318" s="201">
        <v>133.33199999999999</v>
      </c>
      <c r="M318" s="203">
        <f t="shared" si="78"/>
        <v>-0.64900000000000002</v>
      </c>
      <c r="N318" s="204">
        <f t="shared" si="79"/>
        <v>-1</v>
      </c>
      <c r="O318" s="205">
        <f t="shared" si="80"/>
        <v>0</v>
      </c>
      <c r="P318" s="206">
        <f t="shared" si="81"/>
        <v>0</v>
      </c>
      <c r="Q318" s="206">
        <f t="shared" si="82"/>
        <v>-1</v>
      </c>
      <c r="R3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157230</v>
      </c>
      <c r="T3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8" s="208">
        <f ca="1">IF(Tabla33610673[[#This Row],[Equity]]&lt;Tabla33610673[[#This Row],[Equity Peak]],(Tabla33610673[[#This Row],[Equity Peak]]-Tabla33610673[[#This Row],[Equity]])/Tabla33610673[[#This Row],[Equity Peak]],"")</f>
        <v>0.11708221024258759</v>
      </c>
      <c r="V318" s="209">
        <f t="shared" si="83"/>
        <v>-1</v>
      </c>
      <c r="W318" s="209">
        <f t="shared" si="84"/>
        <v>0</v>
      </c>
      <c r="X318" s="209">
        <f t="shared" si="85"/>
        <v>0</v>
      </c>
      <c r="Y318" s="209">
        <f t="shared" si="86"/>
        <v>0</v>
      </c>
      <c r="Z318" s="209">
        <f t="shared" si="87"/>
        <v>0</v>
      </c>
      <c r="AA318" s="205">
        <f t="shared" si="88"/>
        <v>0</v>
      </c>
      <c r="AB318" s="209">
        <f t="shared" si="89"/>
        <v>0</v>
      </c>
      <c r="AC318" s="205">
        <f t="shared" si="90"/>
        <v>0</v>
      </c>
      <c r="AD318" s="210">
        <f t="shared" si="91"/>
        <v>2.8916666666627862</v>
      </c>
      <c r="AE318" s="210">
        <f t="shared" si="92"/>
        <v>0</v>
      </c>
      <c r="AF318" s="210">
        <f t="shared" si="93"/>
        <v>2.8916666666627862</v>
      </c>
      <c r="AG318" s="210">
        <f t="shared" si="94"/>
        <v>0</v>
      </c>
    </row>
    <row r="319" spans="2:33" ht="15" customHeight="1" x14ac:dyDescent="0.3">
      <c r="B319" s="196" t="s">
        <v>7</v>
      </c>
      <c r="C319" s="197" t="s">
        <v>13</v>
      </c>
      <c r="D319" s="198" t="str">
        <f t="shared" si="76"/>
        <v>C</v>
      </c>
      <c r="E319" s="199">
        <v>44361.166666666664</v>
      </c>
      <c r="F319" s="200" t="s">
        <v>123</v>
      </c>
      <c r="G319" s="201">
        <v>84.536000000000001</v>
      </c>
      <c r="H319" s="201">
        <v>84.841999999999999</v>
      </c>
      <c r="I319" s="202">
        <f t="shared" si="77"/>
        <v>0.30599999999999739</v>
      </c>
      <c r="J319" s="201">
        <v>79.224999999999994</v>
      </c>
      <c r="K319" s="199">
        <v>44361.702777777777</v>
      </c>
      <c r="L319" s="201">
        <v>84.841999999999999</v>
      </c>
      <c r="M319" s="203">
        <f t="shared" si="78"/>
        <v>-0.30599999999999999</v>
      </c>
      <c r="N319" s="204">
        <f t="shared" si="79"/>
        <v>-1</v>
      </c>
      <c r="O319" s="205">
        <f t="shared" si="80"/>
        <v>0</v>
      </c>
      <c r="P319" s="206">
        <f t="shared" si="81"/>
        <v>0</v>
      </c>
      <c r="Q319" s="206">
        <f t="shared" si="82"/>
        <v>-1</v>
      </c>
      <c r="R3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158230</v>
      </c>
      <c r="T3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19" s="208">
        <f ca="1">IF(Tabla33610673[[#This Row],[Equity]]&lt;Tabla33610673[[#This Row],[Equity Peak]],(Tabla33610673[[#This Row],[Equity Peak]]-Tabla33610673[[#This Row],[Equity]])/Tabla33610673[[#This Row],[Equity Peak]],"")</f>
        <v>0.11146675651392632</v>
      </c>
      <c r="V319" s="209">
        <f t="shared" si="83"/>
        <v>-1</v>
      </c>
      <c r="W319" s="209">
        <f t="shared" si="84"/>
        <v>0</v>
      </c>
      <c r="X319" s="209">
        <f t="shared" si="85"/>
        <v>0</v>
      </c>
      <c r="Y319" s="209">
        <f t="shared" si="86"/>
        <v>0</v>
      </c>
      <c r="Z319" s="209">
        <f t="shared" si="87"/>
        <v>0</v>
      </c>
      <c r="AA319" s="205">
        <f t="shared" si="88"/>
        <v>0</v>
      </c>
      <c r="AB319" s="209">
        <f t="shared" si="89"/>
        <v>0</v>
      </c>
      <c r="AC319" s="205">
        <f t="shared" si="90"/>
        <v>0</v>
      </c>
      <c r="AD319" s="210">
        <f t="shared" si="91"/>
        <v>0.53611111111240461</v>
      </c>
      <c r="AE319" s="210">
        <f t="shared" si="92"/>
        <v>0</v>
      </c>
      <c r="AF319" s="210">
        <f t="shared" si="93"/>
        <v>0.53611111111240461</v>
      </c>
      <c r="AG319" s="210">
        <f t="shared" si="94"/>
        <v>0</v>
      </c>
    </row>
    <row r="320" spans="2:33" ht="15" customHeight="1" x14ac:dyDescent="0.3">
      <c r="B320" s="196" t="s">
        <v>7</v>
      </c>
      <c r="C320" s="197" t="s">
        <v>15</v>
      </c>
      <c r="D320" s="198" t="str">
        <f t="shared" si="76"/>
        <v>C</v>
      </c>
      <c r="E320" s="199">
        <v>44355.833333333336</v>
      </c>
      <c r="F320" s="200" t="s">
        <v>122</v>
      </c>
      <c r="G320" s="201">
        <v>0.77381</v>
      </c>
      <c r="H320" s="201">
        <v>0.77056000000000002</v>
      </c>
      <c r="I320" s="202">
        <f t="shared" si="77"/>
        <v>3.2499999999999751E-3</v>
      </c>
      <c r="J320" s="201">
        <v>0.79115999999999997</v>
      </c>
      <c r="K320" s="199">
        <v>44358.714583333334</v>
      </c>
      <c r="L320" s="201">
        <v>0.77056999999999998</v>
      </c>
      <c r="M320" s="203">
        <f t="shared" si="78"/>
        <v>-3.2000000000000002E-3</v>
      </c>
      <c r="N320" s="204">
        <f t="shared" si="79"/>
        <v>-0.98</v>
      </c>
      <c r="O320" s="205">
        <f t="shared" si="80"/>
        <v>0</v>
      </c>
      <c r="P320" s="206">
        <f t="shared" si="81"/>
        <v>0</v>
      </c>
      <c r="Q320" s="206">
        <f t="shared" si="82"/>
        <v>-0.98</v>
      </c>
      <c r="R3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159230</v>
      </c>
      <c r="T3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0" s="208">
        <f ca="1">IF(Tabla33610673[[#This Row],[Equity]]&lt;Tabla33610673[[#This Row],[Equity Peak]],(Tabla33610673[[#This Row],[Equity Peak]]-Tabla33610673[[#This Row],[Equity]])/Tabla33610673[[#This Row],[Equity Peak]],"")</f>
        <v>0.10585130278526506</v>
      </c>
      <c r="V320" s="209">
        <f t="shared" si="83"/>
        <v>-0.98</v>
      </c>
      <c r="W320" s="209">
        <f t="shared" si="84"/>
        <v>0</v>
      </c>
      <c r="X320" s="209">
        <f t="shared" si="85"/>
        <v>0</v>
      </c>
      <c r="Y320" s="209">
        <f t="shared" si="86"/>
        <v>0</v>
      </c>
      <c r="Z320" s="209">
        <f t="shared" si="87"/>
        <v>0</v>
      </c>
      <c r="AA320" s="205">
        <f t="shared" si="88"/>
        <v>0</v>
      </c>
      <c r="AB320" s="209">
        <f t="shared" si="89"/>
        <v>0</v>
      </c>
      <c r="AC320" s="205">
        <f t="shared" si="90"/>
        <v>0</v>
      </c>
      <c r="AD320" s="210">
        <f t="shared" si="91"/>
        <v>2.8812499999985448</v>
      </c>
      <c r="AE320" s="210">
        <f t="shared" si="92"/>
        <v>0</v>
      </c>
      <c r="AF320" s="210">
        <f t="shared" si="93"/>
        <v>2.8812499999985448</v>
      </c>
      <c r="AG320" s="210">
        <f t="shared" si="94"/>
        <v>0</v>
      </c>
    </row>
    <row r="321" spans="2:33" ht="15" customHeight="1" x14ac:dyDescent="0.3">
      <c r="B321" s="196" t="s">
        <v>7</v>
      </c>
      <c r="C321" s="197" t="s">
        <v>15</v>
      </c>
      <c r="D321" s="198" t="str">
        <f t="shared" si="76"/>
        <v>C</v>
      </c>
      <c r="E321" s="199">
        <v>44354.166666666664</v>
      </c>
      <c r="F321" s="200" t="s">
        <v>123</v>
      </c>
      <c r="G321" s="201">
        <v>84.796999999999997</v>
      </c>
      <c r="H321" s="201">
        <v>84.471000000000004</v>
      </c>
      <c r="I321" s="202">
        <f t="shared" si="77"/>
        <v>0.32599999999999341</v>
      </c>
      <c r="J321" s="201">
        <v>90.445999999999998</v>
      </c>
      <c r="K321" s="199">
        <v>44358.70416666667</v>
      </c>
      <c r="L321" s="201">
        <v>84.626000000000005</v>
      </c>
      <c r="M321" s="203">
        <f t="shared" si="78"/>
        <v>-0.17100000000000001</v>
      </c>
      <c r="N321" s="204">
        <f t="shared" si="79"/>
        <v>-0.52</v>
      </c>
      <c r="O321" s="205">
        <f t="shared" si="80"/>
        <v>0</v>
      </c>
      <c r="P321" s="206">
        <f t="shared" si="81"/>
        <v>0</v>
      </c>
      <c r="Q321" s="206">
        <f t="shared" si="82"/>
        <v>-0.52</v>
      </c>
      <c r="R3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160210</v>
      </c>
      <c r="T3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1" s="208">
        <f ca="1">IF(Tabla33610673[[#This Row],[Equity]]&lt;Tabla33610673[[#This Row],[Equity Peak]],(Tabla33610673[[#This Row],[Equity Peak]]-Tabla33610673[[#This Row],[Equity]])/Tabla33610673[[#This Row],[Equity Peak]],"")</f>
        <v>0.10034815813117699</v>
      </c>
      <c r="V321" s="209">
        <f t="shared" si="83"/>
        <v>-0.52</v>
      </c>
      <c r="W321" s="209">
        <f t="shared" si="84"/>
        <v>0</v>
      </c>
      <c r="X321" s="209">
        <f t="shared" si="85"/>
        <v>0</v>
      </c>
      <c r="Y321" s="209">
        <f t="shared" si="86"/>
        <v>0</v>
      </c>
      <c r="Z321" s="209">
        <f t="shared" si="87"/>
        <v>0</v>
      </c>
      <c r="AA321" s="205">
        <f t="shared" si="88"/>
        <v>0</v>
      </c>
      <c r="AB321" s="209">
        <f t="shared" si="89"/>
        <v>0</v>
      </c>
      <c r="AC321" s="205">
        <f t="shared" si="90"/>
        <v>0</v>
      </c>
      <c r="AD321" s="210">
        <f t="shared" si="91"/>
        <v>4.5375000000058208</v>
      </c>
      <c r="AE321" s="210">
        <f t="shared" si="92"/>
        <v>0</v>
      </c>
      <c r="AF321" s="210">
        <f t="shared" si="93"/>
        <v>4.5375000000058208</v>
      </c>
      <c r="AG321" s="210">
        <f t="shared" si="94"/>
        <v>0</v>
      </c>
    </row>
    <row r="322" spans="2:33" ht="15" customHeight="1" x14ac:dyDescent="0.3">
      <c r="B322" s="196" t="s">
        <v>19</v>
      </c>
      <c r="C322" s="197" t="s">
        <v>15</v>
      </c>
      <c r="D322" s="198" t="str">
        <f t="shared" si="76"/>
        <v>C</v>
      </c>
      <c r="E322" s="199">
        <v>44357.875</v>
      </c>
      <c r="F322" s="200" t="s">
        <v>88</v>
      </c>
      <c r="G322" s="201">
        <v>1894.75</v>
      </c>
      <c r="H322" s="201">
        <v>1872.98</v>
      </c>
      <c r="I322" s="202">
        <f t="shared" si="77"/>
        <v>21.769999999999982</v>
      </c>
      <c r="J322" s="201">
        <v>2034.05</v>
      </c>
      <c r="K322" s="199">
        <v>44358.667361111111</v>
      </c>
      <c r="L322" s="201">
        <v>1882.23</v>
      </c>
      <c r="M322" s="203">
        <f t="shared" si="78"/>
        <v>-12.52</v>
      </c>
      <c r="N322" s="204">
        <f t="shared" si="79"/>
        <v>-0.57999999999999996</v>
      </c>
      <c r="O322" s="205">
        <f t="shared" si="80"/>
        <v>0</v>
      </c>
      <c r="P322" s="206">
        <f t="shared" si="81"/>
        <v>0</v>
      </c>
      <c r="Q322" s="206">
        <f t="shared" si="82"/>
        <v>-0.57999999999999996</v>
      </c>
      <c r="R3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160730</v>
      </c>
      <c r="T3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2" s="208">
        <f ca="1">IF(Tabla33610673[[#This Row],[Equity]]&lt;Tabla33610673[[#This Row],[Equity Peak]],(Tabla33610673[[#This Row],[Equity Peak]]-Tabla33610673[[#This Row],[Equity]])/Tabla33610673[[#This Row],[Equity Peak]],"")</f>
        <v>9.7428122192273134E-2</v>
      </c>
      <c r="V322" s="209">
        <f t="shared" si="83"/>
        <v>0</v>
      </c>
      <c r="W322" s="209">
        <f t="shared" si="84"/>
        <v>0</v>
      </c>
      <c r="X322" s="209">
        <f t="shared" si="85"/>
        <v>-0.57999999999999996</v>
      </c>
      <c r="Y322" s="209">
        <f t="shared" si="86"/>
        <v>0</v>
      </c>
      <c r="Z322" s="209">
        <f t="shared" si="87"/>
        <v>0</v>
      </c>
      <c r="AA322" s="205">
        <f t="shared" si="88"/>
        <v>0</v>
      </c>
      <c r="AB322" s="209">
        <f t="shared" si="89"/>
        <v>0</v>
      </c>
      <c r="AC322" s="205">
        <f t="shared" si="90"/>
        <v>0</v>
      </c>
      <c r="AD322" s="210">
        <f t="shared" si="91"/>
        <v>0.79236111111094942</v>
      </c>
      <c r="AE322" s="210">
        <f t="shared" si="92"/>
        <v>0</v>
      </c>
      <c r="AF322" s="210">
        <f t="shared" si="93"/>
        <v>0.79236111111094942</v>
      </c>
      <c r="AG322" s="210">
        <f t="shared" si="94"/>
        <v>0</v>
      </c>
    </row>
    <row r="323" spans="2:33" ht="15" customHeight="1" x14ac:dyDescent="0.3">
      <c r="B323" s="196" t="s">
        <v>7</v>
      </c>
      <c r="C323" s="197" t="s">
        <v>15</v>
      </c>
      <c r="D323" s="198" t="str">
        <f t="shared" si="76"/>
        <v>C</v>
      </c>
      <c r="E323" s="199">
        <v>44357.017361111109</v>
      </c>
      <c r="F323" s="200" t="s">
        <v>114</v>
      </c>
      <c r="G323" s="201">
        <v>109.60299999999999</v>
      </c>
      <c r="H323" s="201">
        <v>109.07599999999999</v>
      </c>
      <c r="I323" s="202">
        <f t="shared" si="77"/>
        <v>0.52700000000000102</v>
      </c>
      <c r="J323" s="201">
        <v>112.06</v>
      </c>
      <c r="K323" s="199">
        <v>44357.92291666667</v>
      </c>
      <c r="L323" s="201">
        <v>109.39100000000001</v>
      </c>
      <c r="M323" s="203">
        <f t="shared" si="78"/>
        <v>-0.21199999999999999</v>
      </c>
      <c r="N323" s="204">
        <f t="shared" si="79"/>
        <v>-0.4</v>
      </c>
      <c r="O323" s="205">
        <f t="shared" si="80"/>
        <v>0</v>
      </c>
      <c r="P323" s="206">
        <f t="shared" si="81"/>
        <v>0</v>
      </c>
      <c r="Q323" s="206">
        <f t="shared" si="82"/>
        <v>-0.4</v>
      </c>
      <c r="R3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161310</v>
      </c>
      <c r="T3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3" s="208">
        <f ca="1">IF(Tabla33610673[[#This Row],[Equity]]&lt;Tabla33610673[[#This Row],[Equity Peak]],(Tabla33610673[[#This Row],[Equity Peak]]-Tabla33610673[[#This Row],[Equity]])/Tabla33610673[[#This Row],[Equity Peak]],"")</f>
        <v>9.4171159029649593E-2</v>
      </c>
      <c r="V323" s="209">
        <f t="shared" si="83"/>
        <v>-0.4</v>
      </c>
      <c r="W323" s="209">
        <f t="shared" si="84"/>
        <v>0</v>
      </c>
      <c r="X323" s="209">
        <f t="shared" si="85"/>
        <v>0</v>
      </c>
      <c r="Y323" s="209">
        <f t="shared" si="86"/>
        <v>0</v>
      </c>
      <c r="Z323" s="209">
        <f t="shared" si="87"/>
        <v>0</v>
      </c>
      <c r="AA323" s="205">
        <f t="shared" si="88"/>
        <v>0</v>
      </c>
      <c r="AB323" s="209">
        <f t="shared" si="89"/>
        <v>0</v>
      </c>
      <c r="AC323" s="205">
        <f t="shared" si="90"/>
        <v>0</v>
      </c>
      <c r="AD323" s="210">
        <f t="shared" si="91"/>
        <v>0.90555555556056788</v>
      </c>
      <c r="AE323" s="210">
        <f t="shared" si="92"/>
        <v>0</v>
      </c>
      <c r="AF323" s="210">
        <f t="shared" si="93"/>
        <v>0.90555555556056788</v>
      </c>
      <c r="AG323" s="210">
        <f t="shared" si="94"/>
        <v>0</v>
      </c>
    </row>
    <row r="324" spans="2:33" ht="15" customHeight="1" x14ac:dyDescent="0.3">
      <c r="B324" s="196" t="s">
        <v>5</v>
      </c>
      <c r="C324" s="197" t="s">
        <v>15</v>
      </c>
      <c r="D324" s="198" t="str">
        <f t="shared" si="76"/>
        <v>C</v>
      </c>
      <c r="E324" s="199">
        <v>44357.708333333336</v>
      </c>
      <c r="F324" s="200" t="s">
        <v>93</v>
      </c>
      <c r="G324" s="201">
        <v>4247.28</v>
      </c>
      <c r="H324" s="201">
        <v>4228.2</v>
      </c>
      <c r="I324" s="202">
        <f t="shared" si="77"/>
        <v>19.079999999999927</v>
      </c>
      <c r="J324" s="201">
        <v>4298.16</v>
      </c>
      <c r="K324" s="199">
        <v>44357.741666666669</v>
      </c>
      <c r="L324" s="201">
        <v>4228.2</v>
      </c>
      <c r="M324" s="203">
        <f t="shared" si="78"/>
        <v>-19.079999999999998</v>
      </c>
      <c r="N324" s="204">
        <f t="shared" si="79"/>
        <v>-1</v>
      </c>
      <c r="O324" s="205">
        <f t="shared" si="80"/>
        <v>0</v>
      </c>
      <c r="P324" s="206">
        <f t="shared" si="81"/>
        <v>0</v>
      </c>
      <c r="Q324" s="206">
        <f t="shared" si="82"/>
        <v>-1</v>
      </c>
      <c r="R3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161710</v>
      </c>
      <c r="T3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4" s="208">
        <f ca="1">IF(Tabla33610673[[#This Row],[Equity]]&lt;Tabla33610673[[#This Row],[Equity Peak]],(Tabla33610673[[#This Row],[Equity Peak]]-Tabla33610673[[#This Row],[Equity]])/Tabla33610673[[#This Row],[Equity Peak]],"")</f>
        <v>9.1924977538185085E-2</v>
      </c>
      <c r="V324" s="209">
        <f t="shared" si="83"/>
        <v>0</v>
      </c>
      <c r="W324" s="209">
        <f t="shared" si="84"/>
        <v>0</v>
      </c>
      <c r="X324" s="209">
        <f t="shared" si="85"/>
        <v>0</v>
      </c>
      <c r="Y324" s="209">
        <f t="shared" si="86"/>
        <v>0</v>
      </c>
      <c r="Z324" s="209">
        <f t="shared" si="87"/>
        <v>-1</v>
      </c>
      <c r="AA324" s="205">
        <f t="shared" si="88"/>
        <v>0</v>
      </c>
      <c r="AB324" s="209">
        <f t="shared" si="89"/>
        <v>0</v>
      </c>
      <c r="AC324" s="205">
        <f t="shared" si="90"/>
        <v>0</v>
      </c>
      <c r="AD324" s="210">
        <f t="shared" si="91"/>
        <v>3.3333333332848269E-2</v>
      </c>
      <c r="AE324" s="210">
        <f t="shared" si="92"/>
        <v>0</v>
      </c>
      <c r="AF324" s="210">
        <f t="shared" si="93"/>
        <v>3.3333333332848269E-2</v>
      </c>
      <c r="AG324" s="210">
        <f t="shared" si="94"/>
        <v>0</v>
      </c>
    </row>
    <row r="325" spans="2:33" ht="15" customHeight="1" x14ac:dyDescent="0.3">
      <c r="B325" s="196" t="s">
        <v>19</v>
      </c>
      <c r="C325" s="197" t="s">
        <v>15</v>
      </c>
      <c r="D325" s="198" t="str">
        <f t="shared" si="76"/>
        <v>C</v>
      </c>
      <c r="E325" s="199">
        <v>44354.875</v>
      </c>
      <c r="F325" s="200" t="s">
        <v>88</v>
      </c>
      <c r="G325" s="201">
        <v>1897.8</v>
      </c>
      <c r="H325" s="201">
        <v>1871.52</v>
      </c>
      <c r="I325" s="202">
        <f t="shared" si="77"/>
        <v>26.279999999999973</v>
      </c>
      <c r="J325" s="201">
        <v>2065.98</v>
      </c>
      <c r="K325" s="199">
        <v>44357.443749999999</v>
      </c>
      <c r="L325" s="201">
        <v>1878.13</v>
      </c>
      <c r="M325" s="203">
        <f t="shared" si="78"/>
        <v>-19.670000000000002</v>
      </c>
      <c r="N325" s="204">
        <f t="shared" si="79"/>
        <v>-0.75</v>
      </c>
      <c r="O325" s="205">
        <f t="shared" si="80"/>
        <v>0</v>
      </c>
      <c r="P325" s="206">
        <f t="shared" si="81"/>
        <v>0</v>
      </c>
      <c r="Q325" s="206">
        <f t="shared" si="82"/>
        <v>-0.75</v>
      </c>
      <c r="R3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162710</v>
      </c>
      <c r="T3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5" s="208">
        <f ca="1">IF(Tabla33610673[[#This Row],[Equity]]&lt;Tabla33610673[[#This Row],[Equity Peak]],(Tabla33610673[[#This Row],[Equity Peak]]-Tabla33610673[[#This Row],[Equity]])/Tabla33610673[[#This Row],[Equity Peak]],"")</f>
        <v>8.6309523809523808E-2</v>
      </c>
      <c r="V325" s="209">
        <f t="shared" si="83"/>
        <v>0</v>
      </c>
      <c r="W325" s="209">
        <f t="shared" si="84"/>
        <v>0</v>
      </c>
      <c r="X325" s="209">
        <f t="shared" si="85"/>
        <v>-0.75</v>
      </c>
      <c r="Y325" s="209">
        <f t="shared" si="86"/>
        <v>0</v>
      </c>
      <c r="Z325" s="209">
        <f t="shared" si="87"/>
        <v>0</v>
      </c>
      <c r="AA325" s="205">
        <f t="shared" si="88"/>
        <v>0</v>
      </c>
      <c r="AB325" s="209">
        <f t="shared" si="89"/>
        <v>0</v>
      </c>
      <c r="AC325" s="205">
        <f t="shared" si="90"/>
        <v>0</v>
      </c>
      <c r="AD325" s="210">
        <f t="shared" si="91"/>
        <v>2.5687499999985448</v>
      </c>
      <c r="AE325" s="210">
        <f t="shared" si="92"/>
        <v>0</v>
      </c>
      <c r="AF325" s="210">
        <f t="shared" si="93"/>
        <v>2.5687499999985448</v>
      </c>
      <c r="AG325" s="210">
        <f t="shared" si="94"/>
        <v>0</v>
      </c>
    </row>
    <row r="326" spans="2:33" ht="15" customHeight="1" x14ac:dyDescent="0.3">
      <c r="B326" s="196" t="s">
        <v>7</v>
      </c>
      <c r="C326" s="197" t="s">
        <v>15</v>
      </c>
      <c r="D326" s="198" t="str">
        <f t="shared" si="76"/>
        <v>C</v>
      </c>
      <c r="E326" s="199">
        <v>44355.166666666664</v>
      </c>
      <c r="F326" s="200" t="s">
        <v>115</v>
      </c>
      <c r="G326" s="201">
        <v>1.4170199999999999</v>
      </c>
      <c r="H326" s="201">
        <v>1.4093899999999999</v>
      </c>
      <c r="I326" s="202">
        <f t="shared" si="77"/>
        <v>7.6300000000000257E-3</v>
      </c>
      <c r="J326" s="201">
        <v>1.4475199999999999</v>
      </c>
      <c r="K326" s="199">
        <v>44357.425000000003</v>
      </c>
      <c r="L326" s="201">
        <v>1.4093899999999999</v>
      </c>
      <c r="M326" s="203">
        <f t="shared" si="78"/>
        <v>-7.6E-3</v>
      </c>
      <c r="N326" s="204">
        <f t="shared" si="79"/>
        <v>-1</v>
      </c>
      <c r="O326" s="205">
        <f t="shared" si="80"/>
        <v>0</v>
      </c>
      <c r="P326" s="206">
        <f t="shared" si="81"/>
        <v>0</v>
      </c>
      <c r="Q326" s="206">
        <f t="shared" si="82"/>
        <v>-1</v>
      </c>
      <c r="R3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163460</v>
      </c>
      <c r="T3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6" s="208">
        <f ca="1">IF(Tabla33610673[[#This Row],[Equity]]&lt;Tabla33610673[[#This Row],[Equity Peak]],(Tabla33610673[[#This Row],[Equity Peak]]-Tabla33610673[[#This Row],[Equity]])/Tabla33610673[[#This Row],[Equity Peak]],"")</f>
        <v>8.2097933513027854E-2</v>
      </c>
      <c r="V326" s="209">
        <f t="shared" si="83"/>
        <v>-1</v>
      </c>
      <c r="W326" s="209">
        <f t="shared" si="84"/>
        <v>0</v>
      </c>
      <c r="X326" s="209">
        <f t="shared" si="85"/>
        <v>0</v>
      </c>
      <c r="Y326" s="209">
        <f t="shared" si="86"/>
        <v>0</v>
      </c>
      <c r="Z326" s="209">
        <f t="shared" si="87"/>
        <v>0</v>
      </c>
      <c r="AA326" s="205">
        <f t="shared" si="88"/>
        <v>0</v>
      </c>
      <c r="AB326" s="209">
        <f t="shared" si="89"/>
        <v>0</v>
      </c>
      <c r="AC326" s="205">
        <f t="shared" si="90"/>
        <v>0</v>
      </c>
      <c r="AD326" s="210">
        <f t="shared" si="91"/>
        <v>2.258333333338669</v>
      </c>
      <c r="AE326" s="210">
        <f t="shared" si="92"/>
        <v>0</v>
      </c>
      <c r="AF326" s="210">
        <f t="shared" si="93"/>
        <v>2.258333333338669</v>
      </c>
      <c r="AG326" s="210">
        <f t="shared" si="94"/>
        <v>0</v>
      </c>
    </row>
    <row r="327" spans="2:33" ht="15" customHeight="1" x14ac:dyDescent="0.3">
      <c r="B327" s="196" t="s">
        <v>7</v>
      </c>
      <c r="C327" s="197" t="s">
        <v>15</v>
      </c>
      <c r="D327" s="198" t="str">
        <f t="shared" si="76"/>
        <v>C</v>
      </c>
      <c r="E327" s="199">
        <v>44356.833333333336</v>
      </c>
      <c r="F327" s="200" t="s">
        <v>121</v>
      </c>
      <c r="G327" s="201">
        <v>1.57504</v>
      </c>
      <c r="H327" s="201">
        <v>1.57117</v>
      </c>
      <c r="I327" s="202">
        <f t="shared" si="77"/>
        <v>3.8700000000000401E-3</v>
      </c>
      <c r="J327" s="201">
        <v>1.6163400000000001</v>
      </c>
      <c r="K327" s="199">
        <v>44357.337500000001</v>
      </c>
      <c r="L327" s="201">
        <v>1.5726899999999999</v>
      </c>
      <c r="M327" s="203">
        <f t="shared" si="78"/>
        <v>-2.3999999999999998E-3</v>
      </c>
      <c r="N327" s="204">
        <f t="shared" si="79"/>
        <v>-0.62</v>
      </c>
      <c r="O327" s="205">
        <f t="shared" si="80"/>
        <v>0</v>
      </c>
      <c r="P327" s="206">
        <f t="shared" si="81"/>
        <v>0</v>
      </c>
      <c r="Q327" s="206">
        <f t="shared" si="82"/>
        <v>-0.62</v>
      </c>
      <c r="R3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164460</v>
      </c>
      <c r="T3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7" s="208">
        <f ca="1">IF(Tabla33610673[[#This Row],[Equity]]&lt;Tabla33610673[[#This Row],[Equity Peak]],(Tabla33610673[[#This Row],[Equity Peak]]-Tabla33610673[[#This Row],[Equity]])/Tabla33610673[[#This Row],[Equity Peak]],"")</f>
        <v>7.6482479784366578E-2</v>
      </c>
      <c r="V327" s="209">
        <f t="shared" si="83"/>
        <v>-0.62</v>
      </c>
      <c r="W327" s="209">
        <f t="shared" si="84"/>
        <v>0</v>
      </c>
      <c r="X327" s="209">
        <f t="shared" si="85"/>
        <v>0</v>
      </c>
      <c r="Y327" s="209">
        <f t="shared" si="86"/>
        <v>0</v>
      </c>
      <c r="Z327" s="209">
        <f t="shared" si="87"/>
        <v>0</v>
      </c>
      <c r="AA327" s="205">
        <f t="shared" si="88"/>
        <v>0</v>
      </c>
      <c r="AB327" s="209">
        <f t="shared" si="89"/>
        <v>0</v>
      </c>
      <c r="AC327" s="205">
        <f t="shared" si="90"/>
        <v>0</v>
      </c>
      <c r="AD327" s="210">
        <f t="shared" si="91"/>
        <v>0.50416666666569654</v>
      </c>
      <c r="AE327" s="210">
        <f t="shared" si="92"/>
        <v>0</v>
      </c>
      <c r="AF327" s="210">
        <f t="shared" si="93"/>
        <v>0.50416666666569654</v>
      </c>
      <c r="AG327" s="210">
        <f t="shared" si="94"/>
        <v>0</v>
      </c>
    </row>
    <row r="328" spans="2:33" ht="15" customHeight="1" x14ac:dyDescent="0.3">
      <c r="B328" s="196" t="s">
        <v>7</v>
      </c>
      <c r="C328" s="197" t="s">
        <v>13</v>
      </c>
      <c r="D328" s="198" t="str">
        <f t="shared" si="76"/>
        <v>C</v>
      </c>
      <c r="E328" s="199">
        <v>44351.166666666664</v>
      </c>
      <c r="F328" s="200" t="s">
        <v>123</v>
      </c>
      <c r="G328" s="201">
        <v>84.424999999999997</v>
      </c>
      <c r="H328" s="201">
        <v>84.727000000000004</v>
      </c>
      <c r="I328" s="202">
        <f t="shared" si="77"/>
        <v>0.30200000000000671</v>
      </c>
      <c r="J328" s="201">
        <v>79.194999999999993</v>
      </c>
      <c r="K328" s="199">
        <v>44351.747916666667</v>
      </c>
      <c r="L328" s="201">
        <v>84.727000000000004</v>
      </c>
      <c r="M328" s="203">
        <f t="shared" si="78"/>
        <v>-0.30199999999999999</v>
      </c>
      <c r="N328" s="204">
        <f t="shared" si="79"/>
        <v>-1</v>
      </c>
      <c r="O328" s="205">
        <f t="shared" si="80"/>
        <v>0</v>
      </c>
      <c r="P328" s="206">
        <f t="shared" si="81"/>
        <v>0</v>
      </c>
      <c r="Q328" s="206">
        <f t="shared" si="82"/>
        <v>-1</v>
      </c>
      <c r="R3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165080</v>
      </c>
      <c r="T3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8" s="208">
        <f ca="1">IF(Tabla33610673[[#This Row],[Equity]]&lt;Tabla33610673[[#This Row],[Equity Peak]],(Tabla33610673[[#This Row],[Equity Peak]]-Tabla33610673[[#This Row],[Equity]])/Tabla33610673[[#This Row],[Equity Peak]],"")</f>
        <v>7.3000898472596581E-2</v>
      </c>
      <c r="V328" s="209">
        <f t="shared" si="83"/>
        <v>-1</v>
      </c>
      <c r="W328" s="209">
        <f t="shared" si="84"/>
        <v>0</v>
      </c>
      <c r="X328" s="209">
        <f t="shared" si="85"/>
        <v>0</v>
      </c>
      <c r="Y328" s="209">
        <f t="shared" si="86"/>
        <v>0</v>
      </c>
      <c r="Z328" s="209">
        <f t="shared" si="87"/>
        <v>0</v>
      </c>
      <c r="AA328" s="205">
        <f t="shared" si="88"/>
        <v>0</v>
      </c>
      <c r="AB328" s="209">
        <f t="shared" si="89"/>
        <v>0</v>
      </c>
      <c r="AC328" s="205">
        <f t="shared" si="90"/>
        <v>0</v>
      </c>
      <c r="AD328" s="210">
        <f t="shared" si="91"/>
        <v>0.58125000000291038</v>
      </c>
      <c r="AE328" s="210">
        <f t="shared" si="92"/>
        <v>0</v>
      </c>
      <c r="AF328" s="210">
        <f t="shared" si="93"/>
        <v>0.58125000000291038</v>
      </c>
      <c r="AG328" s="210">
        <f t="shared" si="94"/>
        <v>0</v>
      </c>
    </row>
    <row r="329" spans="2:33" ht="15" customHeight="1" x14ac:dyDescent="0.3">
      <c r="B329" s="196" t="s">
        <v>5</v>
      </c>
      <c r="C329" s="197" t="s">
        <v>15</v>
      </c>
      <c r="D329" s="198" t="str">
        <f t="shared" si="76"/>
        <v>C</v>
      </c>
      <c r="E329" s="199">
        <v>44340.708333333336</v>
      </c>
      <c r="F329" s="200" t="s">
        <v>93</v>
      </c>
      <c r="G329" s="201">
        <v>4189.53</v>
      </c>
      <c r="H329" s="201">
        <v>4157.45</v>
      </c>
      <c r="I329" s="202">
        <f t="shared" si="77"/>
        <v>32.079999999999927</v>
      </c>
      <c r="J329" s="201">
        <v>4275.0600000000004</v>
      </c>
      <c r="K329" s="199">
        <v>44350.568749999999</v>
      </c>
      <c r="L329" s="201">
        <v>4189.25</v>
      </c>
      <c r="M329" s="203">
        <f t="shared" si="78"/>
        <v>-0.28000000000000003</v>
      </c>
      <c r="N329" s="204">
        <f t="shared" si="79"/>
        <v>-0.01</v>
      </c>
      <c r="O329" s="205">
        <f t="shared" si="80"/>
        <v>0</v>
      </c>
      <c r="P329" s="206">
        <f t="shared" si="81"/>
        <v>0</v>
      </c>
      <c r="Q329" s="206">
        <f t="shared" si="82"/>
        <v>-0.01</v>
      </c>
      <c r="R3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166080</v>
      </c>
      <c r="T3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29" s="208">
        <f ca="1">IF(Tabla33610673[[#This Row],[Equity]]&lt;Tabla33610673[[#This Row],[Equity Peak]],(Tabla33610673[[#This Row],[Equity Peak]]-Tabla33610673[[#This Row],[Equity]])/Tabla33610673[[#This Row],[Equity Peak]],"")</f>
        <v>6.7385444743935305E-2</v>
      </c>
      <c r="V329" s="209">
        <f t="shared" si="83"/>
        <v>0</v>
      </c>
      <c r="W329" s="209">
        <f t="shared" si="84"/>
        <v>0</v>
      </c>
      <c r="X329" s="209">
        <f t="shared" si="85"/>
        <v>0</v>
      </c>
      <c r="Y329" s="209">
        <f t="shared" si="86"/>
        <v>0</v>
      </c>
      <c r="Z329" s="209">
        <f t="shared" si="87"/>
        <v>-0.01</v>
      </c>
      <c r="AA329" s="205">
        <f t="shared" si="88"/>
        <v>0</v>
      </c>
      <c r="AB329" s="209">
        <f t="shared" si="89"/>
        <v>0</v>
      </c>
      <c r="AC329" s="205">
        <f t="shared" si="90"/>
        <v>0</v>
      </c>
      <c r="AD329" s="210">
        <f t="shared" si="91"/>
        <v>9.8604166666627862</v>
      </c>
      <c r="AE329" s="210">
        <f t="shared" si="92"/>
        <v>0</v>
      </c>
      <c r="AF329" s="210">
        <f t="shared" si="93"/>
        <v>9.8604166666627862</v>
      </c>
      <c r="AG329" s="210">
        <f t="shared" si="94"/>
        <v>0</v>
      </c>
    </row>
    <row r="330" spans="2:33" ht="15" customHeight="1" x14ac:dyDescent="0.3">
      <c r="B330" s="196" t="s">
        <v>7</v>
      </c>
      <c r="C330" s="197" t="s">
        <v>15</v>
      </c>
      <c r="D330" s="198" t="str">
        <f t="shared" si="76"/>
        <v>C</v>
      </c>
      <c r="E330" s="199">
        <v>44320.166666666664</v>
      </c>
      <c r="F330" s="200" t="s">
        <v>115</v>
      </c>
      <c r="G330" s="201">
        <v>1.3900699999999999</v>
      </c>
      <c r="H330" s="201">
        <v>1.38106</v>
      </c>
      <c r="I330" s="202">
        <f t="shared" si="77"/>
        <v>9.0099999999999625E-3</v>
      </c>
      <c r="J330" s="201">
        <v>1.4260999999999999</v>
      </c>
      <c r="K330" s="199">
        <v>44349.599999999999</v>
      </c>
      <c r="L330" s="201">
        <v>1.41124</v>
      </c>
      <c r="M330" s="203">
        <f t="shared" si="78"/>
        <v>2.12E-2</v>
      </c>
      <c r="N330" s="204">
        <f t="shared" si="79"/>
        <v>2.35</v>
      </c>
      <c r="O330" s="205">
        <f t="shared" si="80"/>
        <v>0</v>
      </c>
      <c r="P330" s="206">
        <f t="shared" si="81"/>
        <v>2.35</v>
      </c>
      <c r="Q330" s="206">
        <f t="shared" si="82"/>
        <v>0</v>
      </c>
      <c r="R3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166090</v>
      </c>
      <c r="T3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0" s="208">
        <f ca="1">IF(Tabla33610673[[#This Row],[Equity]]&lt;Tabla33610673[[#This Row],[Equity Peak]],(Tabla33610673[[#This Row],[Equity Peak]]-Tabla33610673[[#This Row],[Equity]])/Tabla33610673[[#This Row],[Equity Peak]],"")</f>
        <v>6.7329290206648698E-2</v>
      </c>
      <c r="V330" s="209">
        <f t="shared" si="83"/>
        <v>2.35</v>
      </c>
      <c r="W330" s="209">
        <f t="shared" si="84"/>
        <v>0</v>
      </c>
      <c r="X330" s="209">
        <f t="shared" si="85"/>
        <v>0</v>
      </c>
      <c r="Y330" s="209">
        <f t="shared" si="86"/>
        <v>0</v>
      </c>
      <c r="Z330" s="209">
        <f t="shared" si="87"/>
        <v>0</v>
      </c>
      <c r="AA330" s="205">
        <f t="shared" si="88"/>
        <v>0</v>
      </c>
      <c r="AB330" s="209">
        <f t="shared" si="89"/>
        <v>0</v>
      </c>
      <c r="AC330" s="205">
        <f t="shared" si="90"/>
        <v>0</v>
      </c>
      <c r="AD330" s="210">
        <f t="shared" si="91"/>
        <v>29.433333333334303</v>
      </c>
      <c r="AE330" s="210">
        <f t="shared" si="92"/>
        <v>29.433333333334303</v>
      </c>
      <c r="AF330" s="210">
        <f t="shared" si="93"/>
        <v>0</v>
      </c>
      <c r="AG330" s="210">
        <f t="shared" si="94"/>
        <v>0</v>
      </c>
    </row>
    <row r="331" spans="2:33" ht="15" customHeight="1" x14ac:dyDescent="0.3">
      <c r="B331" s="196" t="s">
        <v>7</v>
      </c>
      <c r="C331" s="197" t="s">
        <v>15</v>
      </c>
      <c r="D331" s="198" t="str">
        <f t="shared" si="76"/>
        <v>C</v>
      </c>
      <c r="E331" s="199">
        <v>44343.166666666664</v>
      </c>
      <c r="F331" s="200" t="s">
        <v>114</v>
      </c>
      <c r="G331" s="201">
        <v>109.16200000000001</v>
      </c>
      <c r="H331" s="201">
        <v>108.66500000000001</v>
      </c>
      <c r="I331" s="202">
        <f t="shared" si="77"/>
        <v>0.49699999999999989</v>
      </c>
      <c r="J331" s="201">
        <v>111.48</v>
      </c>
      <c r="K331" s="199">
        <v>44347.17291666667</v>
      </c>
      <c r="L331" s="201">
        <v>109.72</v>
      </c>
      <c r="M331" s="203">
        <f t="shared" si="78"/>
        <v>0.55800000000000005</v>
      </c>
      <c r="N331" s="204">
        <f t="shared" si="79"/>
        <v>1.1200000000000001</v>
      </c>
      <c r="O331" s="205">
        <f t="shared" si="80"/>
        <v>0</v>
      </c>
      <c r="P331" s="206">
        <f t="shared" si="81"/>
        <v>1.1200000000000001</v>
      </c>
      <c r="Q331" s="206">
        <f t="shared" si="82"/>
        <v>0</v>
      </c>
      <c r="R3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163740</v>
      </c>
      <c r="T3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1" s="208">
        <f ca="1">IF(Tabla33610673[[#This Row],[Equity]]&lt;Tabla33610673[[#This Row],[Equity Peak]],(Tabla33610673[[#This Row],[Equity Peak]]-Tabla33610673[[#This Row],[Equity]])/Tabla33610673[[#This Row],[Equity Peak]],"")</f>
        <v>8.0525606469002697E-2</v>
      </c>
      <c r="V331" s="209">
        <f t="shared" si="83"/>
        <v>1.1200000000000001</v>
      </c>
      <c r="W331" s="209">
        <f t="shared" si="84"/>
        <v>0</v>
      </c>
      <c r="X331" s="209">
        <f t="shared" si="85"/>
        <v>0</v>
      </c>
      <c r="Y331" s="209">
        <f t="shared" si="86"/>
        <v>0</v>
      </c>
      <c r="Z331" s="209">
        <f t="shared" si="87"/>
        <v>0</v>
      </c>
      <c r="AA331" s="205">
        <f t="shared" si="88"/>
        <v>0</v>
      </c>
      <c r="AB331" s="209">
        <f t="shared" si="89"/>
        <v>0</v>
      </c>
      <c r="AC331" s="205">
        <f t="shared" si="90"/>
        <v>0</v>
      </c>
      <c r="AD331" s="210">
        <f t="shared" si="91"/>
        <v>4.0062500000058208</v>
      </c>
      <c r="AE331" s="210">
        <f t="shared" si="92"/>
        <v>4.0062500000058208</v>
      </c>
      <c r="AF331" s="210">
        <f t="shared" si="93"/>
        <v>0</v>
      </c>
      <c r="AG331" s="210">
        <f t="shared" si="94"/>
        <v>0</v>
      </c>
    </row>
    <row r="332" spans="2:33" ht="15" customHeight="1" x14ac:dyDescent="0.3">
      <c r="B332" s="196" t="s">
        <v>7</v>
      </c>
      <c r="C332" s="197" t="s">
        <v>13</v>
      </c>
      <c r="D332" s="198" t="str">
        <f t="shared" si="76"/>
        <v>C</v>
      </c>
      <c r="E332" s="199">
        <v>44344.017361111109</v>
      </c>
      <c r="F332" s="200" t="s">
        <v>120</v>
      </c>
      <c r="G332" s="201">
        <v>0.85816999999999999</v>
      </c>
      <c r="H332" s="201">
        <v>0.86062000000000005</v>
      </c>
      <c r="I332" s="202">
        <f t="shared" si="77"/>
        <v>2.4500000000000632E-3</v>
      </c>
      <c r="J332" s="201">
        <v>0.85163999999999995</v>
      </c>
      <c r="K332" s="199">
        <v>44344.73541666667</v>
      </c>
      <c r="L332" s="201">
        <v>0.86062000000000005</v>
      </c>
      <c r="M332" s="203">
        <f t="shared" si="78"/>
        <v>-2.5000000000000001E-3</v>
      </c>
      <c r="N332" s="204">
        <f t="shared" si="79"/>
        <v>-1.02</v>
      </c>
      <c r="O332" s="205">
        <f t="shared" si="80"/>
        <v>0</v>
      </c>
      <c r="P332" s="206">
        <f t="shared" si="81"/>
        <v>0</v>
      </c>
      <c r="Q332" s="206">
        <f t="shared" si="82"/>
        <v>-1.02</v>
      </c>
      <c r="R3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162620</v>
      </c>
      <c r="T3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2" s="208">
        <f ca="1">IF(Tabla33610673[[#This Row],[Equity]]&lt;Tabla33610673[[#This Row],[Equity Peak]],(Tabla33610673[[#This Row],[Equity Peak]]-Tabla33610673[[#This Row],[Equity]])/Tabla33610673[[#This Row],[Equity Peak]],"")</f>
        <v>8.6814914645103325E-2</v>
      </c>
      <c r="V332" s="209">
        <f t="shared" si="83"/>
        <v>-1.02</v>
      </c>
      <c r="W332" s="209">
        <f t="shared" si="84"/>
        <v>0</v>
      </c>
      <c r="X332" s="209">
        <f t="shared" si="85"/>
        <v>0</v>
      </c>
      <c r="Y332" s="209">
        <f t="shared" si="86"/>
        <v>0</v>
      </c>
      <c r="Z332" s="209">
        <f t="shared" si="87"/>
        <v>0</v>
      </c>
      <c r="AA332" s="205">
        <f t="shared" si="88"/>
        <v>0</v>
      </c>
      <c r="AB332" s="209">
        <f t="shared" si="89"/>
        <v>0</v>
      </c>
      <c r="AC332" s="205">
        <f t="shared" si="90"/>
        <v>0</v>
      </c>
      <c r="AD332" s="210">
        <f t="shared" si="91"/>
        <v>0.71805555556056788</v>
      </c>
      <c r="AE332" s="210">
        <f t="shared" si="92"/>
        <v>0</v>
      </c>
      <c r="AF332" s="210">
        <f t="shared" si="93"/>
        <v>0.71805555556056788</v>
      </c>
      <c r="AG332" s="210">
        <f t="shared" si="94"/>
        <v>0</v>
      </c>
    </row>
    <row r="333" spans="2:33" ht="15" customHeight="1" x14ac:dyDescent="0.3">
      <c r="B333" s="196" t="s">
        <v>7</v>
      </c>
      <c r="C333" s="197" t="s">
        <v>15</v>
      </c>
      <c r="D333" s="198" t="str">
        <f t="shared" si="76"/>
        <v>C</v>
      </c>
      <c r="E333" s="199">
        <v>44343.833333333336</v>
      </c>
      <c r="F333" s="200" t="s">
        <v>123</v>
      </c>
      <c r="G333" s="201">
        <v>84.956999999999994</v>
      </c>
      <c r="H333" s="201">
        <v>84.606999999999999</v>
      </c>
      <c r="I333" s="202">
        <f t="shared" si="77"/>
        <v>0.34999999999999432</v>
      </c>
      <c r="J333" s="201">
        <v>91.021000000000001</v>
      </c>
      <c r="K333" s="199">
        <v>44344.605555555558</v>
      </c>
      <c r="L333" s="201">
        <v>84.606999999999999</v>
      </c>
      <c r="M333" s="203">
        <f t="shared" si="78"/>
        <v>-0.35</v>
      </c>
      <c r="N333" s="204">
        <f t="shared" si="79"/>
        <v>-1</v>
      </c>
      <c r="O333" s="205">
        <f t="shared" si="80"/>
        <v>0</v>
      </c>
      <c r="P333" s="206">
        <f t="shared" si="81"/>
        <v>0</v>
      </c>
      <c r="Q333" s="206">
        <f t="shared" si="82"/>
        <v>-1</v>
      </c>
      <c r="R3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163640</v>
      </c>
      <c r="T3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3" s="208">
        <f ca="1">IF(Tabla33610673[[#This Row],[Equity]]&lt;Tabla33610673[[#This Row],[Equity Peak]],(Tabla33610673[[#This Row],[Equity Peak]]-Tabla33610673[[#This Row],[Equity]])/Tabla33610673[[#This Row],[Equity Peak]],"")</f>
        <v>8.1087151841868821E-2</v>
      </c>
      <c r="V333" s="209">
        <f t="shared" si="83"/>
        <v>-1</v>
      </c>
      <c r="W333" s="209">
        <f t="shared" si="84"/>
        <v>0</v>
      </c>
      <c r="X333" s="209">
        <f t="shared" si="85"/>
        <v>0</v>
      </c>
      <c r="Y333" s="209">
        <f t="shared" si="86"/>
        <v>0</v>
      </c>
      <c r="Z333" s="209">
        <f t="shared" si="87"/>
        <v>0</v>
      </c>
      <c r="AA333" s="205">
        <f t="shared" si="88"/>
        <v>0</v>
      </c>
      <c r="AB333" s="209">
        <f t="shared" si="89"/>
        <v>0</v>
      </c>
      <c r="AC333" s="205">
        <f t="shared" si="90"/>
        <v>0</v>
      </c>
      <c r="AD333" s="210">
        <f t="shared" si="91"/>
        <v>0.77222222222189885</v>
      </c>
      <c r="AE333" s="210">
        <f t="shared" si="92"/>
        <v>0</v>
      </c>
      <c r="AF333" s="210">
        <f t="shared" si="93"/>
        <v>0.77222222222189885</v>
      </c>
      <c r="AG333" s="210">
        <f t="shared" si="94"/>
        <v>0</v>
      </c>
    </row>
    <row r="334" spans="2:33" ht="15" customHeight="1" x14ac:dyDescent="0.3">
      <c r="B334" s="196" t="s">
        <v>7</v>
      </c>
      <c r="C334" s="197" t="s">
        <v>15</v>
      </c>
      <c r="D334" s="198" t="str">
        <f t="shared" si="76"/>
        <v>C</v>
      </c>
      <c r="E334" s="199">
        <v>44341.5</v>
      </c>
      <c r="F334" s="200" t="s">
        <v>118</v>
      </c>
      <c r="G334" s="201">
        <v>1.2259</v>
      </c>
      <c r="H334" s="201">
        <v>1.2195100000000001</v>
      </c>
      <c r="I334" s="202">
        <f t="shared" si="77"/>
        <v>6.3899999999998958E-3</v>
      </c>
      <c r="J334" s="201">
        <v>1.26677</v>
      </c>
      <c r="K334" s="199">
        <v>44342.765277777777</v>
      </c>
      <c r="L334" s="201">
        <v>1.2209000000000001</v>
      </c>
      <c r="M334" s="203">
        <f t="shared" si="78"/>
        <v>-5.0000000000000001E-3</v>
      </c>
      <c r="N334" s="204">
        <f t="shared" si="79"/>
        <v>-0.78</v>
      </c>
      <c r="O334" s="205">
        <f t="shared" si="80"/>
        <v>0</v>
      </c>
      <c r="P334" s="206">
        <f t="shared" si="81"/>
        <v>0</v>
      </c>
      <c r="Q334" s="206">
        <f t="shared" si="82"/>
        <v>-0.78</v>
      </c>
      <c r="R3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164640</v>
      </c>
      <c r="T3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4" s="208">
        <f ca="1">IF(Tabla33610673[[#This Row],[Equity]]&lt;Tabla33610673[[#This Row],[Equity Peak]],(Tabla33610673[[#This Row],[Equity Peak]]-Tabla33610673[[#This Row],[Equity]])/Tabla33610673[[#This Row],[Equity Peak]],"")</f>
        <v>7.5471698113207544E-2</v>
      </c>
      <c r="V334" s="209">
        <f t="shared" si="83"/>
        <v>-0.78</v>
      </c>
      <c r="W334" s="209">
        <f t="shared" si="84"/>
        <v>0</v>
      </c>
      <c r="X334" s="209">
        <f t="shared" si="85"/>
        <v>0</v>
      </c>
      <c r="Y334" s="209">
        <f t="shared" si="86"/>
        <v>0</v>
      </c>
      <c r="Z334" s="209">
        <f t="shared" si="87"/>
        <v>0</v>
      </c>
      <c r="AA334" s="205">
        <f t="shared" si="88"/>
        <v>0</v>
      </c>
      <c r="AB334" s="209">
        <f t="shared" si="89"/>
        <v>0</v>
      </c>
      <c r="AC334" s="205">
        <f t="shared" si="90"/>
        <v>0</v>
      </c>
      <c r="AD334" s="210">
        <f t="shared" si="91"/>
        <v>1.265277777776646</v>
      </c>
      <c r="AE334" s="210">
        <f t="shared" si="92"/>
        <v>0</v>
      </c>
      <c r="AF334" s="210">
        <f t="shared" si="93"/>
        <v>1.265277777776646</v>
      </c>
      <c r="AG334" s="210">
        <f t="shared" si="94"/>
        <v>0</v>
      </c>
    </row>
    <row r="335" spans="2:33" ht="15" customHeight="1" x14ac:dyDescent="0.3">
      <c r="B335" s="196" t="s">
        <v>7</v>
      </c>
      <c r="C335" s="197" t="s">
        <v>13</v>
      </c>
      <c r="D335" s="198" t="str">
        <f t="shared" si="76"/>
        <v>C</v>
      </c>
      <c r="E335" s="199">
        <v>44336.017361111109</v>
      </c>
      <c r="F335" s="200" t="s">
        <v>123</v>
      </c>
      <c r="G335" s="201">
        <v>84.308999999999997</v>
      </c>
      <c r="H335" s="201">
        <v>84.712000000000003</v>
      </c>
      <c r="I335" s="202">
        <f t="shared" si="77"/>
        <v>0.4030000000000058</v>
      </c>
      <c r="J335" s="201">
        <v>77.33</v>
      </c>
      <c r="K335" s="199">
        <v>44342.285416666666</v>
      </c>
      <c r="L335" s="201">
        <v>84.712000000000003</v>
      </c>
      <c r="M335" s="203">
        <f t="shared" si="78"/>
        <v>-0.40300000000000002</v>
      </c>
      <c r="N335" s="204">
        <f t="shared" si="79"/>
        <v>-1</v>
      </c>
      <c r="O335" s="205">
        <f t="shared" si="80"/>
        <v>0</v>
      </c>
      <c r="P335" s="206">
        <f t="shared" si="81"/>
        <v>0</v>
      </c>
      <c r="Q335" s="206">
        <f t="shared" si="82"/>
        <v>-1</v>
      </c>
      <c r="R3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165420</v>
      </c>
      <c r="T3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5" s="208">
        <f ca="1">IF(Tabla33610673[[#This Row],[Equity]]&lt;Tabla33610673[[#This Row],[Equity Peak]],(Tabla33610673[[#This Row],[Equity Peak]]-Tabla33610673[[#This Row],[Equity]])/Tabla33610673[[#This Row],[Equity Peak]],"")</f>
        <v>7.1091644204851756E-2</v>
      </c>
      <c r="V335" s="209">
        <f t="shared" si="83"/>
        <v>-1</v>
      </c>
      <c r="W335" s="209">
        <f t="shared" si="84"/>
        <v>0</v>
      </c>
      <c r="X335" s="209">
        <f t="shared" si="85"/>
        <v>0</v>
      </c>
      <c r="Y335" s="209">
        <f t="shared" si="86"/>
        <v>0</v>
      </c>
      <c r="Z335" s="209">
        <f t="shared" si="87"/>
        <v>0</v>
      </c>
      <c r="AA335" s="205">
        <f t="shared" si="88"/>
        <v>0</v>
      </c>
      <c r="AB335" s="209">
        <f t="shared" si="89"/>
        <v>0</v>
      </c>
      <c r="AC335" s="205">
        <f t="shared" si="90"/>
        <v>0</v>
      </c>
      <c r="AD335" s="210">
        <f t="shared" si="91"/>
        <v>6.2680555555562023</v>
      </c>
      <c r="AE335" s="210">
        <f t="shared" si="92"/>
        <v>0</v>
      </c>
      <c r="AF335" s="210">
        <f t="shared" si="93"/>
        <v>6.2680555555562023</v>
      </c>
      <c r="AG335" s="210">
        <f t="shared" si="94"/>
        <v>0</v>
      </c>
    </row>
    <row r="336" spans="2:33" ht="15" customHeight="1" x14ac:dyDescent="0.3">
      <c r="B336" s="196" t="s">
        <v>5</v>
      </c>
      <c r="C336" s="197" t="s">
        <v>15</v>
      </c>
      <c r="D336" s="198" t="str">
        <f t="shared" si="76"/>
        <v>C</v>
      </c>
      <c r="E336" s="199">
        <v>44337.125</v>
      </c>
      <c r="F336" s="200" t="s">
        <v>94</v>
      </c>
      <c r="G336" s="201">
        <v>7028.33</v>
      </c>
      <c r="H336" s="201">
        <v>6943.88</v>
      </c>
      <c r="I336" s="202">
        <f t="shared" si="77"/>
        <v>84.449999999999818</v>
      </c>
      <c r="J336" s="201">
        <v>7450.6</v>
      </c>
      <c r="K336" s="199">
        <v>44341.920138888891</v>
      </c>
      <c r="L336" s="201">
        <v>7012.25</v>
      </c>
      <c r="M336" s="203">
        <f t="shared" si="78"/>
        <v>-16.079999999999998</v>
      </c>
      <c r="N336" s="204">
        <f t="shared" si="79"/>
        <v>-0.19</v>
      </c>
      <c r="O336" s="205">
        <f t="shared" si="80"/>
        <v>0</v>
      </c>
      <c r="P336" s="206">
        <f t="shared" si="81"/>
        <v>0</v>
      </c>
      <c r="Q336" s="206">
        <f t="shared" si="82"/>
        <v>-0.19</v>
      </c>
      <c r="R3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166420</v>
      </c>
      <c r="T3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6" s="208">
        <f ca="1">IF(Tabla33610673[[#This Row],[Equity]]&lt;Tabla33610673[[#This Row],[Equity Peak]],(Tabla33610673[[#This Row],[Equity Peak]]-Tabla33610673[[#This Row],[Equity]])/Tabla33610673[[#This Row],[Equity Peak]],"")</f>
        <v>6.5476190476190479E-2</v>
      </c>
      <c r="V336" s="209">
        <f t="shared" si="83"/>
        <v>0</v>
      </c>
      <c r="W336" s="209">
        <f t="shared" si="84"/>
        <v>0</v>
      </c>
      <c r="X336" s="209">
        <f t="shared" si="85"/>
        <v>0</v>
      </c>
      <c r="Y336" s="209">
        <f t="shared" si="86"/>
        <v>0</v>
      </c>
      <c r="Z336" s="209">
        <f t="shared" si="87"/>
        <v>-0.19</v>
      </c>
      <c r="AA336" s="205">
        <f t="shared" si="88"/>
        <v>0</v>
      </c>
      <c r="AB336" s="209">
        <f t="shared" si="89"/>
        <v>0</v>
      </c>
      <c r="AC336" s="205">
        <f t="shared" si="90"/>
        <v>0</v>
      </c>
      <c r="AD336" s="210">
        <f t="shared" si="91"/>
        <v>4.7951388888905058</v>
      </c>
      <c r="AE336" s="210">
        <f t="shared" si="92"/>
        <v>0</v>
      </c>
      <c r="AF336" s="210">
        <f t="shared" si="93"/>
        <v>4.7951388888905058</v>
      </c>
      <c r="AG336" s="210">
        <f t="shared" si="94"/>
        <v>0</v>
      </c>
    </row>
    <row r="337" spans="2:33" ht="15" customHeight="1" x14ac:dyDescent="0.3">
      <c r="B337" s="196" t="s">
        <v>19</v>
      </c>
      <c r="C337" s="197" t="s">
        <v>13</v>
      </c>
      <c r="D337" s="198" t="str">
        <f t="shared" ref="D337:D400" si="95">IF(E337&lt;&gt;"",IF(K337&lt;&gt;"","C","O"),"")</f>
        <v>C</v>
      </c>
      <c r="E337" s="199">
        <v>44336.125</v>
      </c>
      <c r="F337" s="200" t="s">
        <v>108</v>
      </c>
      <c r="G337" s="201">
        <v>63.313000000000002</v>
      </c>
      <c r="H337" s="201">
        <v>65.182000000000002</v>
      </c>
      <c r="I337" s="202">
        <f t="shared" ref="I337:I400" si="96">ABS(G337-H337)</f>
        <v>1.8689999999999998</v>
      </c>
      <c r="J337" s="201">
        <v>40.881999999999998</v>
      </c>
      <c r="K337" s="199">
        <v>44337.714583333334</v>
      </c>
      <c r="L337" s="201">
        <v>63.686999999999998</v>
      </c>
      <c r="M337" s="203">
        <f t="shared" ref="M337:M400" si="97">ROUND(IF(C337="L",(L337-G337),(G337-L337)),4)</f>
        <v>-0.374</v>
      </c>
      <c r="N337" s="204">
        <f t="shared" ref="N337:N400" si="98">IFERROR(ROUND((M337/I337),2),"")</f>
        <v>-0.2</v>
      </c>
      <c r="O337" s="205">
        <f t="shared" ref="O337:O400" si="99">IF(D337="O",IF(N337&lt;0,N337,0),0)</f>
        <v>0</v>
      </c>
      <c r="P337" s="206">
        <f t="shared" ref="P337:P400" si="100">IF(N337&gt;= 0,N337,0)</f>
        <v>0</v>
      </c>
      <c r="Q337" s="206">
        <f t="shared" ref="Q337:Q400" si="101">IF(N337&lt;0,N337,0)</f>
        <v>-0.2</v>
      </c>
      <c r="R3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166610</v>
      </c>
      <c r="T3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7" s="208">
        <f ca="1">IF(Tabla33610673[[#This Row],[Equity]]&lt;Tabla33610673[[#This Row],[Equity Peak]],(Tabla33610673[[#This Row],[Equity Peak]]-Tabla33610673[[#This Row],[Equity]])/Tabla33610673[[#This Row],[Equity Peak]],"")</f>
        <v>6.4409254267744839E-2</v>
      </c>
      <c r="V337" s="209">
        <f t="shared" ref="V337:V400" si="102">IF(B337="FX",N337,0)</f>
        <v>0</v>
      </c>
      <c r="W337" s="209">
        <f t="shared" ref="W337:W400" si="103">IF(D337="O",IF(V337&lt;0,V337,0),0)</f>
        <v>0</v>
      </c>
      <c r="X337" s="209">
        <f t="shared" ref="X337:X400" si="104">IF(B337="COM",N337,0)</f>
        <v>-0.2</v>
      </c>
      <c r="Y337" s="209">
        <f t="shared" ref="Y337:Y400" si="105">IF(D337="O",IF(X337&lt;0,X337,0),0)</f>
        <v>0</v>
      </c>
      <c r="Z337" s="209">
        <f t="shared" ref="Z337:Z400" si="106">IF(B337="IND",N337,0)</f>
        <v>0</v>
      </c>
      <c r="AA337" s="205">
        <f t="shared" ref="AA337:AA400" si="107">IF(D337="O",IF(Z337&lt;0,Z337,0),0)</f>
        <v>0</v>
      </c>
      <c r="AB337" s="209">
        <f t="shared" ref="AB337:AB400" si="108">IF(B337="CRYPTO",N337,0)</f>
        <v>0</v>
      </c>
      <c r="AC337" s="205">
        <f t="shared" ref="AC337:AC400" si="109">IF(D337="O",IF(AB337&lt;0,AB337,0),0)</f>
        <v>0</v>
      </c>
      <c r="AD337" s="210">
        <f t="shared" ref="AD337:AD400" si="110">IF(K337&lt;&gt;"",K337-E337,0)</f>
        <v>1.5895833333343035</v>
      </c>
      <c r="AE337" s="210">
        <f t="shared" ref="AE337:AE400" si="111">IF(N337&gt;0,AD337,0)</f>
        <v>0</v>
      </c>
      <c r="AF337" s="210">
        <f t="shared" ref="AF337:AF400" si="112">IF(N337&lt;0,AD337,0)</f>
        <v>1.5895833333343035</v>
      </c>
      <c r="AG337" s="210">
        <f t="shared" ref="AG337:AG400" si="113">IF(N337=0,AD337,0)</f>
        <v>0</v>
      </c>
    </row>
    <row r="338" spans="2:33" ht="15" customHeight="1" x14ac:dyDescent="0.3">
      <c r="B338" s="196" t="s">
        <v>84</v>
      </c>
      <c r="C338" s="197" t="s">
        <v>13</v>
      </c>
      <c r="D338" s="198" t="str">
        <f t="shared" si="95"/>
        <v>C</v>
      </c>
      <c r="E338" s="199">
        <v>44328.833333333336</v>
      </c>
      <c r="F338" s="200" t="s">
        <v>80</v>
      </c>
      <c r="G338" s="201">
        <v>55019.92</v>
      </c>
      <c r="H338" s="201">
        <v>58195.63</v>
      </c>
      <c r="I338" s="202">
        <f t="shared" si="96"/>
        <v>3175.7099999999991</v>
      </c>
      <c r="J338" s="201">
        <v>7384.21</v>
      </c>
      <c r="K338" s="199">
        <v>44336.681250000001</v>
      </c>
      <c r="L338" s="201">
        <v>42183.48</v>
      </c>
      <c r="M338" s="203">
        <f t="shared" si="97"/>
        <v>12836.44</v>
      </c>
      <c r="N338" s="204">
        <f t="shared" si="98"/>
        <v>4.04</v>
      </c>
      <c r="O338" s="205">
        <f t="shared" si="99"/>
        <v>0</v>
      </c>
      <c r="P338" s="206">
        <f t="shared" si="100"/>
        <v>4.04</v>
      </c>
      <c r="Q338" s="206">
        <f t="shared" si="101"/>
        <v>0</v>
      </c>
      <c r="R3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166810</v>
      </c>
      <c r="T3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8" s="208">
        <f ca="1">IF(Tabla33610673[[#This Row],[Equity]]&lt;Tabla33610673[[#This Row],[Equity Peak]],(Tabla33610673[[#This Row],[Equity Peak]]-Tabla33610673[[#This Row],[Equity]])/Tabla33610673[[#This Row],[Equity Peak]],"")</f>
        <v>6.3286163522012578E-2</v>
      </c>
      <c r="V338" s="209">
        <f t="shared" si="102"/>
        <v>0</v>
      </c>
      <c r="W338" s="209">
        <f t="shared" si="103"/>
        <v>0</v>
      </c>
      <c r="X338" s="209">
        <f t="shared" si="104"/>
        <v>0</v>
      </c>
      <c r="Y338" s="209">
        <f t="shared" si="105"/>
        <v>0</v>
      </c>
      <c r="Z338" s="209">
        <f t="shared" si="106"/>
        <v>0</v>
      </c>
      <c r="AA338" s="205">
        <f t="shared" si="107"/>
        <v>0</v>
      </c>
      <c r="AB338" s="209">
        <f t="shared" si="108"/>
        <v>4.04</v>
      </c>
      <c r="AC338" s="205">
        <f t="shared" si="109"/>
        <v>0</v>
      </c>
      <c r="AD338" s="210">
        <f t="shared" si="110"/>
        <v>7.8479166666656965</v>
      </c>
      <c r="AE338" s="210">
        <f t="shared" si="111"/>
        <v>7.8479166666656965</v>
      </c>
      <c r="AF338" s="210">
        <f t="shared" si="112"/>
        <v>0</v>
      </c>
      <c r="AG338" s="210">
        <f t="shared" si="113"/>
        <v>0</v>
      </c>
    </row>
    <row r="339" spans="2:33" ht="15" customHeight="1" x14ac:dyDescent="0.3">
      <c r="B339" s="196" t="s">
        <v>5</v>
      </c>
      <c r="C339" s="197" t="s">
        <v>13</v>
      </c>
      <c r="D339" s="198" t="str">
        <f t="shared" si="95"/>
        <v>C</v>
      </c>
      <c r="E339" s="199">
        <v>44335.423611111109</v>
      </c>
      <c r="F339" s="200" t="s">
        <v>90</v>
      </c>
      <c r="G339" s="201">
        <v>6922.04</v>
      </c>
      <c r="H339" s="201">
        <v>6972.33</v>
      </c>
      <c r="I339" s="202">
        <f t="shared" si="96"/>
        <v>50.289999999999964</v>
      </c>
      <c r="J339" s="201">
        <v>6251.45</v>
      </c>
      <c r="K339" s="199">
        <v>44336.143750000003</v>
      </c>
      <c r="L339" s="201">
        <v>6951.14</v>
      </c>
      <c r="M339" s="203">
        <f t="shared" si="97"/>
        <v>-29.1</v>
      </c>
      <c r="N339" s="204">
        <f t="shared" si="98"/>
        <v>-0.57999999999999996</v>
      </c>
      <c r="O339" s="205">
        <f t="shared" si="99"/>
        <v>0</v>
      </c>
      <c r="P339" s="206">
        <f t="shared" si="100"/>
        <v>0</v>
      </c>
      <c r="Q339" s="206">
        <f t="shared" si="101"/>
        <v>-0.57999999999999996</v>
      </c>
      <c r="R3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162770</v>
      </c>
      <c r="T3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39" s="208">
        <f ca="1">IF(Tabla33610673[[#This Row],[Equity]]&lt;Tabla33610673[[#This Row],[Equity Peak]],(Tabla33610673[[#This Row],[Equity Peak]]-Tabla33610673[[#This Row],[Equity]])/Tabla33610673[[#This Row],[Equity Peak]],"")</f>
        <v>8.597259658580414E-2</v>
      </c>
      <c r="V339" s="209">
        <f t="shared" si="102"/>
        <v>0</v>
      </c>
      <c r="W339" s="209">
        <f t="shared" si="103"/>
        <v>0</v>
      </c>
      <c r="X339" s="209">
        <f t="shared" si="104"/>
        <v>0</v>
      </c>
      <c r="Y339" s="209">
        <f t="shared" si="105"/>
        <v>0</v>
      </c>
      <c r="Z339" s="209">
        <f t="shared" si="106"/>
        <v>-0.57999999999999996</v>
      </c>
      <c r="AA339" s="205">
        <f t="shared" si="107"/>
        <v>0</v>
      </c>
      <c r="AB339" s="209">
        <f t="shared" si="108"/>
        <v>0</v>
      </c>
      <c r="AC339" s="205">
        <f t="shared" si="109"/>
        <v>0</v>
      </c>
      <c r="AD339" s="210">
        <f t="shared" si="110"/>
        <v>0.72013888889341615</v>
      </c>
      <c r="AE339" s="210">
        <f t="shared" si="111"/>
        <v>0</v>
      </c>
      <c r="AF339" s="210">
        <f t="shared" si="112"/>
        <v>0.72013888889341615</v>
      </c>
      <c r="AG339" s="210">
        <f t="shared" si="113"/>
        <v>0</v>
      </c>
    </row>
    <row r="340" spans="2:33" ht="15" customHeight="1" x14ac:dyDescent="0.3">
      <c r="B340" s="196" t="s">
        <v>5</v>
      </c>
      <c r="C340" s="197" t="s">
        <v>13</v>
      </c>
      <c r="D340" s="198" t="str">
        <f t="shared" si="95"/>
        <v>C</v>
      </c>
      <c r="E340" s="199">
        <v>44335.458333333336</v>
      </c>
      <c r="F340" s="200" t="s">
        <v>94</v>
      </c>
      <c r="G340" s="201">
        <v>6959.9</v>
      </c>
      <c r="H340" s="201">
        <v>7037.8</v>
      </c>
      <c r="I340" s="202">
        <f t="shared" si="96"/>
        <v>77.900000000000546</v>
      </c>
      <c r="J340" s="201">
        <v>6570.4</v>
      </c>
      <c r="K340" s="199">
        <v>44335.844444444447</v>
      </c>
      <c r="L340" s="201">
        <v>6984.24</v>
      </c>
      <c r="M340" s="203">
        <f t="shared" si="97"/>
        <v>-24.34</v>
      </c>
      <c r="N340" s="204">
        <f t="shared" si="98"/>
        <v>-0.31</v>
      </c>
      <c r="O340" s="205">
        <f t="shared" si="99"/>
        <v>0</v>
      </c>
      <c r="P340" s="206">
        <f t="shared" si="100"/>
        <v>0</v>
      </c>
      <c r="Q340" s="206">
        <f t="shared" si="101"/>
        <v>-0.31</v>
      </c>
      <c r="R3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163350</v>
      </c>
      <c r="T3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0" s="208">
        <f ca="1">IF(Tabla33610673[[#This Row],[Equity]]&lt;Tabla33610673[[#This Row],[Equity Peak]],(Tabla33610673[[#This Row],[Equity Peak]]-Tabla33610673[[#This Row],[Equity]])/Tabla33610673[[#This Row],[Equity Peak]],"")</f>
        <v>8.2715633423180598E-2</v>
      </c>
      <c r="V340" s="209">
        <f t="shared" si="102"/>
        <v>0</v>
      </c>
      <c r="W340" s="209">
        <f t="shared" si="103"/>
        <v>0</v>
      </c>
      <c r="X340" s="209">
        <f t="shared" si="104"/>
        <v>0</v>
      </c>
      <c r="Y340" s="209">
        <f t="shared" si="105"/>
        <v>0</v>
      </c>
      <c r="Z340" s="209">
        <f t="shared" si="106"/>
        <v>-0.31</v>
      </c>
      <c r="AA340" s="205">
        <f t="shared" si="107"/>
        <v>0</v>
      </c>
      <c r="AB340" s="209">
        <f t="shared" si="108"/>
        <v>0</v>
      </c>
      <c r="AC340" s="205">
        <f t="shared" si="109"/>
        <v>0</v>
      </c>
      <c r="AD340" s="210">
        <f t="shared" si="110"/>
        <v>0.38611111111094942</v>
      </c>
      <c r="AE340" s="210">
        <f t="shared" si="111"/>
        <v>0</v>
      </c>
      <c r="AF340" s="210">
        <f t="shared" si="112"/>
        <v>0.38611111111094942</v>
      </c>
      <c r="AG340" s="210">
        <f t="shared" si="113"/>
        <v>0</v>
      </c>
    </row>
    <row r="341" spans="2:33" ht="15" customHeight="1" x14ac:dyDescent="0.3">
      <c r="B341" s="196" t="s">
        <v>7</v>
      </c>
      <c r="C341" s="197" t="s">
        <v>13</v>
      </c>
      <c r="D341" s="198" t="str">
        <f t="shared" si="95"/>
        <v>C</v>
      </c>
      <c r="E341" s="199">
        <v>44326.666666666664</v>
      </c>
      <c r="F341" s="200" t="s">
        <v>120</v>
      </c>
      <c r="G341" s="201">
        <v>0.86029999999999995</v>
      </c>
      <c r="H341" s="201">
        <v>0.86392999999999998</v>
      </c>
      <c r="I341" s="202">
        <f t="shared" si="96"/>
        <v>3.6300000000000221E-3</v>
      </c>
      <c r="J341" s="201">
        <v>0.85062000000000004</v>
      </c>
      <c r="K341" s="199">
        <v>44335.697916666664</v>
      </c>
      <c r="L341" s="201">
        <v>0.86341000000000001</v>
      </c>
      <c r="M341" s="203">
        <f t="shared" si="97"/>
        <v>-3.0999999999999999E-3</v>
      </c>
      <c r="N341" s="204">
        <f t="shared" si="98"/>
        <v>-0.85</v>
      </c>
      <c r="O341" s="205">
        <f t="shared" si="99"/>
        <v>0</v>
      </c>
      <c r="P341" s="206">
        <f t="shared" si="100"/>
        <v>0</v>
      </c>
      <c r="Q341" s="206">
        <f t="shared" si="101"/>
        <v>-0.85</v>
      </c>
      <c r="R3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163660</v>
      </c>
      <c r="T3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1" s="208">
        <f ca="1">IF(Tabla33610673[[#This Row],[Equity]]&lt;Tabla33610673[[#This Row],[Equity Peak]],(Tabla33610673[[#This Row],[Equity Peak]]-Tabla33610673[[#This Row],[Equity]])/Tabla33610673[[#This Row],[Equity Peak]],"")</f>
        <v>8.0974842767295593E-2</v>
      </c>
      <c r="V341" s="209">
        <f t="shared" si="102"/>
        <v>-0.85</v>
      </c>
      <c r="W341" s="209">
        <f t="shared" si="103"/>
        <v>0</v>
      </c>
      <c r="X341" s="209">
        <f t="shared" si="104"/>
        <v>0</v>
      </c>
      <c r="Y341" s="209">
        <f t="shared" si="105"/>
        <v>0</v>
      </c>
      <c r="Z341" s="209">
        <f t="shared" si="106"/>
        <v>0</v>
      </c>
      <c r="AA341" s="205">
        <f t="shared" si="107"/>
        <v>0</v>
      </c>
      <c r="AB341" s="209">
        <f t="shared" si="108"/>
        <v>0</v>
      </c>
      <c r="AC341" s="205">
        <f t="shared" si="109"/>
        <v>0</v>
      </c>
      <c r="AD341" s="210">
        <f t="shared" si="110"/>
        <v>9.03125</v>
      </c>
      <c r="AE341" s="210">
        <f t="shared" si="111"/>
        <v>0</v>
      </c>
      <c r="AF341" s="210">
        <f t="shared" si="112"/>
        <v>9.03125</v>
      </c>
      <c r="AG341" s="210">
        <f t="shared" si="113"/>
        <v>0</v>
      </c>
    </row>
    <row r="342" spans="2:33" ht="15" customHeight="1" x14ac:dyDescent="0.3">
      <c r="B342" s="196" t="s">
        <v>7</v>
      </c>
      <c r="C342" s="197" t="s">
        <v>15</v>
      </c>
      <c r="D342" s="198" t="str">
        <f t="shared" si="95"/>
        <v>C</v>
      </c>
      <c r="E342" s="199">
        <v>44326.666666666664</v>
      </c>
      <c r="F342" s="200" t="s">
        <v>116</v>
      </c>
      <c r="G342" s="201">
        <v>153.78299999999999</v>
      </c>
      <c r="H342" s="201">
        <v>152.43899999999999</v>
      </c>
      <c r="I342" s="202">
        <f t="shared" si="96"/>
        <v>1.3439999999999941</v>
      </c>
      <c r="J342" s="201">
        <v>161.309</v>
      </c>
      <c r="K342" s="199">
        <v>44335.67291666667</v>
      </c>
      <c r="L342" s="201">
        <v>153.959</v>
      </c>
      <c r="M342" s="203">
        <f t="shared" si="97"/>
        <v>0.17599999999999999</v>
      </c>
      <c r="N342" s="204">
        <f t="shared" si="98"/>
        <v>0.13</v>
      </c>
      <c r="O342" s="205">
        <f t="shared" si="99"/>
        <v>0</v>
      </c>
      <c r="P342" s="206">
        <f t="shared" si="100"/>
        <v>0.13</v>
      </c>
      <c r="Q342" s="206">
        <f t="shared" si="101"/>
        <v>0</v>
      </c>
      <c r="R3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164510</v>
      </c>
      <c r="T3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2" s="208">
        <f ca="1">IF(Tabla33610673[[#This Row],[Equity]]&lt;Tabla33610673[[#This Row],[Equity Peak]],(Tabla33610673[[#This Row],[Equity Peak]]-Tabla33610673[[#This Row],[Equity]])/Tabla33610673[[#This Row],[Equity Peak]],"")</f>
        <v>7.6201707097933516E-2</v>
      </c>
      <c r="V342" s="209">
        <f t="shared" si="102"/>
        <v>0.13</v>
      </c>
      <c r="W342" s="209">
        <f t="shared" si="103"/>
        <v>0</v>
      </c>
      <c r="X342" s="209">
        <f t="shared" si="104"/>
        <v>0</v>
      </c>
      <c r="Y342" s="209">
        <f t="shared" si="105"/>
        <v>0</v>
      </c>
      <c r="Z342" s="209">
        <f t="shared" si="106"/>
        <v>0</v>
      </c>
      <c r="AA342" s="205">
        <f t="shared" si="107"/>
        <v>0</v>
      </c>
      <c r="AB342" s="209">
        <f t="shared" si="108"/>
        <v>0</v>
      </c>
      <c r="AC342" s="205">
        <f t="shared" si="109"/>
        <v>0</v>
      </c>
      <c r="AD342" s="210">
        <f t="shared" si="110"/>
        <v>9.0062500000058208</v>
      </c>
      <c r="AE342" s="210">
        <f t="shared" si="111"/>
        <v>9.0062500000058208</v>
      </c>
      <c r="AF342" s="210">
        <f t="shared" si="112"/>
        <v>0</v>
      </c>
      <c r="AG342" s="210">
        <f t="shared" si="113"/>
        <v>0</v>
      </c>
    </row>
    <row r="343" spans="2:33" ht="15" customHeight="1" x14ac:dyDescent="0.3">
      <c r="B343" s="196" t="s">
        <v>5</v>
      </c>
      <c r="C343" s="197" t="s">
        <v>15</v>
      </c>
      <c r="D343" s="198" t="str">
        <f t="shared" si="95"/>
        <v>C</v>
      </c>
      <c r="E343" s="199">
        <v>44330.135416666664</v>
      </c>
      <c r="F343" s="200" t="s">
        <v>91</v>
      </c>
      <c r="G343" s="201">
        <v>15261.01</v>
      </c>
      <c r="H343" s="201">
        <v>14745.53</v>
      </c>
      <c r="I343" s="202">
        <f t="shared" si="96"/>
        <v>515.47999999999956</v>
      </c>
      <c r="J343" s="201">
        <v>17322.91</v>
      </c>
      <c r="K343" s="199">
        <v>44335.666666666664</v>
      </c>
      <c r="L343" s="201">
        <v>15039.42</v>
      </c>
      <c r="M343" s="203">
        <f t="shared" si="97"/>
        <v>-221.59</v>
      </c>
      <c r="N343" s="204">
        <f t="shared" si="98"/>
        <v>-0.43</v>
      </c>
      <c r="O343" s="205">
        <f t="shared" si="99"/>
        <v>0</v>
      </c>
      <c r="P343" s="206">
        <f t="shared" si="100"/>
        <v>0</v>
      </c>
      <c r="Q343" s="206">
        <f t="shared" si="101"/>
        <v>-0.43</v>
      </c>
      <c r="R3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164380</v>
      </c>
      <c r="T3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3" s="208">
        <f ca="1">IF(Tabla33610673[[#This Row],[Equity]]&lt;Tabla33610673[[#This Row],[Equity Peak]],(Tabla33610673[[#This Row],[Equity Peak]]-Tabla33610673[[#This Row],[Equity]])/Tabla33610673[[#This Row],[Equity Peak]],"")</f>
        <v>7.6931716082659474E-2</v>
      </c>
      <c r="V343" s="209">
        <f t="shared" si="102"/>
        <v>0</v>
      </c>
      <c r="W343" s="209">
        <f t="shared" si="103"/>
        <v>0</v>
      </c>
      <c r="X343" s="209">
        <f t="shared" si="104"/>
        <v>0</v>
      </c>
      <c r="Y343" s="209">
        <f t="shared" si="105"/>
        <v>0</v>
      </c>
      <c r="Z343" s="209">
        <f t="shared" si="106"/>
        <v>-0.43</v>
      </c>
      <c r="AA343" s="205">
        <f t="shared" si="107"/>
        <v>0</v>
      </c>
      <c r="AB343" s="209">
        <f t="shared" si="108"/>
        <v>0</v>
      </c>
      <c r="AC343" s="205">
        <f t="shared" si="109"/>
        <v>0</v>
      </c>
      <c r="AD343" s="210">
        <f t="shared" si="110"/>
        <v>5.53125</v>
      </c>
      <c r="AE343" s="210">
        <f t="shared" si="111"/>
        <v>0</v>
      </c>
      <c r="AF343" s="210">
        <f t="shared" si="112"/>
        <v>5.53125</v>
      </c>
      <c r="AG343" s="210">
        <f t="shared" si="113"/>
        <v>0</v>
      </c>
    </row>
    <row r="344" spans="2:33" ht="15" customHeight="1" x14ac:dyDescent="0.3">
      <c r="B344" s="196" t="s">
        <v>7</v>
      </c>
      <c r="C344" s="197" t="s">
        <v>15</v>
      </c>
      <c r="D344" s="198" t="str">
        <f t="shared" si="95"/>
        <v>C</v>
      </c>
      <c r="E344" s="199">
        <v>44334.666666666664</v>
      </c>
      <c r="F344" s="200" t="s">
        <v>122</v>
      </c>
      <c r="G344" s="201">
        <v>0.78056000000000003</v>
      </c>
      <c r="H344" s="201">
        <v>0.77693999999999996</v>
      </c>
      <c r="I344" s="202">
        <f t="shared" si="96"/>
        <v>3.6200000000000676E-3</v>
      </c>
      <c r="J344" s="201">
        <v>0.79986000000000002</v>
      </c>
      <c r="K344" s="199">
        <v>44335.433333333334</v>
      </c>
      <c r="L344" s="201">
        <v>0.77693999999999996</v>
      </c>
      <c r="M344" s="203">
        <f t="shared" si="97"/>
        <v>-3.5999999999999999E-3</v>
      </c>
      <c r="N344" s="204">
        <f t="shared" si="98"/>
        <v>-0.99</v>
      </c>
      <c r="O344" s="205">
        <f t="shared" si="99"/>
        <v>0</v>
      </c>
      <c r="P344" s="206">
        <f t="shared" si="100"/>
        <v>0</v>
      </c>
      <c r="Q344" s="206">
        <f t="shared" si="101"/>
        <v>-0.99</v>
      </c>
      <c r="R3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164810</v>
      </c>
      <c r="T3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4" s="208">
        <f ca="1">IF(Tabla33610673[[#This Row],[Equity]]&lt;Tabla33610673[[#This Row],[Equity Peak]],(Tabla33610673[[#This Row],[Equity Peak]]-Tabla33610673[[#This Row],[Equity]])/Tabla33610673[[#This Row],[Equity Peak]],"")</f>
        <v>7.4517070979335132E-2</v>
      </c>
      <c r="V344" s="209">
        <f t="shared" si="102"/>
        <v>-0.99</v>
      </c>
      <c r="W344" s="209">
        <f t="shared" si="103"/>
        <v>0</v>
      </c>
      <c r="X344" s="209">
        <f t="shared" si="104"/>
        <v>0</v>
      </c>
      <c r="Y344" s="209">
        <f t="shared" si="105"/>
        <v>0</v>
      </c>
      <c r="Z344" s="209">
        <f t="shared" si="106"/>
        <v>0</v>
      </c>
      <c r="AA344" s="205">
        <f t="shared" si="107"/>
        <v>0</v>
      </c>
      <c r="AB344" s="209">
        <f t="shared" si="108"/>
        <v>0</v>
      </c>
      <c r="AC344" s="205">
        <f t="shared" si="109"/>
        <v>0</v>
      </c>
      <c r="AD344" s="210">
        <f t="shared" si="110"/>
        <v>0.76666666667006211</v>
      </c>
      <c r="AE344" s="210">
        <f t="shared" si="111"/>
        <v>0</v>
      </c>
      <c r="AF344" s="210">
        <f t="shared" si="112"/>
        <v>0.76666666667006211</v>
      </c>
      <c r="AG344" s="210">
        <f t="shared" si="113"/>
        <v>0</v>
      </c>
    </row>
    <row r="345" spans="2:33" ht="15" customHeight="1" x14ac:dyDescent="0.3">
      <c r="B345" s="196" t="s">
        <v>5</v>
      </c>
      <c r="C345" s="197" t="s">
        <v>15</v>
      </c>
      <c r="D345" s="198" t="str">
        <f t="shared" si="95"/>
        <v>C</v>
      </c>
      <c r="E345" s="199">
        <v>44330.541666666664</v>
      </c>
      <c r="F345" s="200" t="s">
        <v>95</v>
      </c>
      <c r="G345" s="201">
        <v>34174.589999999997</v>
      </c>
      <c r="H345" s="201">
        <v>33945.21</v>
      </c>
      <c r="I345" s="202">
        <f t="shared" si="96"/>
        <v>229.37999999999738</v>
      </c>
      <c r="J345" s="201">
        <v>35092.120000000003</v>
      </c>
      <c r="K345" s="199">
        <v>44335.125</v>
      </c>
      <c r="L345" s="201">
        <v>33945.21</v>
      </c>
      <c r="M345" s="203">
        <f t="shared" si="97"/>
        <v>-229.38</v>
      </c>
      <c r="N345" s="204">
        <f t="shared" si="98"/>
        <v>-1</v>
      </c>
      <c r="O345" s="205">
        <f t="shared" si="99"/>
        <v>0</v>
      </c>
      <c r="P345" s="206">
        <f t="shared" si="100"/>
        <v>0</v>
      </c>
      <c r="Q345" s="206">
        <f t="shared" si="101"/>
        <v>-1</v>
      </c>
      <c r="R3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165800</v>
      </c>
      <c r="T3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5" s="208">
        <f ca="1">IF(Tabla33610673[[#This Row],[Equity]]&lt;Tabla33610673[[#This Row],[Equity Peak]],(Tabla33610673[[#This Row],[Equity Peak]]-Tabla33610673[[#This Row],[Equity]])/Tabla33610673[[#This Row],[Equity Peak]],"")</f>
        <v>6.8957771787960462E-2</v>
      </c>
      <c r="V345" s="209">
        <f t="shared" si="102"/>
        <v>0</v>
      </c>
      <c r="W345" s="209">
        <f t="shared" si="103"/>
        <v>0</v>
      </c>
      <c r="X345" s="209">
        <f t="shared" si="104"/>
        <v>0</v>
      </c>
      <c r="Y345" s="209">
        <f t="shared" si="105"/>
        <v>0</v>
      </c>
      <c r="Z345" s="209">
        <f t="shared" si="106"/>
        <v>-1</v>
      </c>
      <c r="AA345" s="205">
        <f t="shared" si="107"/>
        <v>0</v>
      </c>
      <c r="AB345" s="209">
        <f t="shared" si="108"/>
        <v>0</v>
      </c>
      <c r="AC345" s="205">
        <f t="shared" si="109"/>
        <v>0</v>
      </c>
      <c r="AD345" s="210">
        <f t="shared" si="110"/>
        <v>4.5833333333357587</v>
      </c>
      <c r="AE345" s="210">
        <f t="shared" si="111"/>
        <v>0</v>
      </c>
      <c r="AF345" s="210">
        <f t="shared" si="112"/>
        <v>4.5833333333357587</v>
      </c>
      <c r="AG345" s="210">
        <f t="shared" si="113"/>
        <v>0</v>
      </c>
    </row>
    <row r="346" spans="2:33" ht="15" customHeight="1" x14ac:dyDescent="0.3">
      <c r="B346" s="196" t="s">
        <v>5</v>
      </c>
      <c r="C346" s="197" t="s">
        <v>15</v>
      </c>
      <c r="D346" s="198" t="str">
        <f t="shared" si="95"/>
        <v>C</v>
      </c>
      <c r="E346" s="199">
        <v>44330.791666666664</v>
      </c>
      <c r="F346" s="200" t="s">
        <v>94</v>
      </c>
      <c r="G346" s="201">
        <v>7034.3</v>
      </c>
      <c r="H346" s="201">
        <v>6915.49</v>
      </c>
      <c r="I346" s="202">
        <f t="shared" si="96"/>
        <v>118.8100000000004</v>
      </c>
      <c r="J346" s="201">
        <v>7628.35</v>
      </c>
      <c r="K346" s="199">
        <v>44334.90625</v>
      </c>
      <c r="L346" s="201">
        <v>7012.73</v>
      </c>
      <c r="M346" s="203">
        <f t="shared" si="97"/>
        <v>-21.57</v>
      </c>
      <c r="N346" s="204">
        <f t="shared" si="98"/>
        <v>-0.18</v>
      </c>
      <c r="O346" s="205">
        <f t="shared" si="99"/>
        <v>0</v>
      </c>
      <c r="P346" s="206">
        <f t="shared" si="100"/>
        <v>0</v>
      </c>
      <c r="Q346" s="206">
        <f t="shared" si="101"/>
        <v>-0.18</v>
      </c>
      <c r="R3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166800</v>
      </c>
      <c r="T3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6" s="208">
        <f ca="1">IF(Tabla33610673[[#This Row],[Equity]]&lt;Tabla33610673[[#This Row],[Equity Peak]],(Tabla33610673[[#This Row],[Equity Peak]]-Tabla33610673[[#This Row],[Equity]])/Tabla33610673[[#This Row],[Equity Peak]],"")</f>
        <v>6.3342318059299185E-2</v>
      </c>
      <c r="V346" s="209">
        <f t="shared" si="102"/>
        <v>0</v>
      </c>
      <c r="W346" s="209">
        <f t="shared" si="103"/>
        <v>0</v>
      </c>
      <c r="X346" s="209">
        <f t="shared" si="104"/>
        <v>0</v>
      </c>
      <c r="Y346" s="209">
        <f t="shared" si="105"/>
        <v>0</v>
      </c>
      <c r="Z346" s="209">
        <f t="shared" si="106"/>
        <v>-0.18</v>
      </c>
      <c r="AA346" s="205">
        <f t="shared" si="107"/>
        <v>0</v>
      </c>
      <c r="AB346" s="209">
        <f t="shared" si="108"/>
        <v>0</v>
      </c>
      <c r="AC346" s="205">
        <f t="shared" si="109"/>
        <v>0</v>
      </c>
      <c r="AD346" s="210">
        <f t="shared" si="110"/>
        <v>4.1145833333357587</v>
      </c>
      <c r="AE346" s="210">
        <f t="shared" si="111"/>
        <v>0</v>
      </c>
      <c r="AF346" s="210">
        <f t="shared" si="112"/>
        <v>4.1145833333357587</v>
      </c>
      <c r="AG346" s="210">
        <f t="shared" si="113"/>
        <v>0</v>
      </c>
    </row>
    <row r="347" spans="2:33" ht="15" customHeight="1" x14ac:dyDescent="0.3">
      <c r="B347" s="196" t="s">
        <v>19</v>
      </c>
      <c r="C347" s="197" t="s">
        <v>15</v>
      </c>
      <c r="D347" s="198" t="str">
        <f t="shared" si="95"/>
        <v>C</v>
      </c>
      <c r="E347" s="199">
        <v>44334.458333333336</v>
      </c>
      <c r="F347" s="200" t="s">
        <v>108</v>
      </c>
      <c r="G347" s="201">
        <v>66.832999999999998</v>
      </c>
      <c r="H347" s="201">
        <v>64.956999999999994</v>
      </c>
      <c r="I347" s="202">
        <f t="shared" si="96"/>
        <v>1.8760000000000048</v>
      </c>
      <c r="J347" s="201">
        <v>89.350999999999999</v>
      </c>
      <c r="K347" s="199">
        <v>44334.713194444441</v>
      </c>
      <c r="L347" s="201">
        <v>65.677000000000007</v>
      </c>
      <c r="M347" s="203">
        <f t="shared" si="97"/>
        <v>-1.1559999999999999</v>
      </c>
      <c r="N347" s="204">
        <f t="shared" si="98"/>
        <v>-0.62</v>
      </c>
      <c r="O347" s="205">
        <f t="shared" si="99"/>
        <v>0</v>
      </c>
      <c r="P347" s="206">
        <f t="shared" si="100"/>
        <v>0</v>
      </c>
      <c r="Q347" s="206">
        <f t="shared" si="101"/>
        <v>-0.62</v>
      </c>
      <c r="R3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166980</v>
      </c>
      <c r="T3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7" s="208">
        <f ca="1">IF(Tabla33610673[[#This Row],[Equity]]&lt;Tabla33610673[[#This Row],[Equity Peak]],(Tabla33610673[[#This Row],[Equity Peak]]-Tabla33610673[[#This Row],[Equity]])/Tabla33610673[[#This Row],[Equity Peak]],"")</f>
        <v>6.2331536388140159E-2</v>
      </c>
      <c r="V347" s="209">
        <f t="shared" si="102"/>
        <v>0</v>
      </c>
      <c r="W347" s="209">
        <f t="shared" si="103"/>
        <v>0</v>
      </c>
      <c r="X347" s="209">
        <f t="shared" si="104"/>
        <v>-0.62</v>
      </c>
      <c r="Y347" s="209">
        <f t="shared" si="105"/>
        <v>0</v>
      </c>
      <c r="Z347" s="209">
        <f t="shared" si="106"/>
        <v>0</v>
      </c>
      <c r="AA347" s="205">
        <f t="shared" si="107"/>
        <v>0</v>
      </c>
      <c r="AB347" s="209">
        <f t="shared" si="108"/>
        <v>0</v>
      </c>
      <c r="AC347" s="205">
        <f t="shared" si="109"/>
        <v>0</v>
      </c>
      <c r="AD347" s="210">
        <f t="shared" si="110"/>
        <v>0.25486111110512866</v>
      </c>
      <c r="AE347" s="210">
        <f t="shared" si="111"/>
        <v>0</v>
      </c>
      <c r="AF347" s="210">
        <f t="shared" si="112"/>
        <v>0.25486111110512866</v>
      </c>
      <c r="AG347" s="210">
        <f t="shared" si="113"/>
        <v>0</v>
      </c>
    </row>
    <row r="348" spans="2:33" ht="15" customHeight="1" x14ac:dyDescent="0.3">
      <c r="B348" s="196" t="s">
        <v>7</v>
      </c>
      <c r="C348" s="197" t="s">
        <v>15</v>
      </c>
      <c r="D348" s="198" t="str">
        <f t="shared" si="95"/>
        <v>C</v>
      </c>
      <c r="E348" s="199">
        <v>44328.5</v>
      </c>
      <c r="F348" s="200" t="s">
        <v>121</v>
      </c>
      <c r="G348" s="201">
        <v>1.5547800000000001</v>
      </c>
      <c r="H348" s="201">
        <v>1.5488200000000001</v>
      </c>
      <c r="I348" s="202">
        <f t="shared" si="96"/>
        <v>5.9599999999999653E-3</v>
      </c>
      <c r="J348" s="201">
        <v>1.61835</v>
      </c>
      <c r="K348" s="199">
        <v>44334.214583333334</v>
      </c>
      <c r="L348" s="201">
        <v>1.5607800000000001</v>
      </c>
      <c r="M348" s="203">
        <f t="shared" si="97"/>
        <v>6.0000000000000001E-3</v>
      </c>
      <c r="N348" s="204">
        <f t="shared" si="98"/>
        <v>1.01</v>
      </c>
      <c r="O348" s="205">
        <f t="shared" si="99"/>
        <v>0</v>
      </c>
      <c r="P348" s="206">
        <f t="shared" si="100"/>
        <v>1.01</v>
      </c>
      <c r="Q348" s="206">
        <f t="shared" si="101"/>
        <v>0</v>
      </c>
      <c r="R3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167600</v>
      </c>
      <c r="T3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8" s="208">
        <f ca="1">IF(Tabla33610673[[#This Row],[Equity]]&lt;Tabla33610673[[#This Row],[Equity Peak]],(Tabla33610673[[#This Row],[Equity Peak]]-Tabla33610673[[#This Row],[Equity]])/Tabla33610673[[#This Row],[Equity Peak]],"")</f>
        <v>5.884995507637017E-2</v>
      </c>
      <c r="V348" s="209">
        <f t="shared" si="102"/>
        <v>1.01</v>
      </c>
      <c r="W348" s="209">
        <f t="shared" si="103"/>
        <v>0</v>
      </c>
      <c r="X348" s="209">
        <f t="shared" si="104"/>
        <v>0</v>
      </c>
      <c r="Y348" s="209">
        <f t="shared" si="105"/>
        <v>0</v>
      </c>
      <c r="Z348" s="209">
        <f t="shared" si="106"/>
        <v>0</v>
      </c>
      <c r="AA348" s="205">
        <f t="shared" si="107"/>
        <v>0</v>
      </c>
      <c r="AB348" s="209">
        <f t="shared" si="108"/>
        <v>0</v>
      </c>
      <c r="AC348" s="205">
        <f t="shared" si="109"/>
        <v>0</v>
      </c>
      <c r="AD348" s="210">
        <f t="shared" si="110"/>
        <v>5.7145833333343035</v>
      </c>
      <c r="AE348" s="210">
        <f t="shared" si="111"/>
        <v>5.7145833333343035</v>
      </c>
      <c r="AF348" s="210">
        <f t="shared" si="112"/>
        <v>0</v>
      </c>
      <c r="AG348" s="210">
        <f t="shared" si="113"/>
        <v>0</v>
      </c>
    </row>
    <row r="349" spans="2:33" ht="15" customHeight="1" x14ac:dyDescent="0.3">
      <c r="B349" s="196" t="s">
        <v>7</v>
      </c>
      <c r="C349" s="197" t="s">
        <v>15</v>
      </c>
      <c r="D349" s="198" t="str">
        <f t="shared" si="95"/>
        <v>C</v>
      </c>
      <c r="E349" s="199">
        <v>44328.833333333336</v>
      </c>
      <c r="F349" s="200" t="s">
        <v>114</v>
      </c>
      <c r="G349" s="201">
        <v>109.631</v>
      </c>
      <c r="H349" s="201">
        <v>108.717</v>
      </c>
      <c r="I349" s="202">
        <f t="shared" si="96"/>
        <v>0.91400000000000148</v>
      </c>
      <c r="J349" s="201">
        <v>113.89400000000001</v>
      </c>
      <c r="K349" s="199">
        <v>44330.645833333336</v>
      </c>
      <c r="L349" s="201">
        <v>109.236</v>
      </c>
      <c r="M349" s="203">
        <f t="shared" si="97"/>
        <v>-0.39500000000000002</v>
      </c>
      <c r="N349" s="204">
        <f t="shared" si="98"/>
        <v>-0.43</v>
      </c>
      <c r="O349" s="205">
        <f t="shared" si="99"/>
        <v>0</v>
      </c>
      <c r="P349" s="206">
        <f t="shared" si="100"/>
        <v>0</v>
      </c>
      <c r="Q349" s="206">
        <f t="shared" si="101"/>
        <v>-0.43</v>
      </c>
      <c r="R3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166590</v>
      </c>
      <c r="T3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49" s="208">
        <f ca="1">IF(Tabla33610673[[#This Row],[Equity]]&lt;Tabla33610673[[#This Row],[Equity Peak]],(Tabla33610673[[#This Row],[Equity Peak]]-Tabla33610673[[#This Row],[Equity]])/Tabla33610673[[#This Row],[Equity Peak]],"")</f>
        <v>6.4521563342318053E-2</v>
      </c>
      <c r="V349" s="209">
        <f t="shared" si="102"/>
        <v>-0.43</v>
      </c>
      <c r="W349" s="209">
        <f t="shared" si="103"/>
        <v>0</v>
      </c>
      <c r="X349" s="209">
        <f t="shared" si="104"/>
        <v>0</v>
      </c>
      <c r="Y349" s="209">
        <f t="shared" si="105"/>
        <v>0</v>
      </c>
      <c r="Z349" s="209">
        <f t="shared" si="106"/>
        <v>0</v>
      </c>
      <c r="AA349" s="205">
        <f t="shared" si="107"/>
        <v>0</v>
      </c>
      <c r="AB349" s="209">
        <f t="shared" si="108"/>
        <v>0</v>
      </c>
      <c r="AC349" s="205">
        <f t="shared" si="109"/>
        <v>0</v>
      </c>
      <c r="AD349" s="210">
        <f t="shared" si="110"/>
        <v>1.8125</v>
      </c>
      <c r="AE349" s="210">
        <f t="shared" si="111"/>
        <v>0</v>
      </c>
      <c r="AF349" s="210">
        <f t="shared" si="112"/>
        <v>1.8125</v>
      </c>
      <c r="AG349" s="210">
        <f t="shared" si="113"/>
        <v>0</v>
      </c>
    </row>
    <row r="350" spans="2:33" ht="15" customHeight="1" x14ac:dyDescent="0.3">
      <c r="B350" s="196" t="s">
        <v>84</v>
      </c>
      <c r="C350" s="197" t="s">
        <v>15</v>
      </c>
      <c r="D350" s="198" t="str">
        <f t="shared" si="95"/>
        <v>C</v>
      </c>
      <c r="E350" s="199">
        <v>44328.166666666664</v>
      </c>
      <c r="F350" s="200" t="s">
        <v>80</v>
      </c>
      <c r="G350" s="201">
        <v>57412.92</v>
      </c>
      <c r="H350" s="201">
        <v>54370.21</v>
      </c>
      <c r="I350" s="202">
        <f t="shared" si="96"/>
        <v>3042.7099999999991</v>
      </c>
      <c r="J350" s="201">
        <v>103053.63</v>
      </c>
      <c r="K350" s="199">
        <v>44328.79791666667</v>
      </c>
      <c r="L350" s="201">
        <v>55141.85</v>
      </c>
      <c r="M350" s="203">
        <f t="shared" si="97"/>
        <v>-2271.0700000000002</v>
      </c>
      <c r="N350" s="204">
        <f t="shared" si="98"/>
        <v>-0.75</v>
      </c>
      <c r="O350" s="205">
        <f t="shared" si="99"/>
        <v>0</v>
      </c>
      <c r="P350" s="206">
        <f t="shared" si="100"/>
        <v>0</v>
      </c>
      <c r="Q350" s="206">
        <f t="shared" si="101"/>
        <v>-0.75</v>
      </c>
      <c r="R3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167020</v>
      </c>
      <c r="T3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0" s="208">
        <f ca="1">IF(Tabla33610673[[#This Row],[Equity]]&lt;Tabla33610673[[#This Row],[Equity Peak]],(Tabla33610673[[#This Row],[Equity Peak]]-Tabla33610673[[#This Row],[Equity]])/Tabla33610673[[#This Row],[Equity Peak]],"")</f>
        <v>6.2106918238993711E-2</v>
      </c>
      <c r="V350" s="209">
        <f t="shared" si="102"/>
        <v>0</v>
      </c>
      <c r="W350" s="209">
        <f t="shared" si="103"/>
        <v>0</v>
      </c>
      <c r="X350" s="209">
        <f t="shared" si="104"/>
        <v>0</v>
      </c>
      <c r="Y350" s="209">
        <f t="shared" si="105"/>
        <v>0</v>
      </c>
      <c r="Z350" s="209">
        <f t="shared" si="106"/>
        <v>0</v>
      </c>
      <c r="AA350" s="205">
        <f t="shared" si="107"/>
        <v>0</v>
      </c>
      <c r="AB350" s="209">
        <f t="shared" si="108"/>
        <v>-0.75</v>
      </c>
      <c r="AC350" s="205">
        <f t="shared" si="109"/>
        <v>0</v>
      </c>
      <c r="AD350" s="210">
        <f t="shared" si="110"/>
        <v>0.63125000000582077</v>
      </c>
      <c r="AE350" s="210">
        <f t="shared" si="111"/>
        <v>0</v>
      </c>
      <c r="AF350" s="210">
        <f t="shared" si="112"/>
        <v>0.63125000000582077</v>
      </c>
      <c r="AG350" s="210">
        <f t="shared" si="113"/>
        <v>0</v>
      </c>
    </row>
    <row r="351" spans="2:33" ht="15" customHeight="1" x14ac:dyDescent="0.3">
      <c r="B351" s="196" t="s">
        <v>7</v>
      </c>
      <c r="C351" s="197" t="s">
        <v>15</v>
      </c>
      <c r="D351" s="198" t="str">
        <f t="shared" si="95"/>
        <v>C</v>
      </c>
      <c r="E351" s="199">
        <v>44323.017361111109</v>
      </c>
      <c r="F351" s="200" t="s">
        <v>122</v>
      </c>
      <c r="G351" s="201">
        <v>0.77832000000000001</v>
      </c>
      <c r="H351" s="201">
        <v>0.77424000000000004</v>
      </c>
      <c r="I351" s="202">
        <f t="shared" si="96"/>
        <v>4.0799999999999725E-3</v>
      </c>
      <c r="J351" s="201">
        <v>0.80005999999999999</v>
      </c>
      <c r="K351" s="199">
        <v>44328.650694444441</v>
      </c>
      <c r="L351" s="201">
        <v>0.77783999999999998</v>
      </c>
      <c r="M351" s="203">
        <f t="shared" si="97"/>
        <v>-5.0000000000000001E-4</v>
      </c>
      <c r="N351" s="204">
        <f t="shared" si="98"/>
        <v>-0.12</v>
      </c>
      <c r="O351" s="205">
        <f t="shared" si="99"/>
        <v>0</v>
      </c>
      <c r="P351" s="206">
        <f t="shared" si="100"/>
        <v>0</v>
      </c>
      <c r="Q351" s="206">
        <f t="shared" si="101"/>
        <v>-0.12</v>
      </c>
      <c r="R3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167770</v>
      </c>
      <c r="T3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1" s="208">
        <f ca="1">IF(Tabla33610673[[#This Row],[Equity]]&lt;Tabla33610673[[#This Row],[Equity Peak]],(Tabla33610673[[#This Row],[Equity Peak]]-Tabla33610673[[#This Row],[Equity]])/Tabla33610673[[#This Row],[Equity Peak]],"")</f>
        <v>5.7895327942497757E-2</v>
      </c>
      <c r="V351" s="209">
        <f t="shared" si="102"/>
        <v>-0.12</v>
      </c>
      <c r="W351" s="209">
        <f t="shared" si="103"/>
        <v>0</v>
      </c>
      <c r="X351" s="209">
        <f t="shared" si="104"/>
        <v>0</v>
      </c>
      <c r="Y351" s="209">
        <f t="shared" si="105"/>
        <v>0</v>
      </c>
      <c r="Z351" s="209">
        <f t="shared" si="106"/>
        <v>0</v>
      </c>
      <c r="AA351" s="205">
        <f t="shared" si="107"/>
        <v>0</v>
      </c>
      <c r="AB351" s="209">
        <f t="shared" si="108"/>
        <v>0</v>
      </c>
      <c r="AC351" s="205">
        <f t="shared" si="109"/>
        <v>0</v>
      </c>
      <c r="AD351" s="210">
        <f t="shared" si="110"/>
        <v>5.6333333333313931</v>
      </c>
      <c r="AE351" s="210">
        <f t="shared" si="111"/>
        <v>0</v>
      </c>
      <c r="AF351" s="210">
        <f t="shared" si="112"/>
        <v>5.6333333333313931</v>
      </c>
      <c r="AG351" s="210">
        <f t="shared" si="113"/>
        <v>0</v>
      </c>
    </row>
    <row r="352" spans="2:33" ht="15" customHeight="1" x14ac:dyDescent="0.3">
      <c r="B352" s="196" t="s">
        <v>5</v>
      </c>
      <c r="C352" s="197" t="s">
        <v>13</v>
      </c>
      <c r="D352" s="198" t="str">
        <f t="shared" si="95"/>
        <v>C</v>
      </c>
      <c r="E352" s="199">
        <v>44327.791666666664</v>
      </c>
      <c r="F352" s="200" t="s">
        <v>94</v>
      </c>
      <c r="G352" s="201">
        <v>6955.2</v>
      </c>
      <c r="H352" s="201">
        <v>7041.84</v>
      </c>
      <c r="I352" s="202">
        <f t="shared" si="96"/>
        <v>86.640000000000327</v>
      </c>
      <c r="J352" s="201">
        <v>6521.98</v>
      </c>
      <c r="K352" s="199">
        <v>44328.433333333334</v>
      </c>
      <c r="L352" s="201">
        <v>6984.1</v>
      </c>
      <c r="M352" s="203">
        <f t="shared" si="97"/>
        <v>-28.9</v>
      </c>
      <c r="N352" s="204">
        <f t="shared" si="98"/>
        <v>-0.33</v>
      </c>
      <c r="O352" s="205">
        <f t="shared" si="99"/>
        <v>0</v>
      </c>
      <c r="P352" s="206">
        <f t="shared" si="100"/>
        <v>0</v>
      </c>
      <c r="Q352" s="206">
        <f t="shared" si="101"/>
        <v>-0.33</v>
      </c>
      <c r="R3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167890</v>
      </c>
      <c r="T3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2" s="208">
        <f ca="1">IF(Tabla33610673[[#This Row],[Equity]]&lt;Tabla33610673[[#This Row],[Equity Peak]],(Tabla33610673[[#This Row],[Equity Peak]]-Tabla33610673[[#This Row],[Equity]])/Tabla33610673[[#This Row],[Equity Peak]],"")</f>
        <v>5.7221473495058399E-2</v>
      </c>
      <c r="V352" s="209">
        <f t="shared" si="102"/>
        <v>0</v>
      </c>
      <c r="W352" s="209">
        <f t="shared" si="103"/>
        <v>0</v>
      </c>
      <c r="X352" s="209">
        <f t="shared" si="104"/>
        <v>0</v>
      </c>
      <c r="Y352" s="209">
        <f t="shared" si="105"/>
        <v>0</v>
      </c>
      <c r="Z352" s="209">
        <f t="shared" si="106"/>
        <v>-0.33</v>
      </c>
      <c r="AA352" s="205">
        <f t="shared" si="107"/>
        <v>0</v>
      </c>
      <c r="AB352" s="209">
        <f t="shared" si="108"/>
        <v>0</v>
      </c>
      <c r="AC352" s="205">
        <f t="shared" si="109"/>
        <v>0</v>
      </c>
      <c r="AD352" s="210">
        <f t="shared" si="110"/>
        <v>0.64166666667006211</v>
      </c>
      <c r="AE352" s="210">
        <f t="shared" si="111"/>
        <v>0</v>
      </c>
      <c r="AF352" s="210">
        <f t="shared" si="112"/>
        <v>0.64166666667006211</v>
      </c>
      <c r="AG352" s="210">
        <f t="shared" si="113"/>
        <v>0</v>
      </c>
    </row>
    <row r="353" spans="2:33" ht="15" customHeight="1" x14ac:dyDescent="0.3">
      <c r="B353" s="196" t="s">
        <v>84</v>
      </c>
      <c r="C353" s="197" t="s">
        <v>13</v>
      </c>
      <c r="D353" s="198" t="str">
        <f t="shared" si="95"/>
        <v>C</v>
      </c>
      <c r="E353" s="199">
        <v>44327.333333333336</v>
      </c>
      <c r="F353" s="200" t="s">
        <v>80</v>
      </c>
      <c r="G353" s="201">
        <v>55370.92</v>
      </c>
      <c r="H353" s="201">
        <v>58408.06</v>
      </c>
      <c r="I353" s="202">
        <f t="shared" si="96"/>
        <v>3037.1399999999994</v>
      </c>
      <c r="J353" s="201">
        <v>9813.7800000000007</v>
      </c>
      <c r="K353" s="199">
        <v>44328.166666666664</v>
      </c>
      <c r="L353" s="201">
        <v>57412.92</v>
      </c>
      <c r="M353" s="203">
        <f t="shared" si="97"/>
        <v>-2042</v>
      </c>
      <c r="N353" s="204">
        <f t="shared" si="98"/>
        <v>-0.67</v>
      </c>
      <c r="O353" s="205">
        <f t="shared" si="99"/>
        <v>0</v>
      </c>
      <c r="P353" s="206">
        <f t="shared" si="100"/>
        <v>0</v>
      </c>
      <c r="Q353" s="206">
        <f t="shared" si="101"/>
        <v>-0.67</v>
      </c>
      <c r="R3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168220</v>
      </c>
      <c r="T3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3" s="208">
        <f ca="1">IF(Tabla33610673[[#This Row],[Equity]]&lt;Tabla33610673[[#This Row],[Equity Peak]],(Tabla33610673[[#This Row],[Equity Peak]]-Tabla33610673[[#This Row],[Equity]])/Tabla33610673[[#This Row],[Equity Peak]],"")</f>
        <v>5.536837376460018E-2</v>
      </c>
      <c r="V353" s="209">
        <f t="shared" si="102"/>
        <v>0</v>
      </c>
      <c r="W353" s="209">
        <f t="shared" si="103"/>
        <v>0</v>
      </c>
      <c r="X353" s="209">
        <f t="shared" si="104"/>
        <v>0</v>
      </c>
      <c r="Y353" s="209">
        <f t="shared" si="105"/>
        <v>0</v>
      </c>
      <c r="Z353" s="209">
        <f t="shared" si="106"/>
        <v>0</v>
      </c>
      <c r="AA353" s="205">
        <f t="shared" si="107"/>
        <v>0</v>
      </c>
      <c r="AB353" s="209">
        <f t="shared" si="108"/>
        <v>-0.67</v>
      </c>
      <c r="AC353" s="205">
        <f t="shared" si="109"/>
        <v>0</v>
      </c>
      <c r="AD353" s="210">
        <f t="shared" si="110"/>
        <v>0.83333333332848269</v>
      </c>
      <c r="AE353" s="210">
        <f t="shared" si="111"/>
        <v>0</v>
      </c>
      <c r="AF353" s="210">
        <f t="shared" si="112"/>
        <v>0.83333333332848269</v>
      </c>
      <c r="AG353" s="210">
        <f t="shared" si="113"/>
        <v>0</v>
      </c>
    </row>
    <row r="354" spans="2:33" ht="15" customHeight="1" x14ac:dyDescent="0.3">
      <c r="B354" s="196" t="s">
        <v>19</v>
      </c>
      <c r="C354" s="197" t="s">
        <v>15</v>
      </c>
      <c r="D354" s="198" t="str">
        <f t="shared" si="95"/>
        <v>C</v>
      </c>
      <c r="E354" s="199">
        <v>44322.708333333336</v>
      </c>
      <c r="F354" s="200" t="s">
        <v>88</v>
      </c>
      <c r="G354" s="201">
        <v>1812.87</v>
      </c>
      <c r="H354" s="201">
        <v>1788.68</v>
      </c>
      <c r="I354" s="202">
        <f t="shared" si="96"/>
        <v>24.189999999999827</v>
      </c>
      <c r="J354" s="201">
        <v>1967.67</v>
      </c>
      <c r="K354" s="199">
        <v>44327.681944444441</v>
      </c>
      <c r="L354" s="201">
        <v>1821.85</v>
      </c>
      <c r="M354" s="203">
        <f t="shared" si="97"/>
        <v>8.98</v>
      </c>
      <c r="N354" s="204">
        <f t="shared" si="98"/>
        <v>0.37</v>
      </c>
      <c r="O354" s="205">
        <f t="shared" si="99"/>
        <v>0</v>
      </c>
      <c r="P354" s="206">
        <f t="shared" si="100"/>
        <v>0.37</v>
      </c>
      <c r="Q354" s="206">
        <f t="shared" si="101"/>
        <v>0</v>
      </c>
      <c r="R3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168890</v>
      </c>
      <c r="T3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4" s="208">
        <f ca="1">IF(Tabla33610673[[#This Row],[Equity]]&lt;Tabla33610673[[#This Row],[Equity Peak]],(Tabla33610673[[#This Row],[Equity Peak]]-Tabla33610673[[#This Row],[Equity]])/Tabla33610673[[#This Row],[Equity Peak]],"")</f>
        <v>5.1606019766397122E-2</v>
      </c>
      <c r="V354" s="209">
        <f t="shared" si="102"/>
        <v>0</v>
      </c>
      <c r="W354" s="209">
        <f t="shared" si="103"/>
        <v>0</v>
      </c>
      <c r="X354" s="209">
        <f t="shared" si="104"/>
        <v>0.37</v>
      </c>
      <c r="Y354" s="209">
        <f t="shared" si="105"/>
        <v>0</v>
      </c>
      <c r="Z354" s="209">
        <f t="shared" si="106"/>
        <v>0</v>
      </c>
      <c r="AA354" s="205">
        <f t="shared" si="107"/>
        <v>0</v>
      </c>
      <c r="AB354" s="209">
        <f t="shared" si="108"/>
        <v>0</v>
      </c>
      <c r="AC354" s="205">
        <f t="shared" si="109"/>
        <v>0</v>
      </c>
      <c r="AD354" s="210">
        <f t="shared" si="110"/>
        <v>4.9736111111051287</v>
      </c>
      <c r="AE354" s="210">
        <f t="shared" si="111"/>
        <v>4.9736111111051287</v>
      </c>
      <c r="AF354" s="210">
        <f t="shared" si="112"/>
        <v>0</v>
      </c>
      <c r="AG354" s="210">
        <f t="shared" si="113"/>
        <v>0</v>
      </c>
    </row>
    <row r="355" spans="2:33" ht="15" customHeight="1" x14ac:dyDescent="0.3">
      <c r="B355" s="196" t="s">
        <v>5</v>
      </c>
      <c r="C355" s="197" t="s">
        <v>15</v>
      </c>
      <c r="D355" s="198" t="str">
        <f t="shared" si="95"/>
        <v>C</v>
      </c>
      <c r="E355" s="199">
        <v>44326.284722222219</v>
      </c>
      <c r="F355" s="200" t="s">
        <v>90</v>
      </c>
      <c r="G355" s="201">
        <v>7131.76</v>
      </c>
      <c r="H355" s="201">
        <v>7080.4</v>
      </c>
      <c r="I355" s="202">
        <f t="shared" si="96"/>
        <v>51.360000000000582</v>
      </c>
      <c r="J355" s="201">
        <v>7816.57</v>
      </c>
      <c r="K355" s="199">
        <v>44327.206250000003</v>
      </c>
      <c r="L355" s="201">
        <v>7091.52</v>
      </c>
      <c r="M355" s="203">
        <f t="shared" si="97"/>
        <v>-40.24</v>
      </c>
      <c r="N355" s="204">
        <f t="shared" si="98"/>
        <v>-0.78</v>
      </c>
      <c r="O355" s="205">
        <f t="shared" si="99"/>
        <v>0</v>
      </c>
      <c r="P355" s="206">
        <f t="shared" si="100"/>
        <v>0</v>
      </c>
      <c r="Q355" s="206">
        <f t="shared" si="101"/>
        <v>-0.78</v>
      </c>
      <c r="R3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168520</v>
      </c>
      <c r="T3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5" s="208">
        <f ca="1">IF(Tabla33610673[[#This Row],[Equity]]&lt;Tabla33610673[[#This Row],[Equity Peak]],(Tabla33610673[[#This Row],[Equity Peak]]-Tabla33610673[[#This Row],[Equity]])/Tabla33610673[[#This Row],[Equity Peak]],"")</f>
        <v>5.3683737646001796E-2</v>
      </c>
      <c r="V355" s="209">
        <f t="shared" si="102"/>
        <v>0</v>
      </c>
      <c r="W355" s="209">
        <f t="shared" si="103"/>
        <v>0</v>
      </c>
      <c r="X355" s="209">
        <f t="shared" si="104"/>
        <v>0</v>
      </c>
      <c r="Y355" s="209">
        <f t="shared" si="105"/>
        <v>0</v>
      </c>
      <c r="Z355" s="209">
        <f t="shared" si="106"/>
        <v>-0.78</v>
      </c>
      <c r="AA355" s="205">
        <f t="shared" si="107"/>
        <v>0</v>
      </c>
      <c r="AB355" s="209">
        <f t="shared" si="108"/>
        <v>0</v>
      </c>
      <c r="AC355" s="205">
        <f t="shared" si="109"/>
        <v>0</v>
      </c>
      <c r="AD355" s="210">
        <f t="shared" si="110"/>
        <v>0.92152777778392192</v>
      </c>
      <c r="AE355" s="210">
        <f t="shared" si="111"/>
        <v>0</v>
      </c>
      <c r="AF355" s="210">
        <f t="shared" si="112"/>
        <v>0.92152777778392192</v>
      </c>
      <c r="AG355" s="210">
        <f t="shared" si="113"/>
        <v>0</v>
      </c>
    </row>
    <row r="356" spans="2:33" ht="15" customHeight="1" x14ac:dyDescent="0.3">
      <c r="B356" s="196" t="s">
        <v>7</v>
      </c>
      <c r="C356" s="197" t="s">
        <v>15</v>
      </c>
      <c r="D356" s="198" t="str">
        <f t="shared" si="95"/>
        <v>C</v>
      </c>
      <c r="E356" s="199">
        <v>44323.833333333336</v>
      </c>
      <c r="F356" s="200" t="s">
        <v>123</v>
      </c>
      <c r="G356" s="201">
        <v>85.236000000000004</v>
      </c>
      <c r="H356" s="201">
        <v>84.846999999999994</v>
      </c>
      <c r="I356" s="202">
        <f t="shared" si="96"/>
        <v>0.38900000000001</v>
      </c>
      <c r="J356" s="201">
        <v>91.978999999999999</v>
      </c>
      <c r="K356" s="199">
        <v>44327</v>
      </c>
      <c r="L356" s="201">
        <v>85.134</v>
      </c>
      <c r="M356" s="203">
        <f t="shared" si="97"/>
        <v>-0.10199999999999999</v>
      </c>
      <c r="N356" s="204">
        <f t="shared" si="98"/>
        <v>-0.26</v>
      </c>
      <c r="O356" s="205">
        <f t="shared" si="99"/>
        <v>0</v>
      </c>
      <c r="P356" s="206">
        <f t="shared" si="100"/>
        <v>0</v>
      </c>
      <c r="Q356" s="206">
        <f t="shared" si="101"/>
        <v>-0.26</v>
      </c>
      <c r="R3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169300</v>
      </c>
      <c r="T3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6" s="208">
        <f ca="1">IF(Tabla33610673[[#This Row],[Equity]]&lt;Tabla33610673[[#This Row],[Equity Peak]],(Tabla33610673[[#This Row],[Equity Peak]]-Tabla33610673[[#This Row],[Equity]])/Tabla33610673[[#This Row],[Equity Peak]],"")</f>
        <v>4.9303683737646001E-2</v>
      </c>
      <c r="V356" s="209">
        <f t="shared" si="102"/>
        <v>-0.26</v>
      </c>
      <c r="W356" s="209">
        <f t="shared" si="103"/>
        <v>0</v>
      </c>
      <c r="X356" s="209">
        <f t="shared" si="104"/>
        <v>0</v>
      </c>
      <c r="Y356" s="209">
        <f t="shared" si="105"/>
        <v>0</v>
      </c>
      <c r="Z356" s="209">
        <f t="shared" si="106"/>
        <v>0</v>
      </c>
      <c r="AA356" s="205">
        <f t="shared" si="107"/>
        <v>0</v>
      </c>
      <c r="AB356" s="209">
        <f t="shared" si="108"/>
        <v>0</v>
      </c>
      <c r="AC356" s="205">
        <f t="shared" si="109"/>
        <v>0</v>
      </c>
      <c r="AD356" s="210">
        <f t="shared" si="110"/>
        <v>3.1666666666642413</v>
      </c>
      <c r="AE356" s="210">
        <f t="shared" si="111"/>
        <v>0</v>
      </c>
      <c r="AF356" s="210">
        <f t="shared" si="112"/>
        <v>3.1666666666642413</v>
      </c>
      <c r="AG356" s="210">
        <f t="shared" si="113"/>
        <v>0</v>
      </c>
    </row>
    <row r="357" spans="2:33" ht="15" customHeight="1" x14ac:dyDescent="0.3">
      <c r="B357" s="196" t="s">
        <v>5</v>
      </c>
      <c r="C357" s="197" t="s">
        <v>15</v>
      </c>
      <c r="D357" s="198" t="str">
        <f t="shared" si="95"/>
        <v>C</v>
      </c>
      <c r="E357" s="199">
        <v>44323.708333333336</v>
      </c>
      <c r="F357" s="200" t="s">
        <v>93</v>
      </c>
      <c r="G357" s="201">
        <v>4221.1099999999997</v>
      </c>
      <c r="H357" s="201">
        <v>4192.92</v>
      </c>
      <c r="I357" s="202">
        <f t="shared" si="96"/>
        <v>28.1899999999996</v>
      </c>
      <c r="J357" s="201">
        <v>4296.29</v>
      </c>
      <c r="K357" s="199">
        <v>44326.95416666667</v>
      </c>
      <c r="L357" s="201">
        <v>4192.92</v>
      </c>
      <c r="M357" s="203">
        <f t="shared" si="97"/>
        <v>-28.19</v>
      </c>
      <c r="N357" s="204">
        <f t="shared" si="98"/>
        <v>-1</v>
      </c>
      <c r="O357" s="205">
        <f t="shared" si="99"/>
        <v>0</v>
      </c>
      <c r="P357" s="206">
        <f t="shared" si="100"/>
        <v>0</v>
      </c>
      <c r="Q357" s="206">
        <f t="shared" si="101"/>
        <v>-1</v>
      </c>
      <c r="R3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169560</v>
      </c>
      <c r="T3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7" s="208">
        <f ca="1">IF(Tabla33610673[[#This Row],[Equity]]&lt;Tabla33610673[[#This Row],[Equity Peak]],(Tabla33610673[[#This Row],[Equity Peak]]-Tabla33610673[[#This Row],[Equity]])/Tabla33610673[[#This Row],[Equity Peak]],"")</f>
        <v>4.7843665768194071E-2</v>
      </c>
      <c r="V357" s="209">
        <f t="shared" si="102"/>
        <v>0</v>
      </c>
      <c r="W357" s="209">
        <f t="shared" si="103"/>
        <v>0</v>
      </c>
      <c r="X357" s="209">
        <f t="shared" si="104"/>
        <v>0</v>
      </c>
      <c r="Y357" s="209">
        <f t="shared" si="105"/>
        <v>0</v>
      </c>
      <c r="Z357" s="209">
        <f t="shared" si="106"/>
        <v>-1</v>
      </c>
      <c r="AA357" s="205">
        <f t="shared" si="107"/>
        <v>0</v>
      </c>
      <c r="AB357" s="209">
        <f t="shared" si="108"/>
        <v>0</v>
      </c>
      <c r="AC357" s="205">
        <f t="shared" si="109"/>
        <v>0</v>
      </c>
      <c r="AD357" s="210">
        <f t="shared" si="110"/>
        <v>3.2458333333343035</v>
      </c>
      <c r="AE357" s="210">
        <f t="shared" si="111"/>
        <v>0</v>
      </c>
      <c r="AF357" s="210">
        <f t="shared" si="112"/>
        <v>3.2458333333343035</v>
      </c>
      <c r="AG357" s="210">
        <f t="shared" si="113"/>
        <v>0</v>
      </c>
    </row>
    <row r="358" spans="2:33" ht="15" customHeight="1" x14ac:dyDescent="0.3">
      <c r="B358" s="196" t="s">
        <v>5</v>
      </c>
      <c r="C358" s="197" t="s">
        <v>15</v>
      </c>
      <c r="D358" s="198" t="str">
        <f t="shared" si="95"/>
        <v>C</v>
      </c>
      <c r="E358" s="199">
        <v>44321.791666666664</v>
      </c>
      <c r="F358" s="200" t="s">
        <v>94</v>
      </c>
      <c r="G358" s="201">
        <v>7051.57</v>
      </c>
      <c r="H358" s="201">
        <v>6963.95</v>
      </c>
      <c r="I358" s="202">
        <f t="shared" si="96"/>
        <v>87.619999999999891</v>
      </c>
      <c r="J358" s="201">
        <v>7489.66</v>
      </c>
      <c r="K358" s="199">
        <v>44326.90625</v>
      </c>
      <c r="L358" s="201">
        <v>7087.1</v>
      </c>
      <c r="M358" s="203">
        <f t="shared" si="97"/>
        <v>35.53</v>
      </c>
      <c r="N358" s="204">
        <f t="shared" si="98"/>
        <v>0.41</v>
      </c>
      <c r="O358" s="205">
        <f t="shared" si="99"/>
        <v>0</v>
      </c>
      <c r="P358" s="206">
        <f t="shared" si="100"/>
        <v>0.41</v>
      </c>
      <c r="Q358" s="206">
        <f t="shared" si="101"/>
        <v>0</v>
      </c>
      <c r="R3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170560</v>
      </c>
      <c r="T3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8" s="208">
        <f ca="1">IF(Tabla33610673[[#This Row],[Equity]]&lt;Tabla33610673[[#This Row],[Equity Peak]],(Tabla33610673[[#This Row],[Equity Peak]]-Tabla33610673[[#This Row],[Equity]])/Tabla33610673[[#This Row],[Equity Peak]],"")</f>
        <v>4.2228212039532795E-2</v>
      </c>
      <c r="V358" s="209">
        <f t="shared" si="102"/>
        <v>0</v>
      </c>
      <c r="W358" s="209">
        <f t="shared" si="103"/>
        <v>0</v>
      </c>
      <c r="X358" s="209">
        <f t="shared" si="104"/>
        <v>0</v>
      </c>
      <c r="Y358" s="209">
        <f t="shared" si="105"/>
        <v>0</v>
      </c>
      <c r="Z358" s="209">
        <f t="shared" si="106"/>
        <v>0.41</v>
      </c>
      <c r="AA358" s="205">
        <f t="shared" si="107"/>
        <v>0</v>
      </c>
      <c r="AB358" s="209">
        <f t="shared" si="108"/>
        <v>0</v>
      </c>
      <c r="AC358" s="205">
        <f t="shared" si="109"/>
        <v>0</v>
      </c>
      <c r="AD358" s="210">
        <f t="shared" si="110"/>
        <v>5.1145833333357587</v>
      </c>
      <c r="AE358" s="210">
        <f t="shared" si="111"/>
        <v>5.1145833333357587</v>
      </c>
      <c r="AF358" s="210">
        <f t="shared" si="112"/>
        <v>0</v>
      </c>
      <c r="AG358" s="210">
        <f t="shared" si="113"/>
        <v>0</v>
      </c>
    </row>
    <row r="359" spans="2:33" ht="15" customHeight="1" x14ac:dyDescent="0.3">
      <c r="B359" s="196" t="s">
        <v>7</v>
      </c>
      <c r="C359" s="197" t="s">
        <v>13</v>
      </c>
      <c r="D359" s="198" t="str">
        <f t="shared" si="95"/>
        <v>C</v>
      </c>
      <c r="E359" s="199">
        <v>44323.166666666664</v>
      </c>
      <c r="F359" s="200" t="s">
        <v>117</v>
      </c>
      <c r="G359" s="201">
        <v>1.78603</v>
      </c>
      <c r="H359" s="201">
        <v>1.8005899999999999</v>
      </c>
      <c r="I359" s="202">
        <f t="shared" si="96"/>
        <v>1.4559999999999906E-2</v>
      </c>
      <c r="J359" s="201">
        <v>1.73749</v>
      </c>
      <c r="K359" s="199">
        <v>44326.35</v>
      </c>
      <c r="L359" s="201">
        <v>1.7897700000000001</v>
      </c>
      <c r="M359" s="203">
        <f t="shared" si="97"/>
        <v>-3.7000000000000002E-3</v>
      </c>
      <c r="N359" s="204">
        <f t="shared" si="98"/>
        <v>-0.25</v>
      </c>
      <c r="O359" s="205">
        <f t="shared" si="99"/>
        <v>0</v>
      </c>
      <c r="P359" s="206">
        <f t="shared" si="100"/>
        <v>0</v>
      </c>
      <c r="Q359" s="206">
        <f t="shared" si="101"/>
        <v>-0.25</v>
      </c>
      <c r="R3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170150</v>
      </c>
      <c r="T3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59" s="208">
        <f ca="1">IF(Tabla33610673[[#This Row],[Equity]]&lt;Tabla33610673[[#This Row],[Equity Peak]],(Tabla33610673[[#This Row],[Equity Peak]]-Tabla33610673[[#This Row],[Equity]])/Tabla33610673[[#This Row],[Equity Peak]],"")</f>
        <v>4.4530548068283916E-2</v>
      </c>
      <c r="V359" s="209">
        <f t="shared" si="102"/>
        <v>-0.25</v>
      </c>
      <c r="W359" s="209">
        <f t="shared" si="103"/>
        <v>0</v>
      </c>
      <c r="X359" s="209">
        <f t="shared" si="104"/>
        <v>0</v>
      </c>
      <c r="Y359" s="209">
        <f t="shared" si="105"/>
        <v>0</v>
      </c>
      <c r="Z359" s="209">
        <f t="shared" si="106"/>
        <v>0</v>
      </c>
      <c r="AA359" s="205">
        <f t="shared" si="107"/>
        <v>0</v>
      </c>
      <c r="AB359" s="209">
        <f t="shared" si="108"/>
        <v>0</v>
      </c>
      <c r="AC359" s="205">
        <f t="shared" si="109"/>
        <v>0</v>
      </c>
      <c r="AD359" s="210">
        <f t="shared" si="110"/>
        <v>3.1833333333343035</v>
      </c>
      <c r="AE359" s="210">
        <f t="shared" si="111"/>
        <v>0</v>
      </c>
      <c r="AF359" s="210">
        <f t="shared" si="112"/>
        <v>3.1833333333343035</v>
      </c>
      <c r="AG359" s="210">
        <f t="shared" si="113"/>
        <v>0</v>
      </c>
    </row>
    <row r="360" spans="2:33" ht="15" customHeight="1" x14ac:dyDescent="0.3">
      <c r="B360" s="196" t="s">
        <v>84</v>
      </c>
      <c r="C360" s="197" t="s">
        <v>15</v>
      </c>
      <c r="D360" s="198" t="str">
        <f t="shared" si="95"/>
        <v>C</v>
      </c>
      <c r="E360" s="199">
        <v>44321.833333333336</v>
      </c>
      <c r="F360" s="200" t="s">
        <v>80</v>
      </c>
      <c r="G360" s="201">
        <v>57470.92</v>
      </c>
      <c r="H360" s="201">
        <v>54409.49</v>
      </c>
      <c r="I360" s="202">
        <f t="shared" si="96"/>
        <v>3061.4300000000003</v>
      </c>
      <c r="J360" s="201">
        <v>103392.35</v>
      </c>
      <c r="K360" s="199">
        <v>44322.902083333334</v>
      </c>
      <c r="L360" s="201">
        <v>55619.53</v>
      </c>
      <c r="M360" s="203">
        <f t="shared" si="97"/>
        <v>-1851.39</v>
      </c>
      <c r="N360" s="204">
        <f t="shared" si="98"/>
        <v>-0.6</v>
      </c>
      <c r="O360" s="205">
        <f t="shared" si="99"/>
        <v>0</v>
      </c>
      <c r="P360" s="206">
        <f t="shared" si="100"/>
        <v>0</v>
      </c>
      <c r="Q360" s="206">
        <f t="shared" si="101"/>
        <v>-0.6</v>
      </c>
      <c r="R3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170400</v>
      </c>
      <c r="T3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0" s="208">
        <f ca="1">IF(Tabla33610673[[#This Row],[Equity]]&lt;Tabla33610673[[#This Row],[Equity Peak]],(Tabla33610673[[#This Row],[Equity Peak]]-Tabla33610673[[#This Row],[Equity]])/Tabla33610673[[#This Row],[Equity Peak]],"")</f>
        <v>4.3126684636118601E-2</v>
      </c>
      <c r="V360" s="209">
        <f t="shared" si="102"/>
        <v>0</v>
      </c>
      <c r="W360" s="209">
        <f t="shared" si="103"/>
        <v>0</v>
      </c>
      <c r="X360" s="209">
        <f t="shared" si="104"/>
        <v>0</v>
      </c>
      <c r="Y360" s="209">
        <f t="shared" si="105"/>
        <v>0</v>
      </c>
      <c r="Z360" s="209">
        <f t="shared" si="106"/>
        <v>0</v>
      </c>
      <c r="AA360" s="205">
        <f t="shared" si="107"/>
        <v>0</v>
      </c>
      <c r="AB360" s="209">
        <f t="shared" si="108"/>
        <v>-0.6</v>
      </c>
      <c r="AC360" s="205">
        <f t="shared" si="109"/>
        <v>0</v>
      </c>
      <c r="AD360" s="210">
        <f t="shared" si="110"/>
        <v>1.0687499999985448</v>
      </c>
      <c r="AE360" s="210">
        <f t="shared" si="111"/>
        <v>0</v>
      </c>
      <c r="AF360" s="210">
        <f t="shared" si="112"/>
        <v>1.0687499999985448</v>
      </c>
      <c r="AG360" s="210">
        <f t="shared" si="113"/>
        <v>0</v>
      </c>
    </row>
    <row r="361" spans="2:33" ht="15" customHeight="1" x14ac:dyDescent="0.3">
      <c r="B361" s="196" t="s">
        <v>5</v>
      </c>
      <c r="C361" s="197" t="s">
        <v>15</v>
      </c>
      <c r="D361" s="198" t="str">
        <f t="shared" si="95"/>
        <v>C</v>
      </c>
      <c r="E361" s="199">
        <v>44291.041666666664</v>
      </c>
      <c r="F361" s="200" t="s">
        <v>95</v>
      </c>
      <c r="G361" s="201">
        <v>33366.71</v>
      </c>
      <c r="H361" s="201">
        <v>33114.199999999997</v>
      </c>
      <c r="I361" s="202">
        <f t="shared" si="96"/>
        <v>252.51000000000204</v>
      </c>
      <c r="J361" s="201">
        <v>34376.76</v>
      </c>
      <c r="K361" s="199">
        <v>44322.773611111108</v>
      </c>
      <c r="L361" s="201">
        <v>34376.76</v>
      </c>
      <c r="M361" s="203">
        <f t="shared" si="97"/>
        <v>1010.05</v>
      </c>
      <c r="N361" s="204">
        <f t="shared" si="98"/>
        <v>4</v>
      </c>
      <c r="O361" s="205">
        <f t="shared" si="99"/>
        <v>0</v>
      </c>
      <c r="P361" s="206">
        <f t="shared" si="100"/>
        <v>4</v>
      </c>
      <c r="Q361" s="206">
        <f t="shared" si="101"/>
        <v>0</v>
      </c>
      <c r="R3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171000</v>
      </c>
      <c r="T3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1" s="208">
        <f ca="1">IF(Tabla33610673[[#This Row],[Equity]]&lt;Tabla33610673[[#This Row],[Equity Peak]],(Tabla33610673[[#This Row],[Equity Peak]]-Tabla33610673[[#This Row],[Equity]])/Tabla33610673[[#This Row],[Equity Peak]],"")</f>
        <v>3.9757412398921832E-2</v>
      </c>
      <c r="V361" s="209">
        <f t="shared" si="102"/>
        <v>0</v>
      </c>
      <c r="W361" s="209">
        <f t="shared" si="103"/>
        <v>0</v>
      </c>
      <c r="X361" s="209">
        <f t="shared" si="104"/>
        <v>0</v>
      </c>
      <c r="Y361" s="209">
        <f t="shared" si="105"/>
        <v>0</v>
      </c>
      <c r="Z361" s="209">
        <f t="shared" si="106"/>
        <v>4</v>
      </c>
      <c r="AA361" s="205">
        <f t="shared" si="107"/>
        <v>0</v>
      </c>
      <c r="AB361" s="209">
        <f t="shared" si="108"/>
        <v>0</v>
      </c>
      <c r="AC361" s="205">
        <f t="shared" si="109"/>
        <v>0</v>
      </c>
      <c r="AD361" s="210">
        <f t="shared" si="110"/>
        <v>31.731944444443798</v>
      </c>
      <c r="AE361" s="210">
        <f t="shared" si="111"/>
        <v>31.731944444443798</v>
      </c>
      <c r="AF361" s="210">
        <f t="shared" si="112"/>
        <v>0</v>
      </c>
      <c r="AG361" s="210">
        <f t="shared" si="113"/>
        <v>0</v>
      </c>
    </row>
    <row r="362" spans="2:33" ht="15" customHeight="1" x14ac:dyDescent="0.3">
      <c r="B362" s="196" t="s">
        <v>7</v>
      </c>
      <c r="C362" s="197" t="s">
        <v>13</v>
      </c>
      <c r="D362" s="198" t="str">
        <f t="shared" si="95"/>
        <v>C</v>
      </c>
      <c r="E362" s="199">
        <v>44322.017361111109</v>
      </c>
      <c r="F362" s="200" t="s">
        <v>120</v>
      </c>
      <c r="G362" s="201">
        <v>0.86314000000000002</v>
      </c>
      <c r="H362" s="201">
        <v>0.86561999999999995</v>
      </c>
      <c r="I362" s="202">
        <f t="shared" si="96"/>
        <v>2.4799999999999267E-3</v>
      </c>
      <c r="J362" s="201">
        <v>0.85653000000000001</v>
      </c>
      <c r="K362" s="199">
        <v>44322.474999999999</v>
      </c>
      <c r="L362" s="201">
        <v>0.86561999999999995</v>
      </c>
      <c r="M362" s="203">
        <f t="shared" si="97"/>
        <v>-2.5000000000000001E-3</v>
      </c>
      <c r="N362" s="204">
        <f t="shared" si="98"/>
        <v>-1.01</v>
      </c>
      <c r="O362" s="205">
        <f t="shared" si="99"/>
        <v>0</v>
      </c>
      <c r="P362" s="206">
        <f t="shared" si="100"/>
        <v>0</v>
      </c>
      <c r="Q362" s="206">
        <f t="shared" si="101"/>
        <v>-1.01</v>
      </c>
      <c r="R3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167000</v>
      </c>
      <c r="T3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2" s="208">
        <f ca="1">IF(Tabla33610673[[#This Row],[Equity]]&lt;Tabla33610673[[#This Row],[Equity Peak]],(Tabla33610673[[#This Row],[Equity Peak]]-Tabla33610673[[#This Row],[Equity]])/Tabla33610673[[#This Row],[Equity Peak]],"")</f>
        <v>6.2219227313566938E-2</v>
      </c>
      <c r="V362" s="209">
        <f t="shared" si="102"/>
        <v>-1.01</v>
      </c>
      <c r="W362" s="209">
        <f t="shared" si="103"/>
        <v>0</v>
      </c>
      <c r="X362" s="209">
        <f t="shared" si="104"/>
        <v>0</v>
      </c>
      <c r="Y362" s="209">
        <f t="shared" si="105"/>
        <v>0</v>
      </c>
      <c r="Z362" s="209">
        <f t="shared" si="106"/>
        <v>0</v>
      </c>
      <c r="AA362" s="205">
        <f t="shared" si="107"/>
        <v>0</v>
      </c>
      <c r="AB362" s="209">
        <f t="shared" si="108"/>
        <v>0</v>
      </c>
      <c r="AC362" s="205">
        <f t="shared" si="109"/>
        <v>0</v>
      </c>
      <c r="AD362" s="210">
        <f t="shared" si="110"/>
        <v>0.45763888888905058</v>
      </c>
      <c r="AE362" s="210">
        <f t="shared" si="111"/>
        <v>0</v>
      </c>
      <c r="AF362" s="210">
        <f t="shared" si="112"/>
        <v>0.45763888888905058</v>
      </c>
      <c r="AG362" s="210">
        <f t="shared" si="113"/>
        <v>0</v>
      </c>
    </row>
    <row r="363" spans="2:33" ht="15" customHeight="1" x14ac:dyDescent="0.3">
      <c r="B363" s="196" t="s">
        <v>7</v>
      </c>
      <c r="C363" s="197" t="s">
        <v>13</v>
      </c>
      <c r="D363" s="198" t="str">
        <f t="shared" si="95"/>
        <v>C</v>
      </c>
      <c r="E363" s="199">
        <v>44321.666666666664</v>
      </c>
      <c r="F363" s="200" t="s">
        <v>121</v>
      </c>
      <c r="G363" s="201">
        <v>1.5504199999999999</v>
      </c>
      <c r="H363" s="201">
        <v>1.55643</v>
      </c>
      <c r="I363" s="202">
        <f t="shared" si="96"/>
        <v>6.0100000000000708E-3</v>
      </c>
      <c r="J363" s="201">
        <v>1.4863500000000001</v>
      </c>
      <c r="K363" s="199">
        <v>44322.23541666667</v>
      </c>
      <c r="L363" s="201">
        <v>1.55521</v>
      </c>
      <c r="M363" s="203">
        <f t="shared" si="97"/>
        <v>-4.7999999999999996E-3</v>
      </c>
      <c r="N363" s="204">
        <f t="shared" si="98"/>
        <v>-0.8</v>
      </c>
      <c r="O363" s="205">
        <f t="shared" si="99"/>
        <v>0</v>
      </c>
      <c r="P363" s="206">
        <f t="shared" si="100"/>
        <v>0</v>
      </c>
      <c r="Q363" s="206">
        <f t="shared" si="101"/>
        <v>-0.8</v>
      </c>
      <c r="R3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168010</v>
      </c>
      <c r="T3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3" s="208">
        <f ca="1">IF(Tabla33610673[[#This Row],[Equity]]&lt;Tabla33610673[[#This Row],[Equity Peak]],(Tabla33610673[[#This Row],[Equity Peak]]-Tabla33610673[[#This Row],[Equity]])/Tabla33610673[[#This Row],[Equity Peak]],"")</f>
        <v>5.6547619047619048E-2</v>
      </c>
      <c r="V363" s="209">
        <f t="shared" si="102"/>
        <v>-0.8</v>
      </c>
      <c r="W363" s="209">
        <f t="shared" si="103"/>
        <v>0</v>
      </c>
      <c r="X363" s="209">
        <f t="shared" si="104"/>
        <v>0</v>
      </c>
      <c r="Y363" s="209">
        <f t="shared" si="105"/>
        <v>0</v>
      </c>
      <c r="Z363" s="209">
        <f t="shared" si="106"/>
        <v>0</v>
      </c>
      <c r="AA363" s="205">
        <f t="shared" si="107"/>
        <v>0</v>
      </c>
      <c r="AB363" s="209">
        <f t="shared" si="108"/>
        <v>0</v>
      </c>
      <c r="AC363" s="205">
        <f t="shared" si="109"/>
        <v>0</v>
      </c>
      <c r="AD363" s="210">
        <f t="shared" si="110"/>
        <v>0.56875000000582077</v>
      </c>
      <c r="AE363" s="210">
        <f t="shared" si="111"/>
        <v>0</v>
      </c>
      <c r="AF363" s="210">
        <f t="shared" si="112"/>
        <v>0.56875000000582077</v>
      </c>
      <c r="AG363" s="210">
        <f t="shared" si="113"/>
        <v>0</v>
      </c>
    </row>
    <row r="364" spans="2:33" ht="15" customHeight="1" x14ac:dyDescent="0.3">
      <c r="B364" s="196" t="s">
        <v>5</v>
      </c>
      <c r="C364" s="197" t="s">
        <v>15</v>
      </c>
      <c r="D364" s="198" t="str">
        <f t="shared" si="95"/>
        <v>C</v>
      </c>
      <c r="E364" s="199">
        <v>44321.284722222219</v>
      </c>
      <c r="F364" s="200" t="s">
        <v>90</v>
      </c>
      <c r="G364" s="201">
        <v>7108.92</v>
      </c>
      <c r="H364" s="201">
        <v>7060.04</v>
      </c>
      <c r="I364" s="202">
        <f t="shared" si="96"/>
        <v>48.880000000000109</v>
      </c>
      <c r="J364" s="201">
        <v>7760.68</v>
      </c>
      <c r="K364" s="199">
        <v>44322.175000000003</v>
      </c>
      <c r="L364" s="201">
        <v>7060.04</v>
      </c>
      <c r="M364" s="203">
        <f t="shared" si="97"/>
        <v>-48.88</v>
      </c>
      <c r="N364" s="204">
        <f t="shared" si="98"/>
        <v>-1</v>
      </c>
      <c r="O364" s="205">
        <f t="shared" si="99"/>
        <v>0</v>
      </c>
      <c r="P364" s="206">
        <f t="shared" si="100"/>
        <v>0</v>
      </c>
      <c r="Q364" s="206">
        <f t="shared" si="101"/>
        <v>-1</v>
      </c>
      <c r="R3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168810</v>
      </c>
      <c r="T3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4" s="208">
        <f ca="1">IF(Tabla33610673[[#This Row],[Equity]]&lt;Tabla33610673[[#This Row],[Equity Peak]],(Tabla33610673[[#This Row],[Equity Peak]]-Tabla33610673[[#This Row],[Equity]])/Tabla33610673[[#This Row],[Equity Peak]],"")</f>
        <v>5.2055256064690025E-2</v>
      </c>
      <c r="V364" s="209">
        <f t="shared" si="102"/>
        <v>0</v>
      </c>
      <c r="W364" s="209">
        <f t="shared" si="103"/>
        <v>0</v>
      </c>
      <c r="X364" s="209">
        <f t="shared" si="104"/>
        <v>0</v>
      </c>
      <c r="Y364" s="209">
        <f t="shared" si="105"/>
        <v>0</v>
      </c>
      <c r="Z364" s="209">
        <f t="shared" si="106"/>
        <v>-1</v>
      </c>
      <c r="AA364" s="205">
        <f t="shared" si="107"/>
        <v>0</v>
      </c>
      <c r="AB364" s="209">
        <f t="shared" si="108"/>
        <v>0</v>
      </c>
      <c r="AC364" s="205">
        <f t="shared" si="109"/>
        <v>0</v>
      </c>
      <c r="AD364" s="210">
        <f t="shared" si="110"/>
        <v>0.89027777778392192</v>
      </c>
      <c r="AE364" s="210">
        <f t="shared" si="111"/>
        <v>0</v>
      </c>
      <c r="AF364" s="210">
        <f t="shared" si="112"/>
        <v>0.89027777778392192</v>
      </c>
      <c r="AG364" s="210">
        <f t="shared" si="113"/>
        <v>0</v>
      </c>
    </row>
    <row r="365" spans="2:33" ht="15" customHeight="1" x14ac:dyDescent="0.3">
      <c r="B365" s="196" t="s">
        <v>7</v>
      </c>
      <c r="C365" s="197" t="s">
        <v>15</v>
      </c>
      <c r="D365" s="198" t="str">
        <f t="shared" si="95"/>
        <v>C</v>
      </c>
      <c r="E365" s="199">
        <v>44319.666666666664</v>
      </c>
      <c r="F365" s="200" t="s">
        <v>117</v>
      </c>
      <c r="G365" s="201">
        <v>1.7952600000000001</v>
      </c>
      <c r="H365" s="201">
        <v>1.78081</v>
      </c>
      <c r="I365" s="202">
        <f t="shared" si="96"/>
        <v>1.4450000000000074E-2</v>
      </c>
      <c r="J365" s="201">
        <v>1.84344</v>
      </c>
      <c r="K365" s="199">
        <v>44321.998611111114</v>
      </c>
      <c r="L365" s="201">
        <v>1.7936700000000001</v>
      </c>
      <c r="M365" s="203">
        <f t="shared" si="97"/>
        <v>-1.6000000000000001E-3</v>
      </c>
      <c r="N365" s="204">
        <f t="shared" si="98"/>
        <v>-0.11</v>
      </c>
      <c r="O365" s="205">
        <f t="shared" si="99"/>
        <v>0</v>
      </c>
      <c r="P365" s="206">
        <f t="shared" si="100"/>
        <v>0</v>
      </c>
      <c r="Q365" s="206">
        <f t="shared" si="101"/>
        <v>-0.11</v>
      </c>
      <c r="R3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169810</v>
      </c>
      <c r="T3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5" s="208">
        <f ca="1">IF(Tabla33610673[[#This Row],[Equity]]&lt;Tabla33610673[[#This Row],[Equity Peak]],(Tabla33610673[[#This Row],[Equity Peak]]-Tabla33610673[[#This Row],[Equity]])/Tabla33610673[[#This Row],[Equity Peak]],"")</f>
        <v>4.6439802336028749E-2</v>
      </c>
      <c r="V365" s="209">
        <f t="shared" si="102"/>
        <v>-0.11</v>
      </c>
      <c r="W365" s="209">
        <f t="shared" si="103"/>
        <v>0</v>
      </c>
      <c r="X365" s="209">
        <f t="shared" si="104"/>
        <v>0</v>
      </c>
      <c r="Y365" s="209">
        <f t="shared" si="105"/>
        <v>0</v>
      </c>
      <c r="Z365" s="209">
        <f t="shared" si="106"/>
        <v>0</v>
      </c>
      <c r="AA365" s="205">
        <f t="shared" si="107"/>
        <v>0</v>
      </c>
      <c r="AB365" s="209">
        <f t="shared" si="108"/>
        <v>0</v>
      </c>
      <c r="AC365" s="205">
        <f t="shared" si="109"/>
        <v>0</v>
      </c>
      <c r="AD365" s="210">
        <f t="shared" si="110"/>
        <v>2.3319444444496185</v>
      </c>
      <c r="AE365" s="210">
        <f t="shared" si="111"/>
        <v>0</v>
      </c>
      <c r="AF365" s="210">
        <f t="shared" si="112"/>
        <v>2.3319444444496185</v>
      </c>
      <c r="AG365" s="210">
        <f t="shared" si="113"/>
        <v>0</v>
      </c>
    </row>
    <row r="366" spans="2:33" ht="15" customHeight="1" x14ac:dyDescent="0.3">
      <c r="B366" s="196" t="s">
        <v>19</v>
      </c>
      <c r="C366" s="197" t="s">
        <v>15</v>
      </c>
      <c r="D366" s="198" t="str">
        <f t="shared" si="95"/>
        <v>C</v>
      </c>
      <c r="E366" s="199">
        <v>44321.125</v>
      </c>
      <c r="F366" s="200" t="s">
        <v>108</v>
      </c>
      <c r="G366" s="201">
        <v>66.203000000000003</v>
      </c>
      <c r="H366" s="201">
        <v>64.233999999999995</v>
      </c>
      <c r="I366" s="202">
        <f t="shared" si="96"/>
        <v>1.9690000000000083</v>
      </c>
      <c r="J366" s="201">
        <v>89.834000000000003</v>
      </c>
      <c r="K366" s="199">
        <v>44321.85</v>
      </c>
      <c r="L366" s="201">
        <v>65.242999999999995</v>
      </c>
      <c r="M366" s="203">
        <f t="shared" si="97"/>
        <v>-0.96</v>
      </c>
      <c r="N366" s="204">
        <f t="shared" si="98"/>
        <v>-0.49</v>
      </c>
      <c r="O366" s="205">
        <f t="shared" si="99"/>
        <v>0</v>
      </c>
      <c r="P366" s="206">
        <f t="shared" si="100"/>
        <v>0</v>
      </c>
      <c r="Q366" s="206">
        <f t="shared" si="101"/>
        <v>-0.49</v>
      </c>
      <c r="R3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169920</v>
      </c>
      <c r="T3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6" s="208">
        <f ca="1">IF(Tabla33610673[[#This Row],[Equity]]&lt;Tabla33610673[[#This Row],[Equity Peak]],(Tabla33610673[[#This Row],[Equity Peak]]-Tabla33610673[[#This Row],[Equity]])/Tabla33610673[[#This Row],[Equity Peak]],"")</f>
        <v>4.5822102425876012E-2</v>
      </c>
      <c r="V366" s="209">
        <f t="shared" si="102"/>
        <v>0</v>
      </c>
      <c r="W366" s="209">
        <f t="shared" si="103"/>
        <v>0</v>
      </c>
      <c r="X366" s="209">
        <f t="shared" si="104"/>
        <v>-0.49</v>
      </c>
      <c r="Y366" s="209">
        <f t="shared" si="105"/>
        <v>0</v>
      </c>
      <c r="Z366" s="209">
        <f t="shared" si="106"/>
        <v>0</v>
      </c>
      <c r="AA366" s="205">
        <f t="shared" si="107"/>
        <v>0</v>
      </c>
      <c r="AB366" s="209">
        <f t="shared" si="108"/>
        <v>0</v>
      </c>
      <c r="AC366" s="205">
        <f t="shared" si="109"/>
        <v>0</v>
      </c>
      <c r="AD366" s="210">
        <f t="shared" si="110"/>
        <v>0.72499999999854481</v>
      </c>
      <c r="AE366" s="210">
        <f t="shared" si="111"/>
        <v>0</v>
      </c>
      <c r="AF366" s="210">
        <f t="shared" si="112"/>
        <v>0.72499999999854481</v>
      </c>
      <c r="AG366" s="210">
        <f t="shared" si="113"/>
        <v>0</v>
      </c>
    </row>
    <row r="367" spans="2:33" ht="15" customHeight="1" x14ac:dyDescent="0.3">
      <c r="B367" s="196" t="s">
        <v>84</v>
      </c>
      <c r="C367" s="197" t="s">
        <v>13</v>
      </c>
      <c r="D367" s="198" t="str">
        <f t="shared" si="95"/>
        <v>C</v>
      </c>
      <c r="E367" s="199">
        <v>44320.833333333336</v>
      </c>
      <c r="F367" s="200" t="s">
        <v>80</v>
      </c>
      <c r="G367" s="201">
        <v>53842.92</v>
      </c>
      <c r="H367" s="201">
        <v>56819.78</v>
      </c>
      <c r="I367" s="202">
        <f t="shared" si="96"/>
        <v>2976.8600000000006</v>
      </c>
      <c r="J367" s="201">
        <v>9190.06</v>
      </c>
      <c r="K367" s="199">
        <v>44321.683333333334</v>
      </c>
      <c r="L367" s="201">
        <v>56074.559999999998</v>
      </c>
      <c r="M367" s="203">
        <f t="shared" si="97"/>
        <v>-2231.64</v>
      </c>
      <c r="N367" s="204">
        <f t="shared" si="98"/>
        <v>-0.75</v>
      </c>
      <c r="O367" s="205">
        <f t="shared" si="99"/>
        <v>0</v>
      </c>
      <c r="P367" s="206">
        <f t="shared" si="100"/>
        <v>0</v>
      </c>
      <c r="Q367" s="206">
        <f t="shared" si="101"/>
        <v>-0.75</v>
      </c>
      <c r="R3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170410</v>
      </c>
      <c r="T3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7" s="208">
        <f ca="1">IF(Tabla33610673[[#This Row],[Equity]]&lt;Tabla33610673[[#This Row],[Equity Peak]],(Tabla33610673[[#This Row],[Equity Peak]]-Tabla33610673[[#This Row],[Equity]])/Tabla33610673[[#This Row],[Equity Peak]],"")</f>
        <v>4.3070530098831987E-2</v>
      </c>
      <c r="V367" s="209">
        <f t="shared" si="102"/>
        <v>0</v>
      </c>
      <c r="W367" s="209">
        <f t="shared" si="103"/>
        <v>0</v>
      </c>
      <c r="X367" s="209">
        <f t="shared" si="104"/>
        <v>0</v>
      </c>
      <c r="Y367" s="209">
        <f t="shared" si="105"/>
        <v>0</v>
      </c>
      <c r="Z367" s="209">
        <f t="shared" si="106"/>
        <v>0</v>
      </c>
      <c r="AA367" s="205">
        <f t="shared" si="107"/>
        <v>0</v>
      </c>
      <c r="AB367" s="209">
        <f t="shared" si="108"/>
        <v>-0.75</v>
      </c>
      <c r="AC367" s="205">
        <f t="shared" si="109"/>
        <v>0</v>
      </c>
      <c r="AD367" s="210">
        <f t="shared" si="110"/>
        <v>0.84999999999854481</v>
      </c>
      <c r="AE367" s="210">
        <f t="shared" si="111"/>
        <v>0</v>
      </c>
      <c r="AF367" s="210">
        <f t="shared" si="112"/>
        <v>0.84999999999854481</v>
      </c>
      <c r="AG367" s="210">
        <f t="shared" si="113"/>
        <v>0</v>
      </c>
    </row>
    <row r="368" spans="2:33" ht="15" customHeight="1" x14ac:dyDescent="0.3">
      <c r="B368" s="196" t="s">
        <v>7</v>
      </c>
      <c r="C368" s="197" t="s">
        <v>15</v>
      </c>
      <c r="D368" s="198" t="str">
        <f t="shared" si="95"/>
        <v>C</v>
      </c>
      <c r="E368" s="199">
        <v>44300.5</v>
      </c>
      <c r="F368" s="200" t="s">
        <v>122</v>
      </c>
      <c r="G368" s="201">
        <v>0.76897000000000004</v>
      </c>
      <c r="H368" s="201">
        <v>0.76544000000000001</v>
      </c>
      <c r="I368" s="202">
        <f t="shared" si="96"/>
        <v>3.5300000000000331E-3</v>
      </c>
      <c r="J368" s="201">
        <v>0.78778000000000004</v>
      </c>
      <c r="K368" s="199">
        <v>44320.756249999999</v>
      </c>
      <c r="L368" s="201">
        <v>0.76880000000000004</v>
      </c>
      <c r="M368" s="203">
        <f t="shared" si="97"/>
        <v>-2.0000000000000001E-4</v>
      </c>
      <c r="N368" s="204">
        <f t="shared" si="98"/>
        <v>-0.06</v>
      </c>
      <c r="O368" s="205">
        <f t="shared" si="99"/>
        <v>0</v>
      </c>
      <c r="P368" s="206">
        <f t="shared" si="100"/>
        <v>0</v>
      </c>
      <c r="Q368" s="206">
        <f t="shared" si="101"/>
        <v>-0.06</v>
      </c>
      <c r="R3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171160</v>
      </c>
      <c r="T3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8" s="208">
        <f ca="1">IF(Tabla33610673[[#This Row],[Equity]]&lt;Tabla33610673[[#This Row],[Equity Peak]],(Tabla33610673[[#This Row],[Equity Peak]]-Tabla33610673[[#This Row],[Equity]])/Tabla33610673[[#This Row],[Equity Peak]],"")</f>
        <v>3.8858939802336026E-2</v>
      </c>
      <c r="V368" s="209">
        <f t="shared" si="102"/>
        <v>-0.06</v>
      </c>
      <c r="W368" s="209">
        <f t="shared" si="103"/>
        <v>0</v>
      </c>
      <c r="X368" s="209">
        <f t="shared" si="104"/>
        <v>0</v>
      </c>
      <c r="Y368" s="209">
        <f t="shared" si="105"/>
        <v>0</v>
      </c>
      <c r="Z368" s="209">
        <f t="shared" si="106"/>
        <v>0</v>
      </c>
      <c r="AA368" s="205">
        <f t="shared" si="107"/>
        <v>0</v>
      </c>
      <c r="AB368" s="209">
        <f t="shared" si="108"/>
        <v>0</v>
      </c>
      <c r="AC368" s="205">
        <f t="shared" si="109"/>
        <v>0</v>
      </c>
      <c r="AD368" s="210">
        <f t="shared" si="110"/>
        <v>20.256249999998545</v>
      </c>
      <c r="AE368" s="210">
        <f t="shared" si="111"/>
        <v>0</v>
      </c>
      <c r="AF368" s="210">
        <f t="shared" si="112"/>
        <v>20.256249999998545</v>
      </c>
      <c r="AG368" s="210">
        <f t="shared" si="113"/>
        <v>0</v>
      </c>
    </row>
    <row r="369" spans="2:33" ht="15" customHeight="1" x14ac:dyDescent="0.3">
      <c r="B369" s="196" t="s">
        <v>84</v>
      </c>
      <c r="C369" s="197" t="s">
        <v>15</v>
      </c>
      <c r="D369" s="198" t="str">
        <f t="shared" si="95"/>
        <v>C</v>
      </c>
      <c r="E369" s="199">
        <v>44316.833333333336</v>
      </c>
      <c r="F369" s="200" t="s">
        <v>80</v>
      </c>
      <c r="G369" s="201">
        <v>56738.92</v>
      </c>
      <c r="H369" s="201">
        <v>54178.92</v>
      </c>
      <c r="I369" s="202">
        <f t="shared" si="96"/>
        <v>2560</v>
      </c>
      <c r="J369" s="201">
        <v>95138.92</v>
      </c>
      <c r="K369" s="199">
        <v>44320.15902777778</v>
      </c>
      <c r="L369" s="201">
        <v>56045.63</v>
      </c>
      <c r="M369" s="203">
        <f t="shared" si="97"/>
        <v>-693.29</v>
      </c>
      <c r="N369" s="204">
        <f t="shared" si="98"/>
        <v>-0.27</v>
      </c>
      <c r="O369" s="205">
        <f t="shared" si="99"/>
        <v>0</v>
      </c>
      <c r="P369" s="206">
        <f t="shared" si="100"/>
        <v>0</v>
      </c>
      <c r="Q369" s="206">
        <f t="shared" si="101"/>
        <v>-0.27</v>
      </c>
      <c r="R3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171220</v>
      </c>
      <c r="T3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69" s="208">
        <f ca="1">IF(Tabla33610673[[#This Row],[Equity]]&lt;Tabla33610673[[#This Row],[Equity Peak]],(Tabla33610673[[#This Row],[Equity Peak]]-Tabla33610673[[#This Row],[Equity]])/Tabla33610673[[#This Row],[Equity Peak]],"")</f>
        <v>3.8522012578616351E-2</v>
      </c>
      <c r="V369" s="209">
        <f t="shared" si="102"/>
        <v>0</v>
      </c>
      <c r="W369" s="209">
        <f t="shared" si="103"/>
        <v>0</v>
      </c>
      <c r="X369" s="209">
        <f t="shared" si="104"/>
        <v>0</v>
      </c>
      <c r="Y369" s="209">
        <f t="shared" si="105"/>
        <v>0</v>
      </c>
      <c r="Z369" s="209">
        <f t="shared" si="106"/>
        <v>0</v>
      </c>
      <c r="AA369" s="205">
        <f t="shared" si="107"/>
        <v>0</v>
      </c>
      <c r="AB369" s="209">
        <f t="shared" si="108"/>
        <v>-0.27</v>
      </c>
      <c r="AC369" s="205">
        <f t="shared" si="109"/>
        <v>0</v>
      </c>
      <c r="AD369" s="210">
        <f t="shared" si="110"/>
        <v>3.3256944444437977</v>
      </c>
      <c r="AE369" s="210">
        <f t="shared" si="111"/>
        <v>0</v>
      </c>
      <c r="AF369" s="210">
        <f t="shared" si="112"/>
        <v>3.3256944444437977</v>
      </c>
      <c r="AG369" s="210">
        <f t="shared" si="113"/>
        <v>0</v>
      </c>
    </row>
    <row r="370" spans="2:33" ht="15" customHeight="1" x14ac:dyDescent="0.3">
      <c r="B370" s="196" t="s">
        <v>7</v>
      </c>
      <c r="C370" s="197" t="s">
        <v>15</v>
      </c>
      <c r="D370" s="198" t="str">
        <f t="shared" si="95"/>
        <v>C</v>
      </c>
      <c r="E370" s="199">
        <v>44314.017361111109</v>
      </c>
      <c r="F370" s="200" t="s">
        <v>121</v>
      </c>
      <c r="G370" s="201">
        <v>1.5564899999999999</v>
      </c>
      <c r="H370" s="201">
        <v>1.5512699999999999</v>
      </c>
      <c r="I370" s="202">
        <f t="shared" si="96"/>
        <v>5.2200000000000024E-3</v>
      </c>
      <c r="J370" s="201">
        <v>1.61219</v>
      </c>
      <c r="K370" s="199">
        <v>44319.750694444447</v>
      </c>
      <c r="L370" s="201">
        <v>1.5550999999999999</v>
      </c>
      <c r="M370" s="203">
        <f t="shared" si="97"/>
        <v>-1.4E-3</v>
      </c>
      <c r="N370" s="204">
        <f t="shared" si="98"/>
        <v>-0.27</v>
      </c>
      <c r="O370" s="205">
        <f t="shared" si="99"/>
        <v>0</v>
      </c>
      <c r="P370" s="206">
        <f t="shared" si="100"/>
        <v>0</v>
      </c>
      <c r="Q370" s="206">
        <f t="shared" si="101"/>
        <v>-0.27</v>
      </c>
      <c r="R3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171490</v>
      </c>
      <c r="T3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0" s="208">
        <f ca="1">IF(Tabla33610673[[#This Row],[Equity]]&lt;Tabla33610673[[#This Row],[Equity Peak]],(Tabla33610673[[#This Row],[Equity Peak]]-Tabla33610673[[#This Row],[Equity]])/Tabla33610673[[#This Row],[Equity Peak]],"")</f>
        <v>3.7005840071877807E-2</v>
      </c>
      <c r="V370" s="209">
        <f t="shared" si="102"/>
        <v>-0.27</v>
      </c>
      <c r="W370" s="209">
        <f t="shared" si="103"/>
        <v>0</v>
      </c>
      <c r="X370" s="209">
        <f t="shared" si="104"/>
        <v>0</v>
      </c>
      <c r="Y370" s="209">
        <f t="shared" si="105"/>
        <v>0</v>
      </c>
      <c r="Z370" s="209">
        <f t="shared" si="106"/>
        <v>0</v>
      </c>
      <c r="AA370" s="205">
        <f t="shared" si="107"/>
        <v>0</v>
      </c>
      <c r="AB370" s="209">
        <f t="shared" si="108"/>
        <v>0</v>
      </c>
      <c r="AC370" s="205">
        <f t="shared" si="109"/>
        <v>0</v>
      </c>
      <c r="AD370" s="210">
        <f t="shared" si="110"/>
        <v>5.7333333333372138</v>
      </c>
      <c r="AE370" s="210">
        <f t="shared" si="111"/>
        <v>0</v>
      </c>
      <c r="AF370" s="210">
        <f t="shared" si="112"/>
        <v>5.7333333333372138</v>
      </c>
      <c r="AG370" s="210">
        <f t="shared" si="113"/>
        <v>0</v>
      </c>
    </row>
    <row r="371" spans="2:33" ht="15" customHeight="1" x14ac:dyDescent="0.3">
      <c r="B371" s="196" t="s">
        <v>19</v>
      </c>
      <c r="C371" s="197" t="s">
        <v>13</v>
      </c>
      <c r="D371" s="198" t="str">
        <f t="shared" si="95"/>
        <v>C</v>
      </c>
      <c r="E371" s="199">
        <v>44315.708333333336</v>
      </c>
      <c r="F371" s="200" t="s">
        <v>88</v>
      </c>
      <c r="G371" s="201">
        <v>1757.64</v>
      </c>
      <c r="H371" s="201">
        <v>1779.97</v>
      </c>
      <c r="I371" s="202">
        <f t="shared" si="96"/>
        <v>22.329999999999927</v>
      </c>
      <c r="J371" s="201">
        <v>1614.74</v>
      </c>
      <c r="K371" s="199">
        <v>44319.412499999999</v>
      </c>
      <c r="L371" s="201">
        <v>1779.91</v>
      </c>
      <c r="M371" s="203">
        <f t="shared" si="97"/>
        <v>-22.27</v>
      </c>
      <c r="N371" s="204">
        <f t="shared" si="98"/>
        <v>-1</v>
      </c>
      <c r="O371" s="205">
        <f t="shared" si="99"/>
        <v>0</v>
      </c>
      <c r="P371" s="206">
        <f t="shared" si="100"/>
        <v>0</v>
      </c>
      <c r="Q371" s="206">
        <f t="shared" si="101"/>
        <v>-1</v>
      </c>
      <c r="R3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171760</v>
      </c>
      <c r="T3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1" s="208">
        <f ca="1">IF(Tabla33610673[[#This Row],[Equity]]&lt;Tabla33610673[[#This Row],[Equity Peak]],(Tabla33610673[[#This Row],[Equity Peak]]-Tabla33610673[[#This Row],[Equity]])/Tabla33610673[[#This Row],[Equity Peak]],"")</f>
        <v>3.5489667565139264E-2</v>
      </c>
      <c r="V371" s="209">
        <f t="shared" si="102"/>
        <v>0</v>
      </c>
      <c r="W371" s="209">
        <f t="shared" si="103"/>
        <v>0</v>
      </c>
      <c r="X371" s="209">
        <f t="shared" si="104"/>
        <v>-1</v>
      </c>
      <c r="Y371" s="209">
        <f t="shared" si="105"/>
        <v>0</v>
      </c>
      <c r="Z371" s="209">
        <f t="shared" si="106"/>
        <v>0</v>
      </c>
      <c r="AA371" s="205">
        <f t="shared" si="107"/>
        <v>0</v>
      </c>
      <c r="AB371" s="209">
        <f t="shared" si="108"/>
        <v>0</v>
      </c>
      <c r="AC371" s="205">
        <f t="shared" si="109"/>
        <v>0</v>
      </c>
      <c r="AD371" s="210">
        <f t="shared" si="110"/>
        <v>3.7041666666627862</v>
      </c>
      <c r="AE371" s="210">
        <f t="shared" si="111"/>
        <v>0</v>
      </c>
      <c r="AF371" s="210">
        <f t="shared" si="112"/>
        <v>3.7041666666627862</v>
      </c>
      <c r="AG371" s="210">
        <f t="shared" si="113"/>
        <v>0</v>
      </c>
    </row>
    <row r="372" spans="2:33" ht="15" customHeight="1" x14ac:dyDescent="0.3">
      <c r="B372" s="196" t="s">
        <v>7</v>
      </c>
      <c r="C372" s="197" t="s">
        <v>15</v>
      </c>
      <c r="D372" s="198" t="str">
        <f t="shared" si="95"/>
        <v>C</v>
      </c>
      <c r="E372" s="199">
        <v>44312.833333333336</v>
      </c>
      <c r="F372" s="200" t="s">
        <v>123</v>
      </c>
      <c r="G372" s="201">
        <v>84.352000000000004</v>
      </c>
      <c r="H372" s="201">
        <v>83.891999999999996</v>
      </c>
      <c r="I372" s="202">
        <f t="shared" si="96"/>
        <v>0.46000000000000796</v>
      </c>
      <c r="J372" s="201">
        <v>92.316999999999993</v>
      </c>
      <c r="K372" s="199">
        <v>44316.756249999999</v>
      </c>
      <c r="L372" s="201">
        <v>84.293999999999997</v>
      </c>
      <c r="M372" s="203">
        <f t="shared" si="97"/>
        <v>-5.8000000000000003E-2</v>
      </c>
      <c r="N372" s="204">
        <f t="shared" si="98"/>
        <v>-0.13</v>
      </c>
      <c r="O372" s="205">
        <f t="shared" si="99"/>
        <v>0</v>
      </c>
      <c r="P372" s="206">
        <f t="shared" si="100"/>
        <v>0</v>
      </c>
      <c r="Q372" s="206">
        <f t="shared" si="101"/>
        <v>-0.13</v>
      </c>
      <c r="R3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172760</v>
      </c>
      <c r="T3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2" s="208">
        <f ca="1">IF(Tabla33610673[[#This Row],[Equity]]&lt;Tabla33610673[[#This Row],[Equity Peak]],(Tabla33610673[[#This Row],[Equity Peak]]-Tabla33610673[[#This Row],[Equity]])/Tabla33610673[[#This Row],[Equity Peak]],"")</f>
        <v>2.9874213836477988E-2</v>
      </c>
      <c r="V372" s="209">
        <f t="shared" si="102"/>
        <v>-0.13</v>
      </c>
      <c r="W372" s="209">
        <f t="shared" si="103"/>
        <v>0</v>
      </c>
      <c r="X372" s="209">
        <f t="shared" si="104"/>
        <v>0</v>
      </c>
      <c r="Y372" s="209">
        <f t="shared" si="105"/>
        <v>0</v>
      </c>
      <c r="Z372" s="209">
        <f t="shared" si="106"/>
        <v>0</v>
      </c>
      <c r="AA372" s="205">
        <f t="shared" si="107"/>
        <v>0</v>
      </c>
      <c r="AB372" s="209">
        <f t="shared" si="108"/>
        <v>0</v>
      </c>
      <c r="AC372" s="205">
        <f t="shared" si="109"/>
        <v>0</v>
      </c>
      <c r="AD372" s="210">
        <f t="shared" si="110"/>
        <v>3.9229166666627862</v>
      </c>
      <c r="AE372" s="210">
        <f t="shared" si="111"/>
        <v>0</v>
      </c>
      <c r="AF372" s="210">
        <f t="shared" si="112"/>
        <v>3.9229166666627862</v>
      </c>
      <c r="AG372" s="210">
        <f t="shared" si="113"/>
        <v>0</v>
      </c>
    </row>
    <row r="373" spans="2:33" ht="15" customHeight="1" x14ac:dyDescent="0.3">
      <c r="B373" s="196" t="s">
        <v>7</v>
      </c>
      <c r="C373" s="197" t="s">
        <v>15</v>
      </c>
      <c r="D373" s="198" t="str">
        <f t="shared" si="95"/>
        <v>C</v>
      </c>
      <c r="E373" s="199">
        <v>44314.666666666664</v>
      </c>
      <c r="F373" s="200" t="s">
        <v>116</v>
      </c>
      <c r="G373" s="201">
        <v>151.12200000000001</v>
      </c>
      <c r="H373" s="201">
        <v>150.23599999999999</v>
      </c>
      <c r="I373" s="202">
        <f t="shared" si="96"/>
        <v>0.8860000000000241</v>
      </c>
      <c r="J373" s="201">
        <v>156.08099999999999</v>
      </c>
      <c r="K373" s="199">
        <v>44316.756249999999</v>
      </c>
      <c r="L373" s="201">
        <v>151.00399999999999</v>
      </c>
      <c r="M373" s="203">
        <f t="shared" si="97"/>
        <v>-0.11799999999999999</v>
      </c>
      <c r="N373" s="204">
        <f t="shared" si="98"/>
        <v>-0.13</v>
      </c>
      <c r="O373" s="205">
        <f t="shared" si="99"/>
        <v>0</v>
      </c>
      <c r="P373" s="206">
        <f t="shared" si="100"/>
        <v>0</v>
      </c>
      <c r="Q373" s="206">
        <f t="shared" si="101"/>
        <v>-0.13</v>
      </c>
      <c r="R3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172890</v>
      </c>
      <c r="T3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3" s="208">
        <f ca="1">IF(Tabla33610673[[#This Row],[Equity]]&lt;Tabla33610673[[#This Row],[Equity Peak]],(Tabla33610673[[#This Row],[Equity Peak]]-Tabla33610673[[#This Row],[Equity]])/Tabla33610673[[#This Row],[Equity Peak]],"")</f>
        <v>2.9144204851752023E-2</v>
      </c>
      <c r="V373" s="209">
        <f t="shared" si="102"/>
        <v>-0.13</v>
      </c>
      <c r="W373" s="209">
        <f t="shared" si="103"/>
        <v>0</v>
      </c>
      <c r="X373" s="209">
        <f t="shared" si="104"/>
        <v>0</v>
      </c>
      <c r="Y373" s="209">
        <f t="shared" si="105"/>
        <v>0</v>
      </c>
      <c r="Z373" s="209">
        <f t="shared" si="106"/>
        <v>0</v>
      </c>
      <c r="AA373" s="205">
        <f t="shared" si="107"/>
        <v>0</v>
      </c>
      <c r="AB373" s="209">
        <f t="shared" si="108"/>
        <v>0</v>
      </c>
      <c r="AC373" s="205">
        <f t="shared" si="109"/>
        <v>0</v>
      </c>
      <c r="AD373" s="210">
        <f t="shared" si="110"/>
        <v>2.0895833333343035</v>
      </c>
      <c r="AE373" s="210">
        <f t="shared" si="111"/>
        <v>0</v>
      </c>
      <c r="AF373" s="210">
        <f t="shared" si="112"/>
        <v>2.0895833333343035</v>
      </c>
      <c r="AG373" s="210">
        <f t="shared" si="113"/>
        <v>0</v>
      </c>
    </row>
    <row r="374" spans="2:33" ht="15" customHeight="1" x14ac:dyDescent="0.3">
      <c r="B374" s="196" t="s">
        <v>7</v>
      </c>
      <c r="C374" s="197" t="s">
        <v>15</v>
      </c>
      <c r="D374" s="198" t="str">
        <f t="shared" si="95"/>
        <v>C</v>
      </c>
      <c r="E374" s="199">
        <v>44309.833333333336</v>
      </c>
      <c r="F374" s="200" t="s">
        <v>119</v>
      </c>
      <c r="G374" s="201">
        <v>130.40799999999999</v>
      </c>
      <c r="H374" s="201">
        <v>129.49600000000001</v>
      </c>
      <c r="I374" s="202">
        <f t="shared" si="96"/>
        <v>0.91199999999997772</v>
      </c>
      <c r="J374" s="201">
        <v>134.05699999999999</v>
      </c>
      <c r="K374" s="199">
        <v>44316.57916666667</v>
      </c>
      <c r="L374" s="201">
        <v>131.529</v>
      </c>
      <c r="M374" s="203">
        <f t="shared" si="97"/>
        <v>1.121</v>
      </c>
      <c r="N374" s="204">
        <f t="shared" si="98"/>
        <v>1.23</v>
      </c>
      <c r="O374" s="205">
        <f t="shared" si="99"/>
        <v>0</v>
      </c>
      <c r="P374" s="206">
        <f t="shared" si="100"/>
        <v>1.23</v>
      </c>
      <c r="Q374" s="206">
        <f t="shared" si="101"/>
        <v>0</v>
      </c>
      <c r="R3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173020</v>
      </c>
      <c r="T3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4" s="208">
        <f ca="1">IF(Tabla33610673[[#This Row],[Equity]]&lt;Tabla33610673[[#This Row],[Equity Peak]],(Tabla33610673[[#This Row],[Equity Peak]]-Tabla33610673[[#This Row],[Equity]])/Tabla33610673[[#This Row],[Equity Peak]],"")</f>
        <v>2.8414195867026055E-2</v>
      </c>
      <c r="V374" s="209">
        <f t="shared" si="102"/>
        <v>1.23</v>
      </c>
      <c r="W374" s="209">
        <f t="shared" si="103"/>
        <v>0</v>
      </c>
      <c r="X374" s="209">
        <f t="shared" si="104"/>
        <v>0</v>
      </c>
      <c r="Y374" s="209">
        <f t="shared" si="105"/>
        <v>0</v>
      </c>
      <c r="Z374" s="209">
        <f t="shared" si="106"/>
        <v>0</v>
      </c>
      <c r="AA374" s="205">
        <f t="shared" si="107"/>
        <v>0</v>
      </c>
      <c r="AB374" s="209">
        <f t="shared" si="108"/>
        <v>0</v>
      </c>
      <c r="AC374" s="205">
        <f t="shared" si="109"/>
        <v>0</v>
      </c>
      <c r="AD374" s="210">
        <f t="shared" si="110"/>
        <v>6.7458333333343035</v>
      </c>
      <c r="AE374" s="210">
        <f t="shared" si="111"/>
        <v>6.7458333333343035</v>
      </c>
      <c r="AF374" s="210">
        <f t="shared" si="112"/>
        <v>0</v>
      </c>
      <c r="AG374" s="210">
        <f t="shared" si="113"/>
        <v>0</v>
      </c>
    </row>
    <row r="375" spans="2:33" ht="15" customHeight="1" x14ac:dyDescent="0.3">
      <c r="B375" s="196" t="s">
        <v>5</v>
      </c>
      <c r="C375" s="197" t="s">
        <v>15</v>
      </c>
      <c r="D375" s="198" t="str">
        <f t="shared" si="95"/>
        <v>C</v>
      </c>
      <c r="E375" s="199">
        <v>44308.125</v>
      </c>
      <c r="F375" s="200" t="s">
        <v>94</v>
      </c>
      <c r="G375" s="201">
        <v>6929.34</v>
      </c>
      <c r="H375" s="201">
        <v>6849.28</v>
      </c>
      <c r="I375" s="202">
        <f t="shared" si="96"/>
        <v>80.0600000000004</v>
      </c>
      <c r="J375" s="201">
        <v>7329.64</v>
      </c>
      <c r="K375" s="199">
        <v>44315.744444444441</v>
      </c>
      <c r="L375" s="201">
        <v>6961.71</v>
      </c>
      <c r="M375" s="203">
        <f t="shared" si="97"/>
        <v>32.369999999999997</v>
      </c>
      <c r="N375" s="204">
        <f t="shared" si="98"/>
        <v>0.4</v>
      </c>
      <c r="O375" s="205">
        <f t="shared" si="99"/>
        <v>0</v>
      </c>
      <c r="P375" s="206">
        <f t="shared" si="100"/>
        <v>0.4</v>
      </c>
      <c r="Q375" s="206">
        <f t="shared" si="101"/>
        <v>0</v>
      </c>
      <c r="R3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171790</v>
      </c>
      <c r="T3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5" s="208">
        <f ca="1">IF(Tabla33610673[[#This Row],[Equity]]&lt;Tabla33610673[[#This Row],[Equity Peak]],(Tabla33610673[[#This Row],[Equity Peak]]-Tabla33610673[[#This Row],[Equity]])/Tabla33610673[[#This Row],[Equity Peak]],"")</f>
        <v>3.5321203953279423E-2</v>
      </c>
      <c r="V375" s="209">
        <f t="shared" si="102"/>
        <v>0</v>
      </c>
      <c r="W375" s="209">
        <f t="shared" si="103"/>
        <v>0</v>
      </c>
      <c r="X375" s="209">
        <f t="shared" si="104"/>
        <v>0</v>
      </c>
      <c r="Y375" s="209">
        <f t="shared" si="105"/>
        <v>0</v>
      </c>
      <c r="Z375" s="209">
        <f t="shared" si="106"/>
        <v>0.4</v>
      </c>
      <c r="AA375" s="205">
        <f t="shared" si="107"/>
        <v>0</v>
      </c>
      <c r="AB375" s="209">
        <f t="shared" si="108"/>
        <v>0</v>
      </c>
      <c r="AC375" s="205">
        <f t="shared" si="109"/>
        <v>0</v>
      </c>
      <c r="AD375" s="210">
        <f t="shared" si="110"/>
        <v>7.6194444444408873</v>
      </c>
      <c r="AE375" s="210">
        <f t="shared" si="111"/>
        <v>7.6194444444408873</v>
      </c>
      <c r="AF375" s="210">
        <f t="shared" si="112"/>
        <v>0</v>
      </c>
      <c r="AG375" s="210">
        <f t="shared" si="113"/>
        <v>0</v>
      </c>
    </row>
    <row r="376" spans="2:33" ht="15" customHeight="1" x14ac:dyDescent="0.3">
      <c r="B376" s="196" t="s">
        <v>19</v>
      </c>
      <c r="C376" s="197" t="s">
        <v>13</v>
      </c>
      <c r="D376" s="198" t="str">
        <f t="shared" si="95"/>
        <v>C</v>
      </c>
      <c r="E376" s="199">
        <v>44314.541666666664</v>
      </c>
      <c r="F376" s="200" t="s">
        <v>88</v>
      </c>
      <c r="G376" s="201">
        <v>1766.28</v>
      </c>
      <c r="H376" s="201">
        <v>1784.67</v>
      </c>
      <c r="I376" s="202">
        <f t="shared" si="96"/>
        <v>18.3900000000001</v>
      </c>
      <c r="J376" s="201">
        <v>1648.59</v>
      </c>
      <c r="K376" s="199">
        <v>44315.129166666666</v>
      </c>
      <c r="L376" s="201">
        <v>1784.67</v>
      </c>
      <c r="M376" s="203">
        <f t="shared" si="97"/>
        <v>-18.39</v>
      </c>
      <c r="N376" s="204">
        <f t="shared" si="98"/>
        <v>-1</v>
      </c>
      <c r="O376" s="205">
        <f t="shared" si="99"/>
        <v>0</v>
      </c>
      <c r="P376" s="206">
        <f t="shared" si="100"/>
        <v>0</v>
      </c>
      <c r="Q376" s="206">
        <f t="shared" si="101"/>
        <v>-1</v>
      </c>
      <c r="R3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171390</v>
      </c>
      <c r="T3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6" s="208">
        <f ca="1">IF(Tabla33610673[[#This Row],[Equity]]&lt;Tabla33610673[[#This Row],[Equity Peak]],(Tabla33610673[[#This Row],[Equity Peak]]-Tabla33610673[[#This Row],[Equity]])/Tabla33610673[[#This Row],[Equity Peak]],"")</f>
        <v>3.7567385444743938E-2</v>
      </c>
      <c r="V376" s="209">
        <f t="shared" si="102"/>
        <v>0</v>
      </c>
      <c r="W376" s="209">
        <f t="shared" si="103"/>
        <v>0</v>
      </c>
      <c r="X376" s="209">
        <f t="shared" si="104"/>
        <v>-1</v>
      </c>
      <c r="Y376" s="209">
        <f t="shared" si="105"/>
        <v>0</v>
      </c>
      <c r="Z376" s="209">
        <f t="shared" si="106"/>
        <v>0</v>
      </c>
      <c r="AA376" s="205">
        <f t="shared" si="107"/>
        <v>0</v>
      </c>
      <c r="AB376" s="209">
        <f t="shared" si="108"/>
        <v>0</v>
      </c>
      <c r="AC376" s="205">
        <f t="shared" si="109"/>
        <v>0</v>
      </c>
      <c r="AD376" s="210">
        <f t="shared" si="110"/>
        <v>0.58750000000145519</v>
      </c>
      <c r="AE376" s="210">
        <f t="shared" si="111"/>
        <v>0</v>
      </c>
      <c r="AF376" s="210">
        <f t="shared" si="112"/>
        <v>0.58750000000145519</v>
      </c>
      <c r="AG376" s="210">
        <f t="shared" si="113"/>
        <v>0</v>
      </c>
    </row>
    <row r="377" spans="2:33" ht="15" customHeight="1" x14ac:dyDescent="0.3">
      <c r="B377" s="196" t="s">
        <v>7</v>
      </c>
      <c r="C377" s="197" t="s">
        <v>15</v>
      </c>
      <c r="D377" s="198" t="str">
        <f t="shared" si="95"/>
        <v>C</v>
      </c>
      <c r="E377" s="199">
        <v>44314.333333333336</v>
      </c>
      <c r="F377" s="200" t="s">
        <v>114</v>
      </c>
      <c r="G377" s="201">
        <v>108.851</v>
      </c>
      <c r="H377" s="201">
        <v>108.175</v>
      </c>
      <c r="I377" s="202">
        <f t="shared" si="96"/>
        <v>0.67600000000000193</v>
      </c>
      <c r="J377" s="201">
        <v>112.00700000000001</v>
      </c>
      <c r="K377" s="199">
        <v>44314.902083333334</v>
      </c>
      <c r="L377" s="201">
        <v>108.614</v>
      </c>
      <c r="M377" s="203">
        <f t="shared" si="97"/>
        <v>-0.23699999999999999</v>
      </c>
      <c r="N377" s="204">
        <f t="shared" si="98"/>
        <v>-0.35</v>
      </c>
      <c r="O377" s="205">
        <f t="shared" si="99"/>
        <v>0</v>
      </c>
      <c r="P377" s="206">
        <f t="shared" si="100"/>
        <v>0</v>
      </c>
      <c r="Q377" s="206">
        <f t="shared" si="101"/>
        <v>-0.35</v>
      </c>
      <c r="R3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172390</v>
      </c>
      <c r="T3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7" s="208">
        <f ca="1">IF(Tabla33610673[[#This Row],[Equity]]&lt;Tabla33610673[[#This Row],[Equity Peak]],(Tabla33610673[[#This Row],[Equity Peak]]-Tabla33610673[[#This Row],[Equity]])/Tabla33610673[[#This Row],[Equity Peak]],"")</f>
        <v>3.1951931716082661E-2</v>
      </c>
      <c r="V377" s="209">
        <f t="shared" si="102"/>
        <v>-0.35</v>
      </c>
      <c r="W377" s="209">
        <f t="shared" si="103"/>
        <v>0</v>
      </c>
      <c r="X377" s="209">
        <f t="shared" si="104"/>
        <v>0</v>
      </c>
      <c r="Y377" s="209">
        <f t="shared" si="105"/>
        <v>0</v>
      </c>
      <c r="Z377" s="209">
        <f t="shared" si="106"/>
        <v>0</v>
      </c>
      <c r="AA377" s="205">
        <f t="shared" si="107"/>
        <v>0</v>
      </c>
      <c r="AB377" s="209">
        <f t="shared" si="108"/>
        <v>0</v>
      </c>
      <c r="AC377" s="205">
        <f t="shared" si="109"/>
        <v>0</v>
      </c>
      <c r="AD377" s="210">
        <f t="shared" si="110"/>
        <v>0.56874999999854481</v>
      </c>
      <c r="AE377" s="210">
        <f t="shared" si="111"/>
        <v>0</v>
      </c>
      <c r="AF377" s="210">
        <f t="shared" si="112"/>
        <v>0.56874999999854481</v>
      </c>
      <c r="AG377" s="210">
        <f t="shared" si="113"/>
        <v>0</v>
      </c>
    </row>
    <row r="378" spans="2:33" ht="15" customHeight="1" x14ac:dyDescent="0.3">
      <c r="B378" s="196" t="s">
        <v>7</v>
      </c>
      <c r="C378" s="197" t="s">
        <v>13</v>
      </c>
      <c r="D378" s="198" t="str">
        <f t="shared" si="95"/>
        <v>C</v>
      </c>
      <c r="E378" s="199">
        <v>44309.666666666664</v>
      </c>
      <c r="F378" s="200" t="s">
        <v>117</v>
      </c>
      <c r="G378" s="201">
        <v>1.7936099999999999</v>
      </c>
      <c r="H378" s="201">
        <v>1.80827</v>
      </c>
      <c r="I378" s="202">
        <f t="shared" si="96"/>
        <v>1.4660000000000117E-2</v>
      </c>
      <c r="J378" s="201">
        <v>1.74475</v>
      </c>
      <c r="K378" s="199">
        <v>44314.193749999999</v>
      </c>
      <c r="L378" s="201">
        <v>1.7950600000000001</v>
      </c>
      <c r="M378" s="203">
        <f t="shared" si="97"/>
        <v>-1.5E-3</v>
      </c>
      <c r="N378" s="204">
        <f t="shared" si="98"/>
        <v>-0.1</v>
      </c>
      <c r="O378" s="205">
        <f t="shared" si="99"/>
        <v>0</v>
      </c>
      <c r="P378" s="206">
        <f t="shared" si="100"/>
        <v>0</v>
      </c>
      <c r="Q378" s="206">
        <f t="shared" si="101"/>
        <v>-0.1</v>
      </c>
      <c r="R3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172740</v>
      </c>
      <c r="T3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8" s="208">
        <f ca="1">IF(Tabla33610673[[#This Row],[Equity]]&lt;Tabla33610673[[#This Row],[Equity Peak]],(Tabla33610673[[#This Row],[Equity Peak]]-Tabla33610673[[#This Row],[Equity]])/Tabla33610673[[#This Row],[Equity Peak]],"")</f>
        <v>2.9986522911051212E-2</v>
      </c>
      <c r="V378" s="209">
        <f t="shared" si="102"/>
        <v>-0.1</v>
      </c>
      <c r="W378" s="209">
        <f t="shared" si="103"/>
        <v>0</v>
      </c>
      <c r="X378" s="209">
        <f t="shared" si="104"/>
        <v>0</v>
      </c>
      <c r="Y378" s="209">
        <f t="shared" si="105"/>
        <v>0</v>
      </c>
      <c r="Z378" s="209">
        <f t="shared" si="106"/>
        <v>0</v>
      </c>
      <c r="AA378" s="205">
        <f t="shared" si="107"/>
        <v>0</v>
      </c>
      <c r="AB378" s="209">
        <f t="shared" si="108"/>
        <v>0</v>
      </c>
      <c r="AC378" s="205">
        <f t="shared" si="109"/>
        <v>0</v>
      </c>
      <c r="AD378" s="210">
        <f t="shared" si="110"/>
        <v>4.5270833333343035</v>
      </c>
      <c r="AE378" s="210">
        <f t="shared" si="111"/>
        <v>0</v>
      </c>
      <c r="AF378" s="210">
        <f t="shared" si="112"/>
        <v>4.5270833333343035</v>
      </c>
      <c r="AG378" s="210">
        <f t="shared" si="113"/>
        <v>0</v>
      </c>
    </row>
    <row r="379" spans="2:33" ht="15" customHeight="1" x14ac:dyDescent="0.3">
      <c r="B379" s="196" t="s">
        <v>7</v>
      </c>
      <c r="C379" s="197" t="s">
        <v>13</v>
      </c>
      <c r="D379" s="198" t="str">
        <f t="shared" si="95"/>
        <v>C</v>
      </c>
      <c r="E379" s="199">
        <v>44313.017361111109</v>
      </c>
      <c r="F379" s="200" t="s">
        <v>121</v>
      </c>
      <c r="G379" s="201">
        <v>1.54765</v>
      </c>
      <c r="H379" s="201">
        <v>1.5544500000000001</v>
      </c>
      <c r="I379" s="202">
        <f t="shared" si="96"/>
        <v>6.8000000000001393E-3</v>
      </c>
      <c r="J379" s="201">
        <v>1.47512</v>
      </c>
      <c r="K379" s="199">
        <v>44313.67291666667</v>
      </c>
      <c r="L379" s="201">
        <v>1.5544500000000001</v>
      </c>
      <c r="M379" s="203">
        <f t="shared" si="97"/>
        <v>-6.7999999999999996E-3</v>
      </c>
      <c r="N379" s="204">
        <f t="shared" si="98"/>
        <v>-1</v>
      </c>
      <c r="O379" s="205">
        <f t="shared" si="99"/>
        <v>0</v>
      </c>
      <c r="P379" s="206">
        <f t="shared" si="100"/>
        <v>0</v>
      </c>
      <c r="Q379" s="206">
        <f t="shared" si="101"/>
        <v>-1</v>
      </c>
      <c r="R3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172840</v>
      </c>
      <c r="T3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79" s="208">
        <f ca="1">IF(Tabla33610673[[#This Row],[Equity]]&lt;Tabla33610673[[#This Row],[Equity Peak]],(Tabla33610673[[#This Row],[Equity Peak]]-Tabla33610673[[#This Row],[Equity]])/Tabla33610673[[#This Row],[Equity Peak]],"")</f>
        <v>2.9424977538185085E-2</v>
      </c>
      <c r="V379" s="209">
        <f t="shared" si="102"/>
        <v>-1</v>
      </c>
      <c r="W379" s="209">
        <f t="shared" si="103"/>
        <v>0</v>
      </c>
      <c r="X379" s="209">
        <f t="shared" si="104"/>
        <v>0</v>
      </c>
      <c r="Y379" s="209">
        <f t="shared" si="105"/>
        <v>0</v>
      </c>
      <c r="Z379" s="209">
        <f t="shared" si="106"/>
        <v>0</v>
      </c>
      <c r="AA379" s="205">
        <f t="shared" si="107"/>
        <v>0</v>
      </c>
      <c r="AB379" s="209">
        <f t="shared" si="108"/>
        <v>0</v>
      </c>
      <c r="AC379" s="205">
        <f t="shared" si="109"/>
        <v>0</v>
      </c>
      <c r="AD379" s="210">
        <f t="shared" si="110"/>
        <v>0.65555555556056788</v>
      </c>
      <c r="AE379" s="210">
        <f t="shared" si="111"/>
        <v>0</v>
      </c>
      <c r="AF379" s="210">
        <f t="shared" si="112"/>
        <v>0.65555555556056788</v>
      </c>
      <c r="AG379" s="210">
        <f t="shared" si="113"/>
        <v>0</v>
      </c>
    </row>
    <row r="380" spans="2:33" ht="15" customHeight="1" x14ac:dyDescent="0.3">
      <c r="B380" s="196" t="s">
        <v>7</v>
      </c>
      <c r="C380" s="197" t="s">
        <v>13</v>
      </c>
      <c r="D380" s="198" t="str">
        <f t="shared" si="95"/>
        <v>C</v>
      </c>
      <c r="E380" s="199">
        <v>44307.333333333336</v>
      </c>
      <c r="F380" s="200" t="s">
        <v>116</v>
      </c>
      <c r="G380" s="201">
        <v>150.41999999999999</v>
      </c>
      <c r="H380" s="201">
        <v>151.41</v>
      </c>
      <c r="I380" s="202">
        <f t="shared" si="96"/>
        <v>0.99000000000000909</v>
      </c>
      <c r="J380" s="201">
        <v>144.876</v>
      </c>
      <c r="K380" s="199">
        <v>44313.558333333334</v>
      </c>
      <c r="L380" s="201">
        <v>150.53899999999999</v>
      </c>
      <c r="M380" s="203">
        <f t="shared" si="97"/>
        <v>-0.11899999999999999</v>
      </c>
      <c r="N380" s="204">
        <f t="shared" si="98"/>
        <v>-0.12</v>
      </c>
      <c r="O380" s="205">
        <f t="shared" si="99"/>
        <v>0</v>
      </c>
      <c r="P380" s="206">
        <f t="shared" si="100"/>
        <v>0</v>
      </c>
      <c r="Q380" s="206">
        <f t="shared" si="101"/>
        <v>-0.12</v>
      </c>
      <c r="R3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173840</v>
      </c>
      <c r="T3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0" s="208">
        <f ca="1">IF(Tabla33610673[[#This Row],[Equity]]&lt;Tabla33610673[[#This Row],[Equity Peak]],(Tabla33610673[[#This Row],[Equity Peak]]-Tabla33610673[[#This Row],[Equity]])/Tabla33610673[[#This Row],[Equity Peak]],"")</f>
        <v>2.3809523809523808E-2</v>
      </c>
      <c r="V380" s="209">
        <f t="shared" si="102"/>
        <v>-0.12</v>
      </c>
      <c r="W380" s="209">
        <f t="shared" si="103"/>
        <v>0</v>
      </c>
      <c r="X380" s="209">
        <f t="shared" si="104"/>
        <v>0</v>
      </c>
      <c r="Y380" s="209">
        <f t="shared" si="105"/>
        <v>0</v>
      </c>
      <c r="Z380" s="209">
        <f t="shared" si="106"/>
        <v>0</v>
      </c>
      <c r="AA380" s="205">
        <f t="shared" si="107"/>
        <v>0</v>
      </c>
      <c r="AB380" s="209">
        <f t="shared" si="108"/>
        <v>0</v>
      </c>
      <c r="AC380" s="205">
        <f t="shared" si="109"/>
        <v>0</v>
      </c>
      <c r="AD380" s="210">
        <f t="shared" si="110"/>
        <v>6.2249999999985448</v>
      </c>
      <c r="AE380" s="210">
        <f t="shared" si="111"/>
        <v>0</v>
      </c>
      <c r="AF380" s="210">
        <f t="shared" si="112"/>
        <v>6.2249999999985448</v>
      </c>
      <c r="AG380" s="210">
        <f t="shared" si="113"/>
        <v>0</v>
      </c>
    </row>
    <row r="381" spans="2:33" ht="15" customHeight="1" x14ac:dyDescent="0.3">
      <c r="B381" s="196" t="s">
        <v>84</v>
      </c>
      <c r="C381" s="197" t="s">
        <v>13</v>
      </c>
      <c r="D381" s="198" t="str">
        <f t="shared" si="95"/>
        <v>C</v>
      </c>
      <c r="E381" s="199">
        <v>44305.166666666664</v>
      </c>
      <c r="F381" s="200" t="s">
        <v>80</v>
      </c>
      <c r="G381" s="201">
        <v>56876.92</v>
      </c>
      <c r="H381" s="201">
        <v>60067.06</v>
      </c>
      <c r="I381" s="202">
        <f t="shared" si="96"/>
        <v>3190.1399999999994</v>
      </c>
      <c r="J381" s="201">
        <v>9024.7800000000007</v>
      </c>
      <c r="K381" s="199">
        <v>44312.869444444441</v>
      </c>
      <c r="L381" s="201">
        <v>54293.99</v>
      </c>
      <c r="M381" s="203">
        <f t="shared" si="97"/>
        <v>2582.9299999999998</v>
      </c>
      <c r="N381" s="204">
        <f t="shared" si="98"/>
        <v>0.81</v>
      </c>
      <c r="O381" s="205">
        <f t="shared" si="99"/>
        <v>0</v>
      </c>
      <c r="P381" s="206">
        <f t="shared" si="100"/>
        <v>0.81</v>
      </c>
      <c r="Q381" s="206">
        <f t="shared" si="101"/>
        <v>0</v>
      </c>
      <c r="R3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173960</v>
      </c>
      <c r="T3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1" s="208">
        <f ca="1">IF(Tabla33610673[[#This Row],[Equity]]&lt;Tabla33610673[[#This Row],[Equity Peak]],(Tabla33610673[[#This Row],[Equity Peak]]-Tabla33610673[[#This Row],[Equity]])/Tabla33610673[[#This Row],[Equity Peak]],"")</f>
        <v>2.3135669362084457E-2</v>
      </c>
      <c r="V381" s="209">
        <f t="shared" si="102"/>
        <v>0</v>
      </c>
      <c r="W381" s="209">
        <f t="shared" si="103"/>
        <v>0</v>
      </c>
      <c r="X381" s="209">
        <f t="shared" si="104"/>
        <v>0</v>
      </c>
      <c r="Y381" s="209">
        <f t="shared" si="105"/>
        <v>0</v>
      </c>
      <c r="Z381" s="209">
        <f t="shared" si="106"/>
        <v>0</v>
      </c>
      <c r="AA381" s="205">
        <f t="shared" si="107"/>
        <v>0</v>
      </c>
      <c r="AB381" s="209">
        <f t="shared" si="108"/>
        <v>0.81</v>
      </c>
      <c r="AC381" s="205">
        <f t="shared" si="109"/>
        <v>0</v>
      </c>
      <c r="AD381" s="210">
        <f t="shared" si="110"/>
        <v>7.702777777776646</v>
      </c>
      <c r="AE381" s="210">
        <f t="shared" si="111"/>
        <v>7.702777777776646</v>
      </c>
      <c r="AF381" s="210">
        <f t="shared" si="112"/>
        <v>0</v>
      </c>
      <c r="AG381" s="210">
        <f t="shared" si="113"/>
        <v>0</v>
      </c>
    </row>
    <row r="382" spans="2:33" ht="15" customHeight="1" x14ac:dyDescent="0.3">
      <c r="B382" s="196" t="s">
        <v>7</v>
      </c>
      <c r="C382" s="197" t="s">
        <v>13</v>
      </c>
      <c r="D382" s="198" t="str">
        <f t="shared" si="95"/>
        <v>C</v>
      </c>
      <c r="E382" s="199">
        <v>44309.017361111109</v>
      </c>
      <c r="F382" s="200" t="s">
        <v>119</v>
      </c>
      <c r="G382" s="201">
        <v>129.67699999999999</v>
      </c>
      <c r="H382" s="201">
        <v>130.524</v>
      </c>
      <c r="I382" s="202">
        <f t="shared" si="96"/>
        <v>0.84700000000000841</v>
      </c>
      <c r="J382" s="201">
        <v>126.29</v>
      </c>
      <c r="K382" s="199">
        <v>44309.833333333336</v>
      </c>
      <c r="L382" s="201">
        <v>130.40799999999999</v>
      </c>
      <c r="M382" s="203">
        <f t="shared" si="97"/>
        <v>-0.73099999999999998</v>
      </c>
      <c r="N382" s="204">
        <f t="shared" si="98"/>
        <v>-0.86</v>
      </c>
      <c r="O382" s="205">
        <f t="shared" si="99"/>
        <v>0</v>
      </c>
      <c r="P382" s="206">
        <f t="shared" si="100"/>
        <v>0</v>
      </c>
      <c r="Q382" s="206">
        <f t="shared" si="101"/>
        <v>-0.86</v>
      </c>
      <c r="R3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173150</v>
      </c>
      <c r="T3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2" s="208">
        <f ca="1">IF(Tabla33610673[[#This Row],[Equity]]&lt;Tabla33610673[[#This Row],[Equity Peak]],(Tabla33610673[[#This Row],[Equity Peak]]-Tabla33610673[[#This Row],[Equity]])/Tabla33610673[[#This Row],[Equity Peak]],"")</f>
        <v>2.768418688230009E-2</v>
      </c>
      <c r="V382" s="209">
        <f t="shared" si="102"/>
        <v>-0.86</v>
      </c>
      <c r="W382" s="209">
        <f t="shared" si="103"/>
        <v>0</v>
      </c>
      <c r="X382" s="209">
        <f t="shared" si="104"/>
        <v>0</v>
      </c>
      <c r="Y382" s="209">
        <f t="shared" si="105"/>
        <v>0</v>
      </c>
      <c r="Z382" s="209">
        <f t="shared" si="106"/>
        <v>0</v>
      </c>
      <c r="AA382" s="205">
        <f t="shared" si="107"/>
        <v>0</v>
      </c>
      <c r="AB382" s="209">
        <f t="shared" si="108"/>
        <v>0</v>
      </c>
      <c r="AC382" s="205">
        <f t="shared" si="109"/>
        <v>0</v>
      </c>
      <c r="AD382" s="210">
        <f t="shared" si="110"/>
        <v>0.81597222222626442</v>
      </c>
      <c r="AE382" s="210">
        <f t="shared" si="111"/>
        <v>0</v>
      </c>
      <c r="AF382" s="210">
        <f t="shared" si="112"/>
        <v>0.81597222222626442</v>
      </c>
      <c r="AG382" s="210">
        <f t="shared" si="113"/>
        <v>0</v>
      </c>
    </row>
    <row r="383" spans="2:33" ht="15" customHeight="1" x14ac:dyDescent="0.3">
      <c r="B383" s="196" t="s">
        <v>19</v>
      </c>
      <c r="C383" s="197" t="s">
        <v>15</v>
      </c>
      <c r="D383" s="198" t="str">
        <f t="shared" si="95"/>
        <v>C</v>
      </c>
      <c r="E383" s="199">
        <v>44300.541666666664</v>
      </c>
      <c r="F383" s="200" t="s">
        <v>89</v>
      </c>
      <c r="G383" s="201">
        <v>25.367999999999999</v>
      </c>
      <c r="H383" s="201">
        <v>24.786000000000001</v>
      </c>
      <c r="I383" s="202">
        <f t="shared" si="96"/>
        <v>0.58199999999999719</v>
      </c>
      <c r="J383" s="201">
        <v>28.161999999999999</v>
      </c>
      <c r="K383" s="199">
        <v>44308.875694444447</v>
      </c>
      <c r="L383" s="201">
        <v>26.064</v>
      </c>
      <c r="M383" s="203">
        <f t="shared" si="97"/>
        <v>0.69599999999999995</v>
      </c>
      <c r="N383" s="204">
        <f t="shared" si="98"/>
        <v>1.2</v>
      </c>
      <c r="O383" s="205">
        <f t="shared" si="99"/>
        <v>0</v>
      </c>
      <c r="P383" s="206">
        <f t="shared" si="100"/>
        <v>1.2</v>
      </c>
      <c r="Q383" s="206">
        <f t="shared" si="101"/>
        <v>0</v>
      </c>
      <c r="R3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174010</v>
      </c>
      <c r="T3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3" s="208">
        <f ca="1">IF(Tabla33610673[[#This Row],[Equity]]&lt;Tabla33610673[[#This Row],[Equity Peak]],(Tabla33610673[[#This Row],[Equity Peak]]-Tabla33610673[[#This Row],[Equity]])/Tabla33610673[[#This Row],[Equity Peak]],"")</f>
        <v>2.2854896675651392E-2</v>
      </c>
      <c r="V383" s="209">
        <f t="shared" si="102"/>
        <v>0</v>
      </c>
      <c r="W383" s="209">
        <f t="shared" si="103"/>
        <v>0</v>
      </c>
      <c r="X383" s="209">
        <f t="shared" si="104"/>
        <v>1.2</v>
      </c>
      <c r="Y383" s="209">
        <f t="shared" si="105"/>
        <v>0</v>
      </c>
      <c r="Z383" s="209">
        <f t="shared" si="106"/>
        <v>0</v>
      </c>
      <c r="AA383" s="205">
        <f t="shared" si="107"/>
        <v>0</v>
      </c>
      <c r="AB383" s="209">
        <f t="shared" si="108"/>
        <v>0</v>
      </c>
      <c r="AC383" s="205">
        <f t="shared" si="109"/>
        <v>0</v>
      </c>
      <c r="AD383" s="210">
        <f t="shared" si="110"/>
        <v>8.3340277777824667</v>
      </c>
      <c r="AE383" s="210">
        <f t="shared" si="111"/>
        <v>8.3340277777824667</v>
      </c>
      <c r="AF383" s="210">
        <f t="shared" si="112"/>
        <v>0</v>
      </c>
      <c r="AG383" s="210">
        <f t="shared" si="113"/>
        <v>0</v>
      </c>
    </row>
    <row r="384" spans="2:33" ht="15" customHeight="1" x14ac:dyDescent="0.3">
      <c r="B384" s="196" t="s">
        <v>7</v>
      </c>
      <c r="C384" s="197" t="s">
        <v>15</v>
      </c>
      <c r="D384" s="198" t="str">
        <f t="shared" si="95"/>
        <v>C</v>
      </c>
      <c r="E384" s="199">
        <v>44302.666666666664</v>
      </c>
      <c r="F384" s="200" t="s">
        <v>115</v>
      </c>
      <c r="G384" s="201">
        <v>1.3803300000000001</v>
      </c>
      <c r="H384" s="201">
        <v>1.3715200000000001</v>
      </c>
      <c r="I384" s="202">
        <f t="shared" si="96"/>
        <v>8.8099999999999845E-3</v>
      </c>
      <c r="J384" s="201">
        <v>1.4155599999999999</v>
      </c>
      <c r="K384" s="199">
        <v>44308.70416666667</v>
      </c>
      <c r="L384" s="201">
        <v>1.3844099999999999</v>
      </c>
      <c r="M384" s="203">
        <f t="shared" si="97"/>
        <v>4.1000000000000003E-3</v>
      </c>
      <c r="N384" s="204">
        <f t="shared" si="98"/>
        <v>0.47</v>
      </c>
      <c r="O384" s="205">
        <f t="shared" si="99"/>
        <v>0</v>
      </c>
      <c r="P384" s="206">
        <f t="shared" si="100"/>
        <v>0.47</v>
      </c>
      <c r="Q384" s="206">
        <f t="shared" si="101"/>
        <v>0</v>
      </c>
      <c r="R3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172810</v>
      </c>
      <c r="T3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4" s="208">
        <f ca="1">IF(Tabla33610673[[#This Row],[Equity]]&lt;Tabla33610673[[#This Row],[Equity Peak]],(Tabla33610673[[#This Row],[Equity Peak]]-Tabla33610673[[#This Row],[Equity]])/Tabla33610673[[#This Row],[Equity Peak]],"")</f>
        <v>2.9593441150044923E-2</v>
      </c>
      <c r="V384" s="209">
        <f t="shared" si="102"/>
        <v>0.47</v>
      </c>
      <c r="W384" s="209">
        <f t="shared" si="103"/>
        <v>0</v>
      </c>
      <c r="X384" s="209">
        <f t="shared" si="104"/>
        <v>0</v>
      </c>
      <c r="Y384" s="209">
        <f t="shared" si="105"/>
        <v>0</v>
      </c>
      <c r="Z384" s="209">
        <f t="shared" si="106"/>
        <v>0</v>
      </c>
      <c r="AA384" s="205">
        <f t="shared" si="107"/>
        <v>0</v>
      </c>
      <c r="AB384" s="209">
        <f t="shared" si="108"/>
        <v>0</v>
      </c>
      <c r="AC384" s="205">
        <f t="shared" si="109"/>
        <v>0</v>
      </c>
      <c r="AD384" s="210">
        <f t="shared" si="110"/>
        <v>6.0375000000058208</v>
      </c>
      <c r="AE384" s="210">
        <f t="shared" si="111"/>
        <v>6.0375000000058208</v>
      </c>
      <c r="AF384" s="210">
        <f t="shared" si="112"/>
        <v>0</v>
      </c>
      <c r="AG384" s="210">
        <f t="shared" si="113"/>
        <v>0</v>
      </c>
    </row>
    <row r="385" spans="2:33" ht="15" customHeight="1" x14ac:dyDescent="0.3">
      <c r="B385" s="196" t="s">
        <v>7</v>
      </c>
      <c r="C385" s="197" t="s">
        <v>15</v>
      </c>
      <c r="D385" s="198" t="str">
        <f t="shared" si="95"/>
        <v>C</v>
      </c>
      <c r="E385" s="199">
        <v>44307.017361111109</v>
      </c>
      <c r="F385" s="200" t="s">
        <v>117</v>
      </c>
      <c r="G385" s="201">
        <v>1.80416</v>
      </c>
      <c r="H385" s="201">
        <v>1.78931</v>
      </c>
      <c r="I385" s="202">
        <f t="shared" si="96"/>
        <v>1.485000000000003E-2</v>
      </c>
      <c r="J385" s="201">
        <v>1.8536699999999999</v>
      </c>
      <c r="K385" s="199">
        <v>44307.743750000001</v>
      </c>
      <c r="L385" s="201">
        <v>1.7985</v>
      </c>
      <c r="M385" s="203">
        <f t="shared" si="97"/>
        <v>-5.7000000000000002E-3</v>
      </c>
      <c r="N385" s="204">
        <f t="shared" si="98"/>
        <v>-0.38</v>
      </c>
      <c r="O385" s="205">
        <f t="shared" si="99"/>
        <v>0</v>
      </c>
      <c r="P385" s="206">
        <f t="shared" si="100"/>
        <v>0</v>
      </c>
      <c r="Q385" s="206">
        <f t="shared" si="101"/>
        <v>-0.38</v>
      </c>
      <c r="R3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172340</v>
      </c>
      <c r="T3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5" s="208">
        <f ca="1">IF(Tabla33610673[[#This Row],[Equity]]&lt;Tabla33610673[[#This Row],[Equity Peak]],(Tabla33610673[[#This Row],[Equity Peak]]-Tabla33610673[[#This Row],[Equity]])/Tabla33610673[[#This Row],[Equity Peak]],"")</f>
        <v>3.2232704402515723E-2</v>
      </c>
      <c r="V385" s="209">
        <f t="shared" si="102"/>
        <v>-0.38</v>
      </c>
      <c r="W385" s="209">
        <f t="shared" si="103"/>
        <v>0</v>
      </c>
      <c r="X385" s="209">
        <f t="shared" si="104"/>
        <v>0</v>
      </c>
      <c r="Y385" s="209">
        <f t="shared" si="105"/>
        <v>0</v>
      </c>
      <c r="Z385" s="209">
        <f t="shared" si="106"/>
        <v>0</v>
      </c>
      <c r="AA385" s="205">
        <f t="shared" si="107"/>
        <v>0</v>
      </c>
      <c r="AB385" s="209">
        <f t="shared" si="108"/>
        <v>0</v>
      </c>
      <c r="AC385" s="205">
        <f t="shared" si="109"/>
        <v>0</v>
      </c>
      <c r="AD385" s="210">
        <f t="shared" si="110"/>
        <v>0.72638888889196096</v>
      </c>
      <c r="AE385" s="210">
        <f t="shared" si="111"/>
        <v>0</v>
      </c>
      <c r="AF385" s="210">
        <f t="shared" si="112"/>
        <v>0.72638888889196096</v>
      </c>
      <c r="AG385" s="210">
        <f t="shared" si="113"/>
        <v>0</v>
      </c>
    </row>
    <row r="386" spans="2:33" ht="15" customHeight="1" x14ac:dyDescent="0.3">
      <c r="B386" s="196" t="s">
        <v>7</v>
      </c>
      <c r="C386" s="197" t="s">
        <v>13</v>
      </c>
      <c r="D386" s="198" t="str">
        <f t="shared" si="95"/>
        <v>C</v>
      </c>
      <c r="E386" s="199">
        <v>44307.333333333336</v>
      </c>
      <c r="F386" s="200" t="s">
        <v>123</v>
      </c>
      <c r="G386" s="201">
        <v>83.311000000000007</v>
      </c>
      <c r="H386" s="201">
        <v>83.795000000000002</v>
      </c>
      <c r="I386" s="202">
        <f t="shared" si="96"/>
        <v>0.48399999999999466</v>
      </c>
      <c r="J386" s="201">
        <v>74.924000000000007</v>
      </c>
      <c r="K386" s="199">
        <v>44307.742361111108</v>
      </c>
      <c r="L386" s="201">
        <v>83.795000000000002</v>
      </c>
      <c r="M386" s="203">
        <f t="shared" si="97"/>
        <v>-0.48399999999999999</v>
      </c>
      <c r="N386" s="204">
        <f t="shared" si="98"/>
        <v>-1</v>
      </c>
      <c r="O386" s="205">
        <f t="shared" si="99"/>
        <v>0</v>
      </c>
      <c r="P386" s="206">
        <f t="shared" si="100"/>
        <v>0</v>
      </c>
      <c r="Q386" s="206">
        <f t="shared" si="101"/>
        <v>-1</v>
      </c>
      <c r="R3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172720</v>
      </c>
      <c r="T3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6" s="208">
        <f ca="1">IF(Tabla33610673[[#This Row],[Equity]]&lt;Tabla33610673[[#This Row],[Equity Peak]],(Tabla33610673[[#This Row],[Equity Peak]]-Tabla33610673[[#This Row],[Equity]])/Tabla33610673[[#This Row],[Equity Peak]],"")</f>
        <v>3.0098831985624439E-2</v>
      </c>
      <c r="V386" s="209">
        <f t="shared" si="102"/>
        <v>-1</v>
      </c>
      <c r="W386" s="209">
        <f t="shared" si="103"/>
        <v>0</v>
      </c>
      <c r="X386" s="209">
        <f t="shared" si="104"/>
        <v>0</v>
      </c>
      <c r="Y386" s="209">
        <f t="shared" si="105"/>
        <v>0</v>
      </c>
      <c r="Z386" s="209">
        <f t="shared" si="106"/>
        <v>0</v>
      </c>
      <c r="AA386" s="205">
        <f t="shared" si="107"/>
        <v>0</v>
      </c>
      <c r="AB386" s="209">
        <f t="shared" si="108"/>
        <v>0</v>
      </c>
      <c r="AC386" s="205">
        <f t="shared" si="109"/>
        <v>0</v>
      </c>
      <c r="AD386" s="210">
        <f t="shared" si="110"/>
        <v>0.40902777777228039</v>
      </c>
      <c r="AE386" s="210">
        <f t="shared" si="111"/>
        <v>0</v>
      </c>
      <c r="AF386" s="210">
        <f t="shared" si="112"/>
        <v>0.40902777777228039</v>
      </c>
      <c r="AG386" s="210">
        <f t="shared" si="113"/>
        <v>0</v>
      </c>
    </row>
    <row r="387" spans="2:33" ht="15" customHeight="1" x14ac:dyDescent="0.3">
      <c r="B387" s="196" t="s">
        <v>7</v>
      </c>
      <c r="C387" s="197" t="s">
        <v>15</v>
      </c>
      <c r="D387" s="198" t="str">
        <f t="shared" si="95"/>
        <v>C</v>
      </c>
      <c r="E387" s="199">
        <v>44307.017361111109</v>
      </c>
      <c r="F387" s="200" t="s">
        <v>121</v>
      </c>
      <c r="G387" s="201">
        <v>1.55776</v>
      </c>
      <c r="H387" s="201">
        <v>1.55105</v>
      </c>
      <c r="I387" s="202">
        <f t="shared" si="96"/>
        <v>6.7099999999999937E-3</v>
      </c>
      <c r="J387" s="201">
        <v>1.62931</v>
      </c>
      <c r="K387" s="199">
        <v>44307.723611111112</v>
      </c>
      <c r="L387" s="201">
        <v>1.5532300000000001</v>
      </c>
      <c r="M387" s="203">
        <f t="shared" si="97"/>
        <v>-4.4999999999999997E-3</v>
      </c>
      <c r="N387" s="204">
        <f t="shared" si="98"/>
        <v>-0.67</v>
      </c>
      <c r="O387" s="205">
        <f t="shared" si="99"/>
        <v>0</v>
      </c>
      <c r="P387" s="206">
        <f t="shared" si="100"/>
        <v>0</v>
      </c>
      <c r="Q387" s="206">
        <f t="shared" si="101"/>
        <v>-0.67</v>
      </c>
      <c r="R3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173720</v>
      </c>
      <c r="T3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7" s="208">
        <f ca="1">IF(Tabla33610673[[#This Row],[Equity]]&lt;Tabla33610673[[#This Row],[Equity Peak]],(Tabla33610673[[#This Row],[Equity Peak]]-Tabla33610673[[#This Row],[Equity]])/Tabla33610673[[#This Row],[Equity Peak]],"")</f>
        <v>2.4483378256963163E-2</v>
      </c>
      <c r="V387" s="209">
        <f t="shared" si="102"/>
        <v>-0.67</v>
      </c>
      <c r="W387" s="209">
        <f t="shared" si="103"/>
        <v>0</v>
      </c>
      <c r="X387" s="209">
        <f t="shared" si="104"/>
        <v>0</v>
      </c>
      <c r="Y387" s="209">
        <f t="shared" si="105"/>
        <v>0</v>
      </c>
      <c r="Z387" s="209">
        <f t="shared" si="106"/>
        <v>0</v>
      </c>
      <c r="AA387" s="205">
        <f t="shared" si="107"/>
        <v>0</v>
      </c>
      <c r="AB387" s="209">
        <f t="shared" si="108"/>
        <v>0</v>
      </c>
      <c r="AC387" s="205">
        <f t="shared" si="109"/>
        <v>0</v>
      </c>
      <c r="AD387" s="210">
        <f t="shared" si="110"/>
        <v>0.70625000000291038</v>
      </c>
      <c r="AE387" s="210">
        <f t="shared" si="111"/>
        <v>0</v>
      </c>
      <c r="AF387" s="210">
        <f t="shared" si="112"/>
        <v>0.70625000000291038</v>
      </c>
      <c r="AG387" s="210">
        <f t="shared" si="113"/>
        <v>0</v>
      </c>
    </row>
    <row r="388" spans="2:33" ht="15" customHeight="1" x14ac:dyDescent="0.3">
      <c r="B388" s="196" t="s">
        <v>19</v>
      </c>
      <c r="C388" s="197" t="s">
        <v>15</v>
      </c>
      <c r="D388" s="198" t="str">
        <f t="shared" si="95"/>
        <v>C</v>
      </c>
      <c r="E388" s="199">
        <v>44300.625</v>
      </c>
      <c r="F388" s="200" t="s">
        <v>108</v>
      </c>
      <c r="G388" s="201">
        <v>61.222999999999999</v>
      </c>
      <c r="H388" s="201">
        <v>59.122999999999998</v>
      </c>
      <c r="I388" s="202">
        <f t="shared" si="96"/>
        <v>2.1000000000000014</v>
      </c>
      <c r="J388" s="201">
        <v>86.421000000000006</v>
      </c>
      <c r="K388" s="199">
        <v>44307.631249999999</v>
      </c>
      <c r="L388" s="201">
        <v>61.152000000000001</v>
      </c>
      <c r="M388" s="203">
        <f t="shared" si="97"/>
        <v>-7.0999999999999994E-2</v>
      </c>
      <c r="N388" s="204">
        <f t="shared" si="98"/>
        <v>-0.03</v>
      </c>
      <c r="O388" s="205">
        <f t="shared" si="99"/>
        <v>0</v>
      </c>
      <c r="P388" s="206">
        <f t="shared" si="100"/>
        <v>0</v>
      </c>
      <c r="Q388" s="206">
        <f t="shared" si="101"/>
        <v>-0.03</v>
      </c>
      <c r="R3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174390</v>
      </c>
      <c r="T3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8" s="208">
        <f ca="1">IF(Tabla33610673[[#This Row],[Equity]]&lt;Tabla33610673[[#This Row],[Equity Peak]],(Tabla33610673[[#This Row],[Equity Peak]]-Tabla33610673[[#This Row],[Equity]])/Tabla33610673[[#This Row],[Equity Peak]],"")</f>
        <v>2.0721024258760108E-2</v>
      </c>
      <c r="V388" s="209">
        <f t="shared" si="102"/>
        <v>0</v>
      </c>
      <c r="W388" s="209">
        <f t="shared" si="103"/>
        <v>0</v>
      </c>
      <c r="X388" s="209">
        <f t="shared" si="104"/>
        <v>-0.03</v>
      </c>
      <c r="Y388" s="209">
        <f t="shared" si="105"/>
        <v>0</v>
      </c>
      <c r="Z388" s="209">
        <f t="shared" si="106"/>
        <v>0</v>
      </c>
      <c r="AA388" s="205">
        <f t="shared" si="107"/>
        <v>0</v>
      </c>
      <c r="AB388" s="209">
        <f t="shared" si="108"/>
        <v>0</v>
      </c>
      <c r="AC388" s="205">
        <f t="shared" si="109"/>
        <v>0</v>
      </c>
      <c r="AD388" s="210">
        <f t="shared" si="110"/>
        <v>7.0062499999985448</v>
      </c>
      <c r="AE388" s="210">
        <f t="shared" si="111"/>
        <v>0</v>
      </c>
      <c r="AF388" s="210">
        <f t="shared" si="112"/>
        <v>7.0062499999985448</v>
      </c>
      <c r="AG388" s="210">
        <f t="shared" si="113"/>
        <v>0</v>
      </c>
    </row>
    <row r="389" spans="2:33" ht="15" customHeight="1" x14ac:dyDescent="0.3">
      <c r="B389" s="196" t="s">
        <v>5</v>
      </c>
      <c r="C389" s="197" t="s">
        <v>13</v>
      </c>
      <c r="D389" s="198" t="str">
        <f t="shared" si="95"/>
        <v>C</v>
      </c>
      <c r="E389" s="199">
        <v>44307.291666666664</v>
      </c>
      <c r="F389" s="200" t="s">
        <v>94</v>
      </c>
      <c r="G389" s="201">
        <v>6856.24</v>
      </c>
      <c r="H389" s="201">
        <v>6924.49</v>
      </c>
      <c r="I389" s="202">
        <f t="shared" si="96"/>
        <v>68.25</v>
      </c>
      <c r="J389" s="201">
        <v>6515</v>
      </c>
      <c r="K389" s="199">
        <v>44307.432638888888</v>
      </c>
      <c r="L389" s="201">
        <v>6906.93</v>
      </c>
      <c r="M389" s="203">
        <f t="shared" si="97"/>
        <v>-50.69</v>
      </c>
      <c r="N389" s="204">
        <f t="shared" si="98"/>
        <v>-0.74</v>
      </c>
      <c r="O389" s="205">
        <f t="shared" si="99"/>
        <v>0</v>
      </c>
      <c r="P389" s="206">
        <f t="shared" si="100"/>
        <v>0</v>
      </c>
      <c r="Q389" s="206">
        <f t="shared" si="101"/>
        <v>-0.74</v>
      </c>
      <c r="R3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174420</v>
      </c>
      <c r="T3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89" s="208">
        <f ca="1">IF(Tabla33610673[[#This Row],[Equity]]&lt;Tabla33610673[[#This Row],[Equity Peak]],(Tabla33610673[[#This Row],[Equity Peak]]-Tabla33610673[[#This Row],[Equity]])/Tabla33610673[[#This Row],[Equity Peak]],"")</f>
        <v>2.055256064690027E-2</v>
      </c>
      <c r="V389" s="209">
        <f t="shared" si="102"/>
        <v>0</v>
      </c>
      <c r="W389" s="209">
        <f t="shared" si="103"/>
        <v>0</v>
      </c>
      <c r="X389" s="209">
        <f t="shared" si="104"/>
        <v>0</v>
      </c>
      <c r="Y389" s="209">
        <f t="shared" si="105"/>
        <v>0</v>
      </c>
      <c r="Z389" s="209">
        <f t="shared" si="106"/>
        <v>-0.74</v>
      </c>
      <c r="AA389" s="205">
        <f t="shared" si="107"/>
        <v>0</v>
      </c>
      <c r="AB389" s="209">
        <f t="shared" si="108"/>
        <v>0</v>
      </c>
      <c r="AC389" s="205">
        <f t="shared" si="109"/>
        <v>0</v>
      </c>
      <c r="AD389" s="210">
        <f t="shared" si="110"/>
        <v>0.14097222222335404</v>
      </c>
      <c r="AE389" s="210">
        <f t="shared" si="111"/>
        <v>0</v>
      </c>
      <c r="AF389" s="210">
        <f t="shared" si="112"/>
        <v>0.14097222222335404</v>
      </c>
      <c r="AG389" s="210">
        <f t="shared" si="113"/>
        <v>0</v>
      </c>
    </row>
    <row r="390" spans="2:33" ht="15" customHeight="1" x14ac:dyDescent="0.3">
      <c r="B390" s="196" t="s">
        <v>7</v>
      </c>
      <c r="C390" s="197" t="s">
        <v>15</v>
      </c>
      <c r="D390" s="198" t="str">
        <f t="shared" si="95"/>
        <v>C</v>
      </c>
      <c r="E390" s="199">
        <v>44306.666666666664</v>
      </c>
      <c r="F390" s="200" t="s">
        <v>116</v>
      </c>
      <c r="G390" s="201">
        <v>151.39099999999999</v>
      </c>
      <c r="H390" s="201">
        <v>150.15</v>
      </c>
      <c r="I390" s="202">
        <f t="shared" si="96"/>
        <v>1.2409999999999854</v>
      </c>
      <c r="J390" s="201">
        <v>158.34200000000001</v>
      </c>
      <c r="K390" s="199">
        <v>44307.333333333336</v>
      </c>
      <c r="L390" s="201">
        <v>150.41999999999999</v>
      </c>
      <c r="M390" s="203">
        <f t="shared" si="97"/>
        <v>-0.97099999999999997</v>
      </c>
      <c r="N390" s="204">
        <f t="shared" si="98"/>
        <v>-0.78</v>
      </c>
      <c r="O390" s="205">
        <f t="shared" si="99"/>
        <v>0</v>
      </c>
      <c r="P390" s="206">
        <f t="shared" si="100"/>
        <v>0</v>
      </c>
      <c r="Q390" s="206">
        <f t="shared" si="101"/>
        <v>-0.78</v>
      </c>
      <c r="R3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175160</v>
      </c>
      <c r="T3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0" s="208">
        <f ca="1">IF(Tabla33610673[[#This Row],[Equity]]&lt;Tabla33610673[[#This Row],[Equity Peak]],(Tabla33610673[[#This Row],[Equity Peak]]-Tabla33610673[[#This Row],[Equity]])/Tabla33610673[[#This Row],[Equity Peak]],"")</f>
        <v>1.6397124887690927E-2</v>
      </c>
      <c r="V390" s="209">
        <f t="shared" si="102"/>
        <v>-0.78</v>
      </c>
      <c r="W390" s="209">
        <f t="shared" si="103"/>
        <v>0</v>
      </c>
      <c r="X390" s="209">
        <f t="shared" si="104"/>
        <v>0</v>
      </c>
      <c r="Y390" s="209">
        <f t="shared" si="105"/>
        <v>0</v>
      </c>
      <c r="Z390" s="209">
        <f t="shared" si="106"/>
        <v>0</v>
      </c>
      <c r="AA390" s="205">
        <f t="shared" si="107"/>
        <v>0</v>
      </c>
      <c r="AB390" s="209">
        <f t="shared" si="108"/>
        <v>0</v>
      </c>
      <c r="AC390" s="205">
        <f t="shared" si="109"/>
        <v>0</v>
      </c>
      <c r="AD390" s="210">
        <f t="shared" si="110"/>
        <v>0.66666666667151731</v>
      </c>
      <c r="AE390" s="210">
        <f t="shared" si="111"/>
        <v>0</v>
      </c>
      <c r="AF390" s="210">
        <f t="shared" si="112"/>
        <v>0.66666666667151731</v>
      </c>
      <c r="AG390" s="210">
        <f t="shared" si="113"/>
        <v>0</v>
      </c>
    </row>
    <row r="391" spans="2:33" ht="15" customHeight="1" x14ac:dyDescent="0.3">
      <c r="B391" s="196" t="s">
        <v>7</v>
      </c>
      <c r="C391" s="197" t="s">
        <v>15</v>
      </c>
      <c r="D391" s="198" t="str">
        <f t="shared" si="95"/>
        <v>C</v>
      </c>
      <c r="E391" s="199">
        <v>44306.5</v>
      </c>
      <c r="F391" s="200" t="s">
        <v>119</v>
      </c>
      <c r="G391" s="201">
        <v>130.929</v>
      </c>
      <c r="H391" s="201">
        <v>130.19300000000001</v>
      </c>
      <c r="I391" s="202">
        <f t="shared" si="96"/>
        <v>0.73599999999999</v>
      </c>
      <c r="J391" s="201">
        <v>133.87100000000001</v>
      </c>
      <c r="K391" s="199">
        <v>44306.765277777777</v>
      </c>
      <c r="L391" s="201">
        <v>130.19300000000001</v>
      </c>
      <c r="M391" s="203">
        <f t="shared" si="97"/>
        <v>-0.73599999999999999</v>
      </c>
      <c r="N391" s="204">
        <f t="shared" si="98"/>
        <v>-1</v>
      </c>
      <c r="O391" s="205">
        <f t="shared" si="99"/>
        <v>0</v>
      </c>
      <c r="P391" s="206">
        <f t="shared" si="100"/>
        <v>0</v>
      </c>
      <c r="Q391" s="206">
        <f t="shared" si="101"/>
        <v>-1</v>
      </c>
      <c r="R3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175940</v>
      </c>
      <c r="T3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1" s="208">
        <f ca="1">IF(Tabla33610673[[#This Row],[Equity]]&lt;Tabla33610673[[#This Row],[Equity Peak]],(Tabla33610673[[#This Row],[Equity Peak]]-Tabla33610673[[#This Row],[Equity]])/Tabla33610673[[#This Row],[Equity Peak]],"")</f>
        <v>1.201707097933513E-2</v>
      </c>
      <c r="V391" s="209">
        <f t="shared" si="102"/>
        <v>-1</v>
      </c>
      <c r="W391" s="209">
        <f t="shared" si="103"/>
        <v>0</v>
      </c>
      <c r="X391" s="209">
        <f t="shared" si="104"/>
        <v>0</v>
      </c>
      <c r="Y391" s="209">
        <f t="shared" si="105"/>
        <v>0</v>
      </c>
      <c r="Z391" s="209">
        <f t="shared" si="106"/>
        <v>0</v>
      </c>
      <c r="AA391" s="205">
        <f t="shared" si="107"/>
        <v>0</v>
      </c>
      <c r="AB391" s="209">
        <f t="shared" si="108"/>
        <v>0</v>
      </c>
      <c r="AC391" s="205">
        <f t="shared" si="109"/>
        <v>0</v>
      </c>
      <c r="AD391" s="210">
        <f t="shared" si="110"/>
        <v>0.26527777777664596</v>
      </c>
      <c r="AE391" s="210">
        <f t="shared" si="111"/>
        <v>0</v>
      </c>
      <c r="AF391" s="210">
        <f t="shared" si="112"/>
        <v>0.26527777777664596</v>
      </c>
      <c r="AG391" s="210">
        <f t="shared" si="113"/>
        <v>0</v>
      </c>
    </row>
    <row r="392" spans="2:33" ht="15" customHeight="1" x14ac:dyDescent="0.3">
      <c r="B392" s="196" t="s">
        <v>5</v>
      </c>
      <c r="C392" s="197" t="s">
        <v>15</v>
      </c>
      <c r="D392" s="198" t="str">
        <f t="shared" si="95"/>
        <v>C</v>
      </c>
      <c r="E392" s="199">
        <v>44301.458333333336</v>
      </c>
      <c r="F392" s="200" t="s">
        <v>94</v>
      </c>
      <c r="G392" s="201">
        <v>6970.81</v>
      </c>
      <c r="H392" s="201">
        <v>6924.17</v>
      </c>
      <c r="I392" s="202">
        <f t="shared" si="96"/>
        <v>46.640000000000327</v>
      </c>
      <c r="J392" s="201">
        <v>7204.02</v>
      </c>
      <c r="K392" s="199">
        <v>44306.42291666667</v>
      </c>
      <c r="L392" s="201">
        <v>6976.95</v>
      </c>
      <c r="M392" s="203">
        <f t="shared" si="97"/>
        <v>6.14</v>
      </c>
      <c r="N392" s="204">
        <f t="shared" si="98"/>
        <v>0.13</v>
      </c>
      <c r="O392" s="205">
        <f t="shared" si="99"/>
        <v>0</v>
      </c>
      <c r="P392" s="206">
        <f t="shared" si="100"/>
        <v>0.13</v>
      </c>
      <c r="Q392" s="206">
        <f t="shared" si="101"/>
        <v>0</v>
      </c>
      <c r="R3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176940</v>
      </c>
      <c r="T3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2" s="208">
        <f ca="1">IF(Tabla33610673[[#This Row],[Equity]]&lt;Tabla33610673[[#This Row],[Equity Peak]],(Tabla33610673[[#This Row],[Equity Peak]]-Tabla33610673[[#This Row],[Equity]])/Tabla33610673[[#This Row],[Equity Peak]],"")</f>
        <v>6.4016172506738541E-3</v>
      </c>
      <c r="V392" s="209">
        <f t="shared" si="102"/>
        <v>0</v>
      </c>
      <c r="W392" s="209">
        <f t="shared" si="103"/>
        <v>0</v>
      </c>
      <c r="X392" s="209">
        <f t="shared" si="104"/>
        <v>0</v>
      </c>
      <c r="Y392" s="209">
        <f t="shared" si="105"/>
        <v>0</v>
      </c>
      <c r="Z392" s="209">
        <f t="shared" si="106"/>
        <v>0.13</v>
      </c>
      <c r="AA392" s="205">
        <f t="shared" si="107"/>
        <v>0</v>
      </c>
      <c r="AB392" s="209">
        <f t="shared" si="108"/>
        <v>0</v>
      </c>
      <c r="AC392" s="205">
        <f t="shared" si="109"/>
        <v>0</v>
      </c>
      <c r="AD392" s="210">
        <f t="shared" si="110"/>
        <v>4.9645833333343035</v>
      </c>
      <c r="AE392" s="210">
        <f t="shared" si="111"/>
        <v>4.9645833333343035</v>
      </c>
      <c r="AF392" s="210">
        <f t="shared" si="112"/>
        <v>0</v>
      </c>
      <c r="AG392" s="210">
        <f t="shared" si="113"/>
        <v>0</v>
      </c>
    </row>
    <row r="393" spans="2:33" ht="15" customHeight="1" x14ac:dyDescent="0.3">
      <c r="B393" s="196" t="s">
        <v>7</v>
      </c>
      <c r="C393" s="197" t="s">
        <v>15</v>
      </c>
      <c r="D393" s="198" t="str">
        <f t="shared" si="95"/>
        <v>C</v>
      </c>
      <c r="E393" s="199">
        <v>44301.166666666664</v>
      </c>
      <c r="F393" s="200" t="s">
        <v>123</v>
      </c>
      <c r="G393" s="201">
        <v>84.263000000000005</v>
      </c>
      <c r="H393" s="201">
        <v>83.873000000000005</v>
      </c>
      <c r="I393" s="202">
        <f t="shared" si="96"/>
        <v>0.39000000000000057</v>
      </c>
      <c r="J393" s="201">
        <v>91.025000000000006</v>
      </c>
      <c r="K393" s="199">
        <v>44305.120833333334</v>
      </c>
      <c r="L393" s="201">
        <v>83.873000000000005</v>
      </c>
      <c r="M393" s="203">
        <f t="shared" si="97"/>
        <v>-0.39</v>
      </c>
      <c r="N393" s="204">
        <f t="shared" si="98"/>
        <v>-1</v>
      </c>
      <c r="O393" s="205">
        <f t="shared" si="99"/>
        <v>0</v>
      </c>
      <c r="P393" s="206">
        <f t="shared" si="100"/>
        <v>0</v>
      </c>
      <c r="Q393" s="206">
        <f t="shared" si="101"/>
        <v>-1</v>
      </c>
      <c r="R3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176810</v>
      </c>
      <c r="T3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3" s="208">
        <f ca="1">IF(Tabla33610673[[#This Row],[Equity]]&lt;Tabla33610673[[#This Row],[Equity Peak]],(Tabla33610673[[#This Row],[Equity Peak]]-Tabla33610673[[#This Row],[Equity]])/Tabla33610673[[#This Row],[Equity Peak]],"")</f>
        <v>7.1316262353998206E-3</v>
      </c>
      <c r="V393" s="209">
        <f t="shared" si="102"/>
        <v>-1</v>
      </c>
      <c r="W393" s="209">
        <f t="shared" si="103"/>
        <v>0</v>
      </c>
      <c r="X393" s="209">
        <f t="shared" si="104"/>
        <v>0</v>
      </c>
      <c r="Y393" s="209">
        <f t="shared" si="105"/>
        <v>0</v>
      </c>
      <c r="Z393" s="209">
        <f t="shared" si="106"/>
        <v>0</v>
      </c>
      <c r="AA393" s="205">
        <f t="shared" si="107"/>
        <v>0</v>
      </c>
      <c r="AB393" s="209">
        <f t="shared" si="108"/>
        <v>0</v>
      </c>
      <c r="AC393" s="205">
        <f t="shared" si="109"/>
        <v>0</v>
      </c>
      <c r="AD393" s="210">
        <f t="shared" si="110"/>
        <v>3.9541666666700621</v>
      </c>
      <c r="AE393" s="210">
        <f t="shared" si="111"/>
        <v>0</v>
      </c>
      <c r="AF393" s="210">
        <f t="shared" si="112"/>
        <v>3.9541666666700621</v>
      </c>
      <c r="AG393" s="210">
        <f t="shared" si="113"/>
        <v>0</v>
      </c>
    </row>
    <row r="394" spans="2:33" ht="15" customHeight="1" x14ac:dyDescent="0.3">
      <c r="B394" s="196" t="s">
        <v>7</v>
      </c>
      <c r="C394" s="197" t="s">
        <v>13</v>
      </c>
      <c r="D394" s="198" t="str">
        <f t="shared" si="95"/>
        <v>C</v>
      </c>
      <c r="E394" s="199">
        <v>44295.5</v>
      </c>
      <c r="F394" s="200" t="s">
        <v>116</v>
      </c>
      <c r="G394" s="201">
        <v>150.36600000000001</v>
      </c>
      <c r="H394" s="201">
        <v>151.43199999999999</v>
      </c>
      <c r="I394" s="202">
        <f t="shared" si="96"/>
        <v>1.0659999999999741</v>
      </c>
      <c r="J394" s="201">
        <v>144.399</v>
      </c>
      <c r="K394" s="199">
        <v>44302.995833333334</v>
      </c>
      <c r="L394" s="201">
        <v>150.62100000000001</v>
      </c>
      <c r="M394" s="203">
        <f t="shared" si="97"/>
        <v>-0.255</v>
      </c>
      <c r="N394" s="204">
        <f t="shared" si="98"/>
        <v>-0.24</v>
      </c>
      <c r="O394" s="205">
        <f t="shared" si="99"/>
        <v>0</v>
      </c>
      <c r="P394" s="206">
        <f t="shared" si="100"/>
        <v>0</v>
      </c>
      <c r="Q394" s="206">
        <f t="shared" si="101"/>
        <v>-0.24</v>
      </c>
      <c r="R3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177810</v>
      </c>
      <c r="T3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4" s="208">
        <f ca="1">IF(Tabla33610673[[#This Row],[Equity]]&lt;Tabla33610673[[#This Row],[Equity Peak]],(Tabla33610673[[#This Row],[Equity Peak]]-Tabla33610673[[#This Row],[Equity]])/Tabla33610673[[#This Row],[Equity Peak]],"")</f>
        <v>1.5161725067385444E-3</v>
      </c>
      <c r="V394" s="209">
        <f t="shared" si="102"/>
        <v>-0.24</v>
      </c>
      <c r="W394" s="209">
        <f t="shared" si="103"/>
        <v>0</v>
      </c>
      <c r="X394" s="209">
        <f t="shared" si="104"/>
        <v>0</v>
      </c>
      <c r="Y394" s="209">
        <f t="shared" si="105"/>
        <v>0</v>
      </c>
      <c r="Z394" s="209">
        <f t="shared" si="106"/>
        <v>0</v>
      </c>
      <c r="AA394" s="205">
        <f t="shared" si="107"/>
        <v>0</v>
      </c>
      <c r="AB394" s="209">
        <f t="shared" si="108"/>
        <v>0</v>
      </c>
      <c r="AC394" s="205">
        <f t="shared" si="109"/>
        <v>0</v>
      </c>
      <c r="AD394" s="210">
        <f t="shared" si="110"/>
        <v>7.4958333333343035</v>
      </c>
      <c r="AE394" s="210">
        <f t="shared" si="111"/>
        <v>0</v>
      </c>
      <c r="AF394" s="210">
        <f t="shared" si="112"/>
        <v>7.4958333333343035</v>
      </c>
      <c r="AG394" s="210">
        <f t="shared" si="113"/>
        <v>0</v>
      </c>
    </row>
    <row r="395" spans="2:33" ht="15" customHeight="1" x14ac:dyDescent="0.3">
      <c r="B395" s="196" t="s">
        <v>5</v>
      </c>
      <c r="C395" s="197" t="s">
        <v>15</v>
      </c>
      <c r="D395" s="198" t="str">
        <f t="shared" si="95"/>
        <v>C</v>
      </c>
      <c r="E395" s="199">
        <v>44251.59375</v>
      </c>
      <c r="F395" s="200" t="s">
        <v>91</v>
      </c>
      <c r="G395" s="201">
        <v>13983.46</v>
      </c>
      <c r="H395" s="201">
        <v>13602.78</v>
      </c>
      <c r="I395" s="202">
        <f t="shared" si="96"/>
        <v>380.67999999999847</v>
      </c>
      <c r="J395" s="201">
        <v>15506.16</v>
      </c>
      <c r="K395" s="199">
        <v>44302.914583333331</v>
      </c>
      <c r="L395" s="201">
        <v>15506.16</v>
      </c>
      <c r="M395" s="203">
        <f t="shared" si="97"/>
        <v>1522.7</v>
      </c>
      <c r="N395" s="204">
        <f t="shared" si="98"/>
        <v>4</v>
      </c>
      <c r="O395" s="205">
        <f t="shared" si="99"/>
        <v>0</v>
      </c>
      <c r="P395" s="206">
        <f t="shared" si="100"/>
        <v>4</v>
      </c>
      <c r="Q395" s="206">
        <f t="shared" si="101"/>
        <v>0</v>
      </c>
      <c r="R3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178050</v>
      </c>
      <c r="T3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5" s="208">
        <f ca="1">IF(Tabla33610673[[#This Row],[Equity]]&lt;Tabla33610673[[#This Row],[Equity Peak]],(Tabla33610673[[#This Row],[Equity Peak]]-Tabla33610673[[#This Row],[Equity]])/Tabla33610673[[#This Row],[Equity Peak]],"")</f>
        <v>1.6846361185983828E-4</v>
      </c>
      <c r="V395" s="209">
        <f t="shared" si="102"/>
        <v>0</v>
      </c>
      <c r="W395" s="209">
        <f t="shared" si="103"/>
        <v>0</v>
      </c>
      <c r="X395" s="209">
        <f t="shared" si="104"/>
        <v>0</v>
      </c>
      <c r="Y395" s="209">
        <f t="shared" si="105"/>
        <v>0</v>
      </c>
      <c r="Z395" s="209">
        <f t="shared" si="106"/>
        <v>4</v>
      </c>
      <c r="AA395" s="205">
        <f t="shared" si="107"/>
        <v>0</v>
      </c>
      <c r="AB395" s="209">
        <f t="shared" si="108"/>
        <v>0</v>
      </c>
      <c r="AC395" s="205">
        <f t="shared" si="109"/>
        <v>0</v>
      </c>
      <c r="AD395" s="210">
        <f t="shared" si="110"/>
        <v>51.320833333331393</v>
      </c>
      <c r="AE395" s="210">
        <f t="shared" si="111"/>
        <v>51.320833333331393</v>
      </c>
      <c r="AF395" s="210">
        <f t="shared" si="112"/>
        <v>0</v>
      </c>
      <c r="AG395" s="210">
        <f t="shared" si="113"/>
        <v>0</v>
      </c>
    </row>
    <row r="396" spans="2:33" ht="15" customHeight="1" x14ac:dyDescent="0.3">
      <c r="B396" s="196" t="s">
        <v>7</v>
      </c>
      <c r="C396" s="197" t="s">
        <v>13</v>
      </c>
      <c r="D396" s="198" t="str">
        <f t="shared" si="95"/>
        <v>C</v>
      </c>
      <c r="E396" s="199">
        <v>44301.166666666664</v>
      </c>
      <c r="F396" s="200" t="s">
        <v>121</v>
      </c>
      <c r="G396" s="201">
        <v>1.5487200000000001</v>
      </c>
      <c r="H396" s="201">
        <v>1.55433</v>
      </c>
      <c r="I396" s="202">
        <f t="shared" si="96"/>
        <v>5.6099999999998929E-3</v>
      </c>
      <c r="J396" s="201">
        <v>1.4888600000000001</v>
      </c>
      <c r="K396" s="199">
        <v>44302.772916666669</v>
      </c>
      <c r="L396" s="201">
        <v>1.54976</v>
      </c>
      <c r="M396" s="203">
        <f t="shared" si="97"/>
        <v>-1E-3</v>
      </c>
      <c r="N396" s="204">
        <f t="shared" si="98"/>
        <v>-0.18</v>
      </c>
      <c r="O396" s="205">
        <f t="shared" si="99"/>
        <v>0</v>
      </c>
      <c r="P396" s="206">
        <f t="shared" si="100"/>
        <v>0</v>
      </c>
      <c r="Q396" s="206">
        <f t="shared" si="101"/>
        <v>-0.18</v>
      </c>
      <c r="R3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174050</v>
      </c>
      <c r="T3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6" s="208">
        <f ca="1">IF(Tabla33610673[[#This Row],[Equity]]&lt;Tabla33610673[[#This Row],[Equity Peak]],(Tabla33610673[[#This Row],[Equity Peak]]-Tabla33610673[[#This Row],[Equity]])/Tabla33610673[[#This Row],[Equity Peak]],"")</f>
        <v>2.2630278526504941E-2</v>
      </c>
      <c r="V396" s="209">
        <f t="shared" si="102"/>
        <v>-0.18</v>
      </c>
      <c r="W396" s="209">
        <f t="shared" si="103"/>
        <v>0</v>
      </c>
      <c r="X396" s="209">
        <f t="shared" si="104"/>
        <v>0</v>
      </c>
      <c r="Y396" s="209">
        <f t="shared" si="105"/>
        <v>0</v>
      </c>
      <c r="Z396" s="209">
        <f t="shared" si="106"/>
        <v>0</v>
      </c>
      <c r="AA396" s="205">
        <f t="shared" si="107"/>
        <v>0</v>
      </c>
      <c r="AB396" s="209">
        <f t="shared" si="108"/>
        <v>0</v>
      </c>
      <c r="AC396" s="205">
        <f t="shared" si="109"/>
        <v>0</v>
      </c>
      <c r="AD396" s="210">
        <f t="shared" si="110"/>
        <v>1.6062500000043656</v>
      </c>
      <c r="AE396" s="210">
        <f t="shared" si="111"/>
        <v>0</v>
      </c>
      <c r="AF396" s="210">
        <f t="shared" si="112"/>
        <v>1.6062500000043656</v>
      </c>
      <c r="AG396" s="210">
        <f t="shared" si="113"/>
        <v>0</v>
      </c>
    </row>
    <row r="397" spans="2:33" ht="15" customHeight="1" x14ac:dyDescent="0.3">
      <c r="B397" s="196" t="s">
        <v>84</v>
      </c>
      <c r="C397" s="197" t="s">
        <v>15</v>
      </c>
      <c r="D397" s="198" t="str">
        <f t="shared" si="95"/>
        <v>C</v>
      </c>
      <c r="E397" s="199">
        <v>44295.017361111109</v>
      </c>
      <c r="F397" s="200" t="s">
        <v>80</v>
      </c>
      <c r="G397" s="201">
        <v>57560.46</v>
      </c>
      <c r="H397" s="201">
        <v>55634.89</v>
      </c>
      <c r="I397" s="202">
        <f t="shared" si="96"/>
        <v>1925.5699999999997</v>
      </c>
      <c r="J397" s="201">
        <v>86444.03</v>
      </c>
      <c r="K397" s="199">
        <v>44302.576388888891</v>
      </c>
      <c r="L397" s="201">
        <v>60693.919999999998</v>
      </c>
      <c r="M397" s="203">
        <f t="shared" si="97"/>
        <v>3133.46</v>
      </c>
      <c r="N397" s="204">
        <f t="shared" si="98"/>
        <v>1.63</v>
      </c>
      <c r="O397" s="205">
        <f t="shared" si="99"/>
        <v>0</v>
      </c>
      <c r="P397" s="206">
        <f t="shared" si="100"/>
        <v>1.63</v>
      </c>
      <c r="Q397" s="206">
        <f t="shared" si="101"/>
        <v>0</v>
      </c>
      <c r="R3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174230</v>
      </c>
      <c r="T3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7" s="208">
        <f ca="1">IF(Tabla33610673[[#This Row],[Equity]]&lt;Tabla33610673[[#This Row],[Equity Peak]],(Tabla33610673[[#This Row],[Equity Peak]]-Tabla33610673[[#This Row],[Equity]])/Tabla33610673[[#This Row],[Equity Peak]],"")</f>
        <v>2.1619496855345911E-2</v>
      </c>
      <c r="V397" s="209">
        <f t="shared" si="102"/>
        <v>0</v>
      </c>
      <c r="W397" s="209">
        <f t="shared" si="103"/>
        <v>0</v>
      </c>
      <c r="X397" s="209">
        <f t="shared" si="104"/>
        <v>0</v>
      </c>
      <c r="Y397" s="209">
        <f t="shared" si="105"/>
        <v>0</v>
      </c>
      <c r="Z397" s="209">
        <f t="shared" si="106"/>
        <v>0</v>
      </c>
      <c r="AA397" s="205">
        <f t="shared" si="107"/>
        <v>0</v>
      </c>
      <c r="AB397" s="209">
        <f t="shared" si="108"/>
        <v>1.63</v>
      </c>
      <c r="AC397" s="205">
        <f t="shared" si="109"/>
        <v>0</v>
      </c>
      <c r="AD397" s="210">
        <f t="shared" si="110"/>
        <v>7.5590277777810115</v>
      </c>
      <c r="AE397" s="210">
        <f t="shared" si="111"/>
        <v>7.5590277777810115</v>
      </c>
      <c r="AF397" s="210">
        <f t="shared" si="112"/>
        <v>0</v>
      </c>
      <c r="AG397" s="210">
        <f t="shared" si="113"/>
        <v>0</v>
      </c>
    </row>
    <row r="398" spans="2:33" ht="15" customHeight="1" x14ac:dyDescent="0.3">
      <c r="B398" s="196" t="s">
        <v>5</v>
      </c>
      <c r="C398" s="197" t="s">
        <v>15</v>
      </c>
      <c r="D398" s="198" t="str">
        <f t="shared" si="95"/>
        <v>C</v>
      </c>
      <c r="E398" s="199">
        <v>44301.284722222219</v>
      </c>
      <c r="F398" s="200" t="s">
        <v>90</v>
      </c>
      <c r="G398" s="201">
        <v>7037.47</v>
      </c>
      <c r="H398" s="201">
        <v>6998.98</v>
      </c>
      <c r="I398" s="202">
        <f t="shared" si="96"/>
        <v>38.490000000000691</v>
      </c>
      <c r="J398" s="201">
        <v>7550.63</v>
      </c>
      <c r="K398" s="199">
        <v>44302.259722222225</v>
      </c>
      <c r="L398" s="201">
        <v>7022.23</v>
      </c>
      <c r="M398" s="203">
        <f t="shared" si="97"/>
        <v>-15.24</v>
      </c>
      <c r="N398" s="204">
        <f t="shared" si="98"/>
        <v>-0.4</v>
      </c>
      <c r="O398" s="205">
        <f t="shared" si="99"/>
        <v>0</v>
      </c>
      <c r="P398" s="206">
        <f t="shared" si="100"/>
        <v>0</v>
      </c>
      <c r="Q398" s="206">
        <f t="shared" si="101"/>
        <v>-0.4</v>
      </c>
      <c r="R3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172600</v>
      </c>
      <c r="T3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8" s="208">
        <f ca="1">IF(Tabla33610673[[#This Row],[Equity]]&lt;Tabla33610673[[#This Row],[Equity Peak]],(Tabla33610673[[#This Row],[Equity Peak]]-Tabla33610673[[#This Row],[Equity]])/Tabla33610673[[#This Row],[Equity Peak]],"")</f>
        <v>3.077268643306379E-2</v>
      </c>
      <c r="V398" s="209">
        <f t="shared" si="102"/>
        <v>0</v>
      </c>
      <c r="W398" s="209">
        <f t="shared" si="103"/>
        <v>0</v>
      </c>
      <c r="X398" s="209">
        <f t="shared" si="104"/>
        <v>0</v>
      </c>
      <c r="Y398" s="209">
        <f t="shared" si="105"/>
        <v>0</v>
      </c>
      <c r="Z398" s="209">
        <f t="shared" si="106"/>
        <v>-0.4</v>
      </c>
      <c r="AA398" s="205">
        <f t="shared" si="107"/>
        <v>0</v>
      </c>
      <c r="AB398" s="209">
        <f t="shared" si="108"/>
        <v>0</v>
      </c>
      <c r="AC398" s="205">
        <f t="shared" si="109"/>
        <v>0</v>
      </c>
      <c r="AD398" s="210">
        <f t="shared" si="110"/>
        <v>0.97500000000582077</v>
      </c>
      <c r="AE398" s="210">
        <f t="shared" si="111"/>
        <v>0</v>
      </c>
      <c r="AF398" s="210">
        <f t="shared" si="112"/>
        <v>0.97500000000582077</v>
      </c>
      <c r="AG398" s="210">
        <f t="shared" si="113"/>
        <v>0</v>
      </c>
    </row>
    <row r="399" spans="2:33" ht="15" customHeight="1" x14ac:dyDescent="0.3">
      <c r="B399" s="196" t="s">
        <v>5</v>
      </c>
      <c r="C399" s="197" t="s">
        <v>15</v>
      </c>
      <c r="D399" s="198" t="str">
        <f t="shared" si="95"/>
        <v>C</v>
      </c>
      <c r="E399" s="199">
        <v>44294.284722222219</v>
      </c>
      <c r="F399" s="200" t="s">
        <v>90</v>
      </c>
      <c r="G399" s="201">
        <v>6992.1</v>
      </c>
      <c r="H399" s="201">
        <v>6937.81</v>
      </c>
      <c r="I399" s="202">
        <f t="shared" si="96"/>
        <v>54.289999999999964</v>
      </c>
      <c r="J399" s="201">
        <v>7715.91</v>
      </c>
      <c r="K399" s="199">
        <v>44300.957638888889</v>
      </c>
      <c r="L399" s="201">
        <v>6965.4</v>
      </c>
      <c r="M399" s="203">
        <f t="shared" si="97"/>
        <v>-26.7</v>
      </c>
      <c r="N399" s="204">
        <f t="shared" si="98"/>
        <v>-0.49</v>
      </c>
      <c r="O399" s="205">
        <f t="shared" si="99"/>
        <v>0</v>
      </c>
      <c r="P399" s="206">
        <f t="shared" si="100"/>
        <v>0</v>
      </c>
      <c r="Q399" s="206">
        <f t="shared" si="101"/>
        <v>-0.49</v>
      </c>
      <c r="R3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173000</v>
      </c>
      <c r="T3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399" s="208">
        <f ca="1">IF(Tabla33610673[[#This Row],[Equity]]&lt;Tabla33610673[[#This Row],[Equity Peak]],(Tabla33610673[[#This Row],[Equity Peak]]-Tabla33610673[[#This Row],[Equity]])/Tabla33610673[[#This Row],[Equity Peak]],"")</f>
        <v>2.8526504941599282E-2</v>
      </c>
      <c r="V399" s="209">
        <f t="shared" si="102"/>
        <v>0</v>
      </c>
      <c r="W399" s="209">
        <f t="shared" si="103"/>
        <v>0</v>
      </c>
      <c r="X399" s="209">
        <f t="shared" si="104"/>
        <v>0</v>
      </c>
      <c r="Y399" s="209">
        <f t="shared" si="105"/>
        <v>0</v>
      </c>
      <c r="Z399" s="209">
        <f t="shared" si="106"/>
        <v>-0.49</v>
      </c>
      <c r="AA399" s="205">
        <f t="shared" si="107"/>
        <v>0</v>
      </c>
      <c r="AB399" s="209">
        <f t="shared" si="108"/>
        <v>0</v>
      </c>
      <c r="AC399" s="205">
        <f t="shared" si="109"/>
        <v>0</v>
      </c>
      <c r="AD399" s="210">
        <f t="shared" si="110"/>
        <v>6.6729166666700621</v>
      </c>
      <c r="AE399" s="210">
        <f t="shared" si="111"/>
        <v>0</v>
      </c>
      <c r="AF399" s="210">
        <f t="shared" si="112"/>
        <v>6.6729166666700621</v>
      </c>
      <c r="AG399" s="210">
        <f t="shared" si="113"/>
        <v>0</v>
      </c>
    </row>
    <row r="400" spans="2:33" ht="15" customHeight="1" x14ac:dyDescent="0.3">
      <c r="B400" s="196" t="s">
        <v>5</v>
      </c>
      <c r="C400" s="197" t="s">
        <v>15</v>
      </c>
      <c r="D400" s="198" t="str">
        <f t="shared" si="95"/>
        <v>C</v>
      </c>
      <c r="E400" s="199">
        <v>44286.875</v>
      </c>
      <c r="F400" s="200" t="s">
        <v>92</v>
      </c>
      <c r="G400" s="201">
        <v>13144.66</v>
      </c>
      <c r="H400" s="201">
        <v>12824.68</v>
      </c>
      <c r="I400" s="202">
        <f t="shared" si="96"/>
        <v>319.97999999999956</v>
      </c>
      <c r="J400" s="201">
        <v>15277.87</v>
      </c>
      <c r="K400" s="199">
        <v>44300.881249999999</v>
      </c>
      <c r="L400" s="201">
        <v>13806.88</v>
      </c>
      <c r="M400" s="203">
        <f t="shared" si="97"/>
        <v>662.22</v>
      </c>
      <c r="N400" s="204">
        <f t="shared" si="98"/>
        <v>2.0699999999999998</v>
      </c>
      <c r="O400" s="205">
        <f t="shared" si="99"/>
        <v>0</v>
      </c>
      <c r="P400" s="206">
        <f t="shared" si="100"/>
        <v>2.0699999999999998</v>
      </c>
      <c r="Q400" s="206">
        <f t="shared" si="101"/>
        <v>0</v>
      </c>
      <c r="R4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173490</v>
      </c>
      <c r="T4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0" s="208">
        <f ca="1">IF(Tabla33610673[[#This Row],[Equity]]&lt;Tabla33610673[[#This Row],[Equity Peak]],(Tabla33610673[[#This Row],[Equity Peak]]-Tabla33610673[[#This Row],[Equity]])/Tabla33610673[[#This Row],[Equity Peak]],"")</f>
        <v>2.5774932614555258E-2</v>
      </c>
      <c r="V400" s="209">
        <f t="shared" si="102"/>
        <v>0</v>
      </c>
      <c r="W400" s="209">
        <f t="shared" si="103"/>
        <v>0</v>
      </c>
      <c r="X400" s="209">
        <f t="shared" si="104"/>
        <v>0</v>
      </c>
      <c r="Y400" s="209">
        <f t="shared" si="105"/>
        <v>0</v>
      </c>
      <c r="Z400" s="209">
        <f t="shared" si="106"/>
        <v>2.0699999999999998</v>
      </c>
      <c r="AA400" s="205">
        <f t="shared" si="107"/>
        <v>0</v>
      </c>
      <c r="AB400" s="209">
        <f t="shared" si="108"/>
        <v>0</v>
      </c>
      <c r="AC400" s="205">
        <f t="shared" si="109"/>
        <v>0</v>
      </c>
      <c r="AD400" s="210">
        <f t="shared" si="110"/>
        <v>14.006249999998545</v>
      </c>
      <c r="AE400" s="210">
        <f t="shared" si="111"/>
        <v>14.006249999998545</v>
      </c>
      <c r="AF400" s="210">
        <f t="shared" si="112"/>
        <v>0</v>
      </c>
      <c r="AG400" s="210">
        <f t="shared" si="113"/>
        <v>0</v>
      </c>
    </row>
    <row r="401" spans="2:33" ht="15" customHeight="1" x14ac:dyDescent="0.3">
      <c r="B401" s="196" t="s">
        <v>7</v>
      </c>
      <c r="C401" s="197" t="s">
        <v>13</v>
      </c>
      <c r="D401" s="198" t="str">
        <f t="shared" ref="D401:D464" si="114">IF(E401&lt;&gt;"",IF(K401&lt;&gt;"","C","O"),"")</f>
        <v>C</v>
      </c>
      <c r="E401" s="199">
        <v>44294.166666666664</v>
      </c>
      <c r="F401" s="200" t="s">
        <v>123</v>
      </c>
      <c r="G401" s="201">
        <v>83.561999999999998</v>
      </c>
      <c r="H401" s="201">
        <v>83.954999999999998</v>
      </c>
      <c r="I401" s="202">
        <f t="shared" ref="I401:I464" si="115">ABS(G401-H401)</f>
        <v>0.39300000000000068</v>
      </c>
      <c r="J401" s="201">
        <v>76.748000000000005</v>
      </c>
      <c r="K401" s="199">
        <v>44300.42291666667</v>
      </c>
      <c r="L401" s="201">
        <v>83.671000000000006</v>
      </c>
      <c r="M401" s="203">
        <f t="shared" ref="M401:M464" si="116">ROUND(IF(C401="L",(L401-G401),(G401-L401)),4)</f>
        <v>-0.109</v>
      </c>
      <c r="N401" s="204">
        <f t="shared" ref="N401:N464" si="117">IFERROR(ROUND((M401/I401),2),"")</f>
        <v>-0.28000000000000003</v>
      </c>
      <c r="O401" s="205">
        <f t="shared" ref="O401:O464" si="118">IF(D401="O",IF(N401&lt;0,N401,0),0)</f>
        <v>0</v>
      </c>
      <c r="P401" s="206">
        <f t="shared" ref="P401:P464" si="119">IF(N401&gt;= 0,N401,0)</f>
        <v>0</v>
      </c>
      <c r="Q401" s="206">
        <f t="shared" ref="Q401:Q464" si="120">IF(N401&lt;0,N401,0)</f>
        <v>-0.28000000000000003</v>
      </c>
      <c r="R4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171420</v>
      </c>
      <c r="T4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1" s="208">
        <f ca="1">IF(Tabla33610673[[#This Row],[Equity]]&lt;Tabla33610673[[#This Row],[Equity Peak]],(Tabla33610673[[#This Row],[Equity Peak]]-Tabla33610673[[#This Row],[Equity]])/Tabla33610673[[#This Row],[Equity Peak]],"")</f>
        <v>3.7398921832884097E-2</v>
      </c>
      <c r="V401" s="209">
        <f t="shared" ref="V401:V464" si="121">IF(B401="FX",N401,0)</f>
        <v>-0.28000000000000003</v>
      </c>
      <c r="W401" s="209">
        <f t="shared" ref="W401:W464" si="122">IF(D401="O",IF(V401&lt;0,V401,0),0)</f>
        <v>0</v>
      </c>
      <c r="X401" s="209">
        <f t="shared" ref="X401:X464" si="123">IF(B401="COM",N401,0)</f>
        <v>0</v>
      </c>
      <c r="Y401" s="209">
        <f t="shared" ref="Y401:Y464" si="124">IF(D401="O",IF(X401&lt;0,X401,0),0)</f>
        <v>0</v>
      </c>
      <c r="Z401" s="209">
        <f t="shared" ref="Z401:Z464" si="125">IF(B401="IND",N401,0)</f>
        <v>0</v>
      </c>
      <c r="AA401" s="205">
        <f t="shared" ref="AA401:AA464" si="126">IF(D401="O",IF(Z401&lt;0,Z401,0),0)</f>
        <v>0</v>
      </c>
      <c r="AB401" s="209">
        <f t="shared" ref="AB401:AB464" si="127">IF(B401="CRYPTO",N401,0)</f>
        <v>0</v>
      </c>
      <c r="AC401" s="205">
        <f t="shared" ref="AC401:AC464" si="128">IF(D401="O",IF(AB401&lt;0,AB401,0),0)</f>
        <v>0</v>
      </c>
      <c r="AD401" s="210">
        <f t="shared" ref="AD401:AD464" si="129">IF(K401&lt;&gt;"",K401-E401,0)</f>
        <v>6.2562500000058208</v>
      </c>
      <c r="AE401" s="210">
        <f t="shared" ref="AE401:AE464" si="130">IF(N401&gt;0,AD401,0)</f>
        <v>0</v>
      </c>
      <c r="AF401" s="210">
        <f t="shared" ref="AF401:AF464" si="131">IF(N401&lt;0,AD401,0)</f>
        <v>6.2562500000058208</v>
      </c>
      <c r="AG401" s="210">
        <f t="shared" ref="AG401:AG464" si="132">IF(N401=0,AD401,0)</f>
        <v>0</v>
      </c>
    </row>
    <row r="402" spans="2:33" ht="15" customHeight="1" x14ac:dyDescent="0.3">
      <c r="B402" s="196" t="s">
        <v>7</v>
      </c>
      <c r="C402" s="197" t="s">
        <v>15</v>
      </c>
      <c r="D402" s="198" t="str">
        <f t="shared" si="114"/>
        <v>C</v>
      </c>
      <c r="E402" s="199">
        <v>44292.5</v>
      </c>
      <c r="F402" s="200" t="s">
        <v>121</v>
      </c>
      <c r="G402" s="201">
        <v>1.54881</v>
      </c>
      <c r="H402" s="201">
        <v>1.5431900000000001</v>
      </c>
      <c r="I402" s="202">
        <f t="shared" si="115"/>
        <v>5.6199999999999584E-3</v>
      </c>
      <c r="J402" s="201">
        <v>1.6088</v>
      </c>
      <c r="K402" s="199">
        <v>44300.400694444441</v>
      </c>
      <c r="L402" s="201">
        <v>1.55846</v>
      </c>
      <c r="M402" s="203">
        <f t="shared" si="116"/>
        <v>9.5999999999999992E-3</v>
      </c>
      <c r="N402" s="204">
        <f t="shared" si="117"/>
        <v>1.71</v>
      </c>
      <c r="O402" s="205">
        <f t="shared" si="118"/>
        <v>0</v>
      </c>
      <c r="P402" s="206">
        <f t="shared" si="119"/>
        <v>1.71</v>
      </c>
      <c r="Q402" s="206">
        <f t="shared" si="120"/>
        <v>0</v>
      </c>
      <c r="R4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171700</v>
      </c>
      <c r="T4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2" s="208">
        <f ca="1">IF(Tabla33610673[[#This Row],[Equity]]&lt;Tabla33610673[[#This Row],[Equity Peak]],(Tabla33610673[[#This Row],[Equity Peak]]-Tabla33610673[[#This Row],[Equity]])/Tabla33610673[[#This Row],[Equity Peak]],"")</f>
        <v>3.582659478885894E-2</v>
      </c>
      <c r="V402" s="209">
        <f t="shared" si="121"/>
        <v>1.71</v>
      </c>
      <c r="W402" s="209">
        <f t="shared" si="122"/>
        <v>0</v>
      </c>
      <c r="X402" s="209">
        <f t="shared" si="123"/>
        <v>0</v>
      </c>
      <c r="Y402" s="209">
        <f t="shared" si="124"/>
        <v>0</v>
      </c>
      <c r="Z402" s="209">
        <f t="shared" si="125"/>
        <v>0</v>
      </c>
      <c r="AA402" s="205">
        <f t="shared" si="126"/>
        <v>0</v>
      </c>
      <c r="AB402" s="209">
        <f t="shared" si="127"/>
        <v>0</v>
      </c>
      <c r="AC402" s="205">
        <f t="shared" si="128"/>
        <v>0</v>
      </c>
      <c r="AD402" s="210">
        <f t="shared" si="129"/>
        <v>7.9006944444408873</v>
      </c>
      <c r="AE402" s="210">
        <f t="shared" si="130"/>
        <v>7.9006944444408873</v>
      </c>
      <c r="AF402" s="210">
        <f t="shared" si="131"/>
        <v>0</v>
      </c>
      <c r="AG402" s="210">
        <f t="shared" si="132"/>
        <v>0</v>
      </c>
    </row>
    <row r="403" spans="2:33" ht="15" customHeight="1" x14ac:dyDescent="0.3">
      <c r="B403" s="196" t="s">
        <v>7</v>
      </c>
      <c r="C403" s="197" t="s">
        <v>13</v>
      </c>
      <c r="D403" s="198" t="str">
        <f t="shared" si="114"/>
        <v>C</v>
      </c>
      <c r="E403" s="199">
        <v>44295.333333333336</v>
      </c>
      <c r="F403" s="200" t="s">
        <v>122</v>
      </c>
      <c r="G403" s="201">
        <v>0.76321000000000006</v>
      </c>
      <c r="H403" s="201">
        <v>0.76676</v>
      </c>
      <c r="I403" s="202">
        <f t="shared" si="115"/>
        <v>3.5499999999999421E-3</v>
      </c>
      <c r="J403" s="201">
        <v>0.74428000000000005</v>
      </c>
      <c r="K403" s="199">
        <v>44300.317361111112</v>
      </c>
      <c r="L403" s="201">
        <v>0.76656000000000002</v>
      </c>
      <c r="M403" s="203">
        <f t="shared" si="116"/>
        <v>-3.3E-3</v>
      </c>
      <c r="N403" s="204">
        <f t="shared" si="117"/>
        <v>-0.93</v>
      </c>
      <c r="O403" s="205">
        <f t="shared" si="118"/>
        <v>0</v>
      </c>
      <c r="P403" s="206">
        <f t="shared" si="119"/>
        <v>0</v>
      </c>
      <c r="Q403" s="206">
        <f t="shared" si="120"/>
        <v>-0.93</v>
      </c>
      <c r="R4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169990</v>
      </c>
      <c r="T4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3" s="208">
        <f ca="1">IF(Tabla33610673[[#This Row],[Equity]]&lt;Tabla33610673[[#This Row],[Equity Peak]],(Tabla33610673[[#This Row],[Equity Peak]]-Tabla33610673[[#This Row],[Equity]])/Tabla33610673[[#This Row],[Equity Peak]],"")</f>
        <v>4.5429020664869722E-2</v>
      </c>
      <c r="V403" s="209">
        <f t="shared" si="121"/>
        <v>-0.93</v>
      </c>
      <c r="W403" s="209">
        <f t="shared" si="122"/>
        <v>0</v>
      </c>
      <c r="X403" s="209">
        <f t="shared" si="123"/>
        <v>0</v>
      </c>
      <c r="Y403" s="209">
        <f t="shared" si="124"/>
        <v>0</v>
      </c>
      <c r="Z403" s="209">
        <f t="shared" si="125"/>
        <v>0</v>
      </c>
      <c r="AA403" s="205">
        <f t="shared" si="126"/>
        <v>0</v>
      </c>
      <c r="AB403" s="209">
        <f t="shared" si="127"/>
        <v>0</v>
      </c>
      <c r="AC403" s="205">
        <f t="shared" si="128"/>
        <v>0</v>
      </c>
      <c r="AD403" s="210">
        <f t="shared" si="129"/>
        <v>4.984027777776646</v>
      </c>
      <c r="AE403" s="210">
        <f t="shared" si="130"/>
        <v>0</v>
      </c>
      <c r="AF403" s="210">
        <f t="shared" si="131"/>
        <v>4.984027777776646</v>
      </c>
      <c r="AG403" s="210">
        <f t="shared" si="132"/>
        <v>0</v>
      </c>
    </row>
    <row r="404" spans="2:33" ht="15" customHeight="1" x14ac:dyDescent="0.3">
      <c r="B404" s="196" t="s">
        <v>19</v>
      </c>
      <c r="C404" s="197" t="s">
        <v>13</v>
      </c>
      <c r="D404" s="198" t="str">
        <f t="shared" si="114"/>
        <v>C</v>
      </c>
      <c r="E404" s="199">
        <v>44299.375</v>
      </c>
      <c r="F404" s="200" t="s">
        <v>88</v>
      </c>
      <c r="G404" s="201">
        <v>1727.67</v>
      </c>
      <c r="H404" s="201">
        <v>1746.29</v>
      </c>
      <c r="I404" s="202">
        <f t="shared" si="115"/>
        <v>18.619999999999891</v>
      </c>
      <c r="J404" s="201">
        <v>1608.49</v>
      </c>
      <c r="K404" s="199">
        <v>44299.691666666666</v>
      </c>
      <c r="L404" s="201">
        <v>1745.43</v>
      </c>
      <c r="M404" s="203">
        <f t="shared" si="116"/>
        <v>-17.760000000000002</v>
      </c>
      <c r="N404" s="204">
        <f t="shared" si="117"/>
        <v>-0.95</v>
      </c>
      <c r="O404" s="205">
        <f t="shared" si="118"/>
        <v>0</v>
      </c>
      <c r="P404" s="206">
        <f t="shared" si="119"/>
        <v>0</v>
      </c>
      <c r="Q404" s="206">
        <f t="shared" si="120"/>
        <v>-0.95</v>
      </c>
      <c r="R4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170920</v>
      </c>
      <c r="T4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4" s="208">
        <f ca="1">IF(Tabla33610673[[#This Row],[Equity]]&lt;Tabla33610673[[#This Row],[Equity Peak]],(Tabla33610673[[#This Row],[Equity Peak]]-Tabla33610673[[#This Row],[Equity]])/Tabla33610673[[#This Row],[Equity Peak]],"")</f>
        <v>4.0206648697214735E-2</v>
      </c>
      <c r="V404" s="209">
        <f t="shared" si="121"/>
        <v>0</v>
      </c>
      <c r="W404" s="209">
        <f t="shared" si="122"/>
        <v>0</v>
      </c>
      <c r="X404" s="209">
        <f t="shared" si="123"/>
        <v>-0.95</v>
      </c>
      <c r="Y404" s="209">
        <f t="shared" si="124"/>
        <v>0</v>
      </c>
      <c r="Z404" s="209">
        <f t="shared" si="125"/>
        <v>0</v>
      </c>
      <c r="AA404" s="205">
        <f t="shared" si="126"/>
        <v>0</v>
      </c>
      <c r="AB404" s="209">
        <f t="shared" si="127"/>
        <v>0</v>
      </c>
      <c r="AC404" s="205">
        <f t="shared" si="128"/>
        <v>0</v>
      </c>
      <c r="AD404" s="210">
        <f t="shared" si="129"/>
        <v>0.31666666666569654</v>
      </c>
      <c r="AE404" s="210">
        <f t="shared" si="130"/>
        <v>0</v>
      </c>
      <c r="AF404" s="210">
        <f t="shared" si="131"/>
        <v>0.31666666666569654</v>
      </c>
      <c r="AG404" s="210">
        <f t="shared" si="132"/>
        <v>0</v>
      </c>
    </row>
    <row r="405" spans="2:33" ht="15" customHeight="1" x14ac:dyDescent="0.3">
      <c r="B405" s="196" t="s">
        <v>7</v>
      </c>
      <c r="C405" s="197" t="s">
        <v>15</v>
      </c>
      <c r="D405" s="198" t="str">
        <f t="shared" si="114"/>
        <v>C</v>
      </c>
      <c r="E405" s="199">
        <v>44295.166666666664</v>
      </c>
      <c r="F405" s="200" t="s">
        <v>122</v>
      </c>
      <c r="G405" s="201">
        <v>0.76595000000000002</v>
      </c>
      <c r="H405" s="201">
        <v>0.76251000000000002</v>
      </c>
      <c r="I405" s="202">
        <f t="shared" si="115"/>
        <v>3.4399999999999986E-3</v>
      </c>
      <c r="J405" s="201">
        <v>0.78427000000000002</v>
      </c>
      <c r="K405" s="199">
        <v>44295.333333333336</v>
      </c>
      <c r="L405" s="201">
        <v>0.76321000000000006</v>
      </c>
      <c r="M405" s="203">
        <f t="shared" si="116"/>
        <v>-2.7000000000000001E-3</v>
      </c>
      <c r="N405" s="204">
        <f t="shared" si="117"/>
        <v>-0.78</v>
      </c>
      <c r="O405" s="205">
        <f t="shared" si="118"/>
        <v>0</v>
      </c>
      <c r="P405" s="206">
        <f t="shared" si="119"/>
        <v>0</v>
      </c>
      <c r="Q405" s="206">
        <f t="shared" si="120"/>
        <v>-0.78</v>
      </c>
      <c r="R4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171870</v>
      </c>
      <c r="T4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5" s="208">
        <f ca="1">IF(Tabla33610673[[#This Row],[Equity]]&lt;Tabla33610673[[#This Row],[Equity Peak]],(Tabla33610673[[#This Row],[Equity Peak]]-Tabla33610673[[#This Row],[Equity]])/Tabla33610673[[#This Row],[Equity Peak]],"")</f>
        <v>3.487196765498652E-2</v>
      </c>
      <c r="V405" s="209">
        <f t="shared" si="121"/>
        <v>-0.78</v>
      </c>
      <c r="W405" s="209">
        <f t="shared" si="122"/>
        <v>0</v>
      </c>
      <c r="X405" s="209">
        <f t="shared" si="123"/>
        <v>0</v>
      </c>
      <c r="Y405" s="209">
        <f t="shared" si="124"/>
        <v>0</v>
      </c>
      <c r="Z405" s="209">
        <f t="shared" si="125"/>
        <v>0</v>
      </c>
      <c r="AA405" s="205">
        <f t="shared" si="126"/>
        <v>0</v>
      </c>
      <c r="AB405" s="209">
        <f t="shared" si="127"/>
        <v>0</v>
      </c>
      <c r="AC405" s="205">
        <f t="shared" si="128"/>
        <v>0</v>
      </c>
      <c r="AD405" s="210">
        <f t="shared" si="129"/>
        <v>0.16666666667151731</v>
      </c>
      <c r="AE405" s="210">
        <f t="shared" si="130"/>
        <v>0</v>
      </c>
      <c r="AF405" s="210">
        <f t="shared" si="131"/>
        <v>0.16666666667151731</v>
      </c>
      <c r="AG405" s="210">
        <f t="shared" si="132"/>
        <v>0</v>
      </c>
    </row>
    <row r="406" spans="2:33" ht="15" customHeight="1" x14ac:dyDescent="0.3">
      <c r="B406" s="196" t="s">
        <v>84</v>
      </c>
      <c r="C406" s="197" t="s">
        <v>13</v>
      </c>
      <c r="D406" s="198" t="str">
        <f t="shared" si="114"/>
        <v>C</v>
      </c>
      <c r="E406" s="199">
        <v>44293.666666666664</v>
      </c>
      <c r="F406" s="200" t="s">
        <v>80</v>
      </c>
      <c r="G406" s="201">
        <v>56477.919999999998</v>
      </c>
      <c r="H406" s="201">
        <v>58451.21</v>
      </c>
      <c r="I406" s="202">
        <f t="shared" si="115"/>
        <v>1973.2900000000009</v>
      </c>
      <c r="J406" s="201">
        <v>26878.63</v>
      </c>
      <c r="K406" s="199">
        <v>44294.743055555555</v>
      </c>
      <c r="L406" s="201">
        <v>57658.46</v>
      </c>
      <c r="M406" s="203">
        <f t="shared" si="116"/>
        <v>-1180.54</v>
      </c>
      <c r="N406" s="204">
        <f t="shared" si="117"/>
        <v>-0.6</v>
      </c>
      <c r="O406" s="205">
        <f t="shared" si="118"/>
        <v>0</v>
      </c>
      <c r="P406" s="206">
        <f t="shared" si="119"/>
        <v>0</v>
      </c>
      <c r="Q406" s="206">
        <f t="shared" si="120"/>
        <v>-0.6</v>
      </c>
      <c r="R4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172650</v>
      </c>
      <c r="T4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6" s="208">
        <f ca="1">IF(Tabla33610673[[#This Row],[Equity]]&lt;Tabla33610673[[#This Row],[Equity Peak]],(Tabla33610673[[#This Row],[Equity Peak]]-Tabla33610673[[#This Row],[Equity]])/Tabla33610673[[#This Row],[Equity Peak]],"")</f>
        <v>3.0491913746630728E-2</v>
      </c>
      <c r="V406" s="209">
        <f t="shared" si="121"/>
        <v>0</v>
      </c>
      <c r="W406" s="209">
        <f t="shared" si="122"/>
        <v>0</v>
      </c>
      <c r="X406" s="209">
        <f t="shared" si="123"/>
        <v>0</v>
      </c>
      <c r="Y406" s="209">
        <f t="shared" si="124"/>
        <v>0</v>
      </c>
      <c r="Z406" s="209">
        <f t="shared" si="125"/>
        <v>0</v>
      </c>
      <c r="AA406" s="205">
        <f t="shared" si="126"/>
        <v>0</v>
      </c>
      <c r="AB406" s="209">
        <f t="shared" si="127"/>
        <v>-0.6</v>
      </c>
      <c r="AC406" s="205">
        <f t="shared" si="128"/>
        <v>0</v>
      </c>
      <c r="AD406" s="210">
        <f t="shared" si="129"/>
        <v>1.0763888888905058</v>
      </c>
      <c r="AE406" s="210">
        <f t="shared" si="130"/>
        <v>0</v>
      </c>
      <c r="AF406" s="210">
        <f t="shared" si="131"/>
        <v>1.0763888888905058</v>
      </c>
      <c r="AG406" s="210">
        <f t="shared" si="132"/>
        <v>0</v>
      </c>
    </row>
    <row r="407" spans="2:33" ht="15" customHeight="1" x14ac:dyDescent="0.3">
      <c r="B407" s="196" t="s">
        <v>7</v>
      </c>
      <c r="C407" s="197" t="s">
        <v>15</v>
      </c>
      <c r="D407" s="198" t="str">
        <f t="shared" si="114"/>
        <v>C</v>
      </c>
      <c r="E407" s="199">
        <v>44284.666666666664</v>
      </c>
      <c r="F407" s="200" t="s">
        <v>119</v>
      </c>
      <c r="G407" s="201">
        <v>129.292</v>
      </c>
      <c r="H407" s="201">
        <v>128.48099999999999</v>
      </c>
      <c r="I407" s="202">
        <f t="shared" si="115"/>
        <v>0.81100000000000705</v>
      </c>
      <c r="J407" s="201">
        <v>132.536</v>
      </c>
      <c r="K407" s="199">
        <v>44292.679861111108</v>
      </c>
      <c r="L407" s="201">
        <v>129.94800000000001</v>
      </c>
      <c r="M407" s="203">
        <f t="shared" si="116"/>
        <v>0.65600000000000003</v>
      </c>
      <c r="N407" s="204">
        <f t="shared" si="117"/>
        <v>0.81</v>
      </c>
      <c r="O407" s="205">
        <f t="shared" si="118"/>
        <v>0</v>
      </c>
      <c r="P407" s="206">
        <f t="shared" si="119"/>
        <v>0.81</v>
      </c>
      <c r="Q407" s="206">
        <f t="shared" si="120"/>
        <v>0</v>
      </c>
      <c r="R4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173250</v>
      </c>
      <c r="T4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7" s="208">
        <f ca="1">IF(Tabla33610673[[#This Row],[Equity]]&lt;Tabla33610673[[#This Row],[Equity Peak]],(Tabla33610673[[#This Row],[Equity Peak]]-Tabla33610673[[#This Row],[Equity]])/Tabla33610673[[#This Row],[Equity Peak]],"")</f>
        <v>2.7122641509433963E-2</v>
      </c>
      <c r="V407" s="209">
        <f t="shared" si="121"/>
        <v>0.81</v>
      </c>
      <c r="W407" s="209">
        <f t="shared" si="122"/>
        <v>0</v>
      </c>
      <c r="X407" s="209">
        <f t="shared" si="123"/>
        <v>0</v>
      </c>
      <c r="Y407" s="209">
        <f t="shared" si="124"/>
        <v>0</v>
      </c>
      <c r="Z407" s="209">
        <f t="shared" si="125"/>
        <v>0</v>
      </c>
      <c r="AA407" s="205">
        <f t="shared" si="126"/>
        <v>0</v>
      </c>
      <c r="AB407" s="209">
        <f t="shared" si="127"/>
        <v>0</v>
      </c>
      <c r="AC407" s="205">
        <f t="shared" si="128"/>
        <v>0</v>
      </c>
      <c r="AD407" s="210">
        <f t="shared" si="129"/>
        <v>8.0131944444437977</v>
      </c>
      <c r="AE407" s="210">
        <f t="shared" si="130"/>
        <v>8.0131944444437977</v>
      </c>
      <c r="AF407" s="210">
        <f t="shared" si="131"/>
        <v>0</v>
      </c>
      <c r="AG407" s="210">
        <f t="shared" si="132"/>
        <v>0</v>
      </c>
    </row>
    <row r="408" spans="2:33" ht="15" customHeight="1" x14ac:dyDescent="0.3">
      <c r="B408" s="196" t="s">
        <v>7</v>
      </c>
      <c r="C408" s="197" t="s">
        <v>15</v>
      </c>
      <c r="D408" s="198" t="str">
        <f t="shared" si="114"/>
        <v>C</v>
      </c>
      <c r="E408" s="199">
        <v>44281.333333333336</v>
      </c>
      <c r="F408" s="200" t="s">
        <v>116</v>
      </c>
      <c r="G408" s="201">
        <v>150.36099999999999</v>
      </c>
      <c r="H408" s="201">
        <v>149.339</v>
      </c>
      <c r="I408" s="202">
        <f t="shared" si="115"/>
        <v>1.0219999999999914</v>
      </c>
      <c r="J408" s="201">
        <v>156.08600000000001</v>
      </c>
      <c r="K408" s="199">
        <v>44292.619444444441</v>
      </c>
      <c r="L408" s="201">
        <v>152.57900000000001</v>
      </c>
      <c r="M408" s="203">
        <f t="shared" si="116"/>
        <v>2.218</v>
      </c>
      <c r="N408" s="204">
        <f t="shared" si="117"/>
        <v>2.17</v>
      </c>
      <c r="O408" s="205">
        <f t="shared" si="118"/>
        <v>0</v>
      </c>
      <c r="P408" s="206">
        <f t="shared" si="119"/>
        <v>2.17</v>
      </c>
      <c r="Q408" s="206">
        <f t="shared" si="120"/>
        <v>0</v>
      </c>
      <c r="R4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172440</v>
      </c>
      <c r="T4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8" s="208">
        <f ca="1">IF(Tabla33610673[[#This Row],[Equity]]&lt;Tabla33610673[[#This Row],[Equity Peak]],(Tabla33610673[[#This Row],[Equity Peak]]-Tabla33610673[[#This Row],[Equity]])/Tabla33610673[[#This Row],[Equity Peak]],"")</f>
        <v>3.1671159029649593E-2</v>
      </c>
      <c r="V408" s="209">
        <f t="shared" si="121"/>
        <v>2.17</v>
      </c>
      <c r="W408" s="209">
        <f t="shared" si="122"/>
        <v>0</v>
      </c>
      <c r="X408" s="209">
        <f t="shared" si="123"/>
        <v>0</v>
      </c>
      <c r="Y408" s="209">
        <f t="shared" si="124"/>
        <v>0</v>
      </c>
      <c r="Z408" s="209">
        <f t="shared" si="125"/>
        <v>0</v>
      </c>
      <c r="AA408" s="205">
        <f t="shared" si="126"/>
        <v>0</v>
      </c>
      <c r="AB408" s="209">
        <f t="shared" si="127"/>
        <v>0</v>
      </c>
      <c r="AC408" s="205">
        <f t="shared" si="128"/>
        <v>0</v>
      </c>
      <c r="AD408" s="210">
        <f t="shared" si="129"/>
        <v>11.286111111105129</v>
      </c>
      <c r="AE408" s="210">
        <f t="shared" si="130"/>
        <v>11.286111111105129</v>
      </c>
      <c r="AF408" s="210">
        <f t="shared" si="131"/>
        <v>0</v>
      </c>
      <c r="AG408" s="210">
        <f t="shared" si="132"/>
        <v>0</v>
      </c>
    </row>
    <row r="409" spans="2:33" ht="15" customHeight="1" x14ac:dyDescent="0.3">
      <c r="B409" s="196" t="s">
        <v>7</v>
      </c>
      <c r="C409" s="197" t="s">
        <v>15</v>
      </c>
      <c r="D409" s="198" t="str">
        <f t="shared" si="114"/>
        <v>C</v>
      </c>
      <c r="E409" s="199">
        <v>44288.333333333336</v>
      </c>
      <c r="F409" s="200" t="s">
        <v>115</v>
      </c>
      <c r="G409" s="201">
        <v>1.3845700000000001</v>
      </c>
      <c r="H409" s="201">
        <v>1.3762700000000001</v>
      </c>
      <c r="I409" s="202">
        <f t="shared" si="115"/>
        <v>8.2999999999999741E-3</v>
      </c>
      <c r="J409" s="201">
        <v>1.41778</v>
      </c>
      <c r="K409" s="199">
        <v>44292.619444444441</v>
      </c>
      <c r="L409" s="201">
        <v>1.3818999999999999</v>
      </c>
      <c r="M409" s="203">
        <f t="shared" si="116"/>
        <v>-2.7000000000000001E-3</v>
      </c>
      <c r="N409" s="204">
        <f t="shared" si="117"/>
        <v>-0.33</v>
      </c>
      <c r="O409" s="205">
        <f t="shared" si="118"/>
        <v>0</v>
      </c>
      <c r="P409" s="206">
        <f t="shared" si="119"/>
        <v>0</v>
      </c>
      <c r="Q409" s="206">
        <f t="shared" si="120"/>
        <v>-0.33</v>
      </c>
      <c r="R4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170270</v>
      </c>
      <c r="T4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09" s="208">
        <f ca="1">IF(Tabla33610673[[#This Row],[Equity]]&lt;Tabla33610673[[#This Row],[Equity Peak]],(Tabla33610673[[#This Row],[Equity Peak]]-Tabla33610673[[#This Row],[Equity]])/Tabla33610673[[#This Row],[Equity Peak]],"")</f>
        <v>4.3856693620844565E-2</v>
      </c>
      <c r="V409" s="209">
        <f t="shared" si="121"/>
        <v>-0.33</v>
      </c>
      <c r="W409" s="209">
        <f t="shared" si="122"/>
        <v>0</v>
      </c>
      <c r="X409" s="209">
        <f t="shared" si="123"/>
        <v>0</v>
      </c>
      <c r="Y409" s="209">
        <f t="shared" si="124"/>
        <v>0</v>
      </c>
      <c r="Z409" s="209">
        <f t="shared" si="125"/>
        <v>0</v>
      </c>
      <c r="AA409" s="205">
        <f t="shared" si="126"/>
        <v>0</v>
      </c>
      <c r="AB409" s="209">
        <f t="shared" si="127"/>
        <v>0</v>
      </c>
      <c r="AC409" s="205">
        <f t="shared" si="128"/>
        <v>0</v>
      </c>
      <c r="AD409" s="210">
        <f t="shared" si="129"/>
        <v>4.2861111111051287</v>
      </c>
      <c r="AE409" s="210">
        <f t="shared" si="130"/>
        <v>0</v>
      </c>
      <c r="AF409" s="210">
        <f t="shared" si="131"/>
        <v>4.2861111111051287</v>
      </c>
      <c r="AG409" s="210">
        <f t="shared" si="132"/>
        <v>0</v>
      </c>
    </row>
    <row r="410" spans="2:33" ht="15" customHeight="1" x14ac:dyDescent="0.3">
      <c r="B410" s="196" t="s">
        <v>7</v>
      </c>
      <c r="C410" s="197" t="s">
        <v>13</v>
      </c>
      <c r="D410" s="198" t="str">
        <f t="shared" si="114"/>
        <v>C</v>
      </c>
      <c r="E410" s="199">
        <v>44291.017361111109</v>
      </c>
      <c r="F410" s="200" t="s">
        <v>121</v>
      </c>
      <c r="G410" s="201">
        <v>1.5456300000000001</v>
      </c>
      <c r="H410" s="201">
        <v>1.5528999999999999</v>
      </c>
      <c r="I410" s="202">
        <f t="shared" si="115"/>
        <v>7.2699999999998877E-3</v>
      </c>
      <c r="J410" s="201">
        <v>1.4680899999999999</v>
      </c>
      <c r="K410" s="199">
        <v>44292.450694444444</v>
      </c>
      <c r="L410" s="201">
        <v>1.548</v>
      </c>
      <c r="M410" s="203">
        <f t="shared" si="116"/>
        <v>-2.3999999999999998E-3</v>
      </c>
      <c r="N410" s="204">
        <f t="shared" si="117"/>
        <v>-0.33</v>
      </c>
      <c r="O410" s="205">
        <f t="shared" si="118"/>
        <v>0</v>
      </c>
      <c r="P410" s="206">
        <f t="shared" si="119"/>
        <v>0</v>
      </c>
      <c r="Q410" s="206">
        <f t="shared" si="120"/>
        <v>-0.33</v>
      </c>
      <c r="R4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170600</v>
      </c>
      <c r="T4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0" s="208">
        <f ca="1">IF(Tabla33610673[[#This Row],[Equity]]&lt;Tabla33610673[[#This Row],[Equity Peak]],(Tabla33610673[[#This Row],[Equity Peak]]-Tabla33610673[[#This Row],[Equity]])/Tabla33610673[[#This Row],[Equity Peak]],"")</f>
        <v>4.200359389038634E-2</v>
      </c>
      <c r="V410" s="209">
        <f t="shared" si="121"/>
        <v>-0.33</v>
      </c>
      <c r="W410" s="209">
        <f t="shared" si="122"/>
        <v>0</v>
      </c>
      <c r="X410" s="209">
        <f t="shared" si="123"/>
        <v>0</v>
      </c>
      <c r="Y410" s="209">
        <f t="shared" si="124"/>
        <v>0</v>
      </c>
      <c r="Z410" s="209">
        <f t="shared" si="125"/>
        <v>0</v>
      </c>
      <c r="AA410" s="205">
        <f t="shared" si="126"/>
        <v>0</v>
      </c>
      <c r="AB410" s="209">
        <f t="shared" si="127"/>
        <v>0</v>
      </c>
      <c r="AC410" s="205">
        <f t="shared" si="128"/>
        <v>0</v>
      </c>
      <c r="AD410" s="210">
        <f t="shared" si="129"/>
        <v>1.4333333333343035</v>
      </c>
      <c r="AE410" s="210">
        <f t="shared" si="130"/>
        <v>0</v>
      </c>
      <c r="AF410" s="210">
        <f t="shared" si="131"/>
        <v>1.4333333333343035</v>
      </c>
      <c r="AG410" s="210">
        <f t="shared" si="132"/>
        <v>0</v>
      </c>
    </row>
    <row r="411" spans="2:33" ht="15" customHeight="1" x14ac:dyDescent="0.3">
      <c r="B411" s="196" t="s">
        <v>5</v>
      </c>
      <c r="C411" s="197" t="s">
        <v>15</v>
      </c>
      <c r="D411" s="198" t="str">
        <f t="shared" si="114"/>
        <v>C</v>
      </c>
      <c r="E411" s="199">
        <v>44281.208333333336</v>
      </c>
      <c r="F411" s="200" t="s">
        <v>93</v>
      </c>
      <c r="G411" s="201">
        <v>3922.92</v>
      </c>
      <c r="H411" s="201">
        <v>3886.81</v>
      </c>
      <c r="I411" s="202">
        <f t="shared" si="115"/>
        <v>36.110000000000127</v>
      </c>
      <c r="J411" s="201">
        <v>4019.21</v>
      </c>
      <c r="K411" s="199">
        <v>44287.952777777777</v>
      </c>
      <c r="L411" s="201">
        <v>4019.21</v>
      </c>
      <c r="M411" s="203">
        <f t="shared" si="116"/>
        <v>96.29</v>
      </c>
      <c r="N411" s="204">
        <f t="shared" si="117"/>
        <v>2.67</v>
      </c>
      <c r="O411" s="205">
        <f t="shared" si="118"/>
        <v>0</v>
      </c>
      <c r="P411" s="206">
        <f t="shared" si="119"/>
        <v>2.67</v>
      </c>
      <c r="Q411" s="206">
        <f t="shared" si="120"/>
        <v>0</v>
      </c>
      <c r="R4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170930</v>
      </c>
      <c r="T4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1" s="208">
        <f ca="1">IF(Tabla33610673[[#This Row],[Equity]]&lt;Tabla33610673[[#This Row],[Equity Peak]],(Tabla33610673[[#This Row],[Equity Peak]]-Tabla33610673[[#This Row],[Equity]])/Tabla33610673[[#This Row],[Equity Peak]],"")</f>
        <v>4.0150494159928121E-2</v>
      </c>
      <c r="V411" s="209">
        <f t="shared" si="121"/>
        <v>0</v>
      </c>
      <c r="W411" s="209">
        <f t="shared" si="122"/>
        <v>0</v>
      </c>
      <c r="X411" s="209">
        <f t="shared" si="123"/>
        <v>0</v>
      </c>
      <c r="Y411" s="209">
        <f t="shared" si="124"/>
        <v>0</v>
      </c>
      <c r="Z411" s="209">
        <f t="shared" si="125"/>
        <v>2.67</v>
      </c>
      <c r="AA411" s="205">
        <f t="shared" si="126"/>
        <v>0</v>
      </c>
      <c r="AB411" s="209">
        <f t="shared" si="127"/>
        <v>0</v>
      </c>
      <c r="AC411" s="205">
        <f t="shared" si="128"/>
        <v>0</v>
      </c>
      <c r="AD411" s="210">
        <f t="shared" si="129"/>
        <v>6.7444444444408873</v>
      </c>
      <c r="AE411" s="210">
        <f t="shared" si="130"/>
        <v>6.7444444444408873</v>
      </c>
      <c r="AF411" s="210">
        <f t="shared" si="131"/>
        <v>0</v>
      </c>
      <c r="AG411" s="210">
        <f t="shared" si="132"/>
        <v>0</v>
      </c>
    </row>
    <row r="412" spans="2:33" ht="15" customHeight="1" x14ac:dyDescent="0.3">
      <c r="B412" s="196" t="s">
        <v>7</v>
      </c>
      <c r="C412" s="197" t="s">
        <v>13</v>
      </c>
      <c r="D412" s="198" t="str">
        <f t="shared" si="114"/>
        <v>C</v>
      </c>
      <c r="E412" s="199">
        <v>44281.017361111109</v>
      </c>
      <c r="F412" s="200" t="s">
        <v>120</v>
      </c>
      <c r="G412" s="201">
        <v>0.85707999999999995</v>
      </c>
      <c r="H412" s="201">
        <v>0.85990999999999995</v>
      </c>
      <c r="I412" s="202">
        <f t="shared" si="115"/>
        <v>2.8299999999999992E-3</v>
      </c>
      <c r="J412" s="201">
        <v>0.84953000000000001</v>
      </c>
      <c r="K412" s="199">
        <v>44287.713194444441</v>
      </c>
      <c r="L412" s="201">
        <v>0.84953000000000001</v>
      </c>
      <c r="M412" s="203">
        <f t="shared" si="116"/>
        <v>7.4999999999999997E-3</v>
      </c>
      <c r="N412" s="204">
        <f t="shared" si="117"/>
        <v>2.65</v>
      </c>
      <c r="O412" s="205">
        <f t="shared" si="118"/>
        <v>0</v>
      </c>
      <c r="P412" s="206">
        <f t="shared" si="119"/>
        <v>2.65</v>
      </c>
      <c r="Q412" s="206">
        <f t="shared" si="120"/>
        <v>0</v>
      </c>
      <c r="R4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168260</v>
      </c>
      <c r="T4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2" s="208">
        <f ca="1">IF(Tabla33610673[[#This Row],[Equity]]&lt;Tabla33610673[[#This Row],[Equity Peak]],(Tabla33610673[[#This Row],[Equity Peak]]-Tabla33610673[[#This Row],[Equity]])/Tabla33610673[[#This Row],[Equity Peak]],"")</f>
        <v>5.5143755615453725E-2</v>
      </c>
      <c r="V412" s="209">
        <f t="shared" si="121"/>
        <v>2.65</v>
      </c>
      <c r="W412" s="209">
        <f t="shared" si="122"/>
        <v>0</v>
      </c>
      <c r="X412" s="209">
        <f t="shared" si="123"/>
        <v>0</v>
      </c>
      <c r="Y412" s="209">
        <f t="shared" si="124"/>
        <v>0</v>
      </c>
      <c r="Z412" s="209">
        <f t="shared" si="125"/>
        <v>0</v>
      </c>
      <c r="AA412" s="205">
        <f t="shared" si="126"/>
        <v>0</v>
      </c>
      <c r="AB412" s="209">
        <f t="shared" si="127"/>
        <v>0</v>
      </c>
      <c r="AC412" s="205">
        <f t="shared" si="128"/>
        <v>0</v>
      </c>
      <c r="AD412" s="210">
        <f t="shared" si="129"/>
        <v>6.6958333333313931</v>
      </c>
      <c r="AE412" s="210">
        <f t="shared" si="130"/>
        <v>6.6958333333313931</v>
      </c>
      <c r="AF412" s="210">
        <f t="shared" si="131"/>
        <v>0</v>
      </c>
      <c r="AG412" s="210">
        <f t="shared" si="132"/>
        <v>0</v>
      </c>
    </row>
    <row r="413" spans="2:33" ht="15" customHeight="1" x14ac:dyDescent="0.3">
      <c r="B413" s="196" t="s">
        <v>7</v>
      </c>
      <c r="C413" s="197" t="s">
        <v>15</v>
      </c>
      <c r="D413" s="198" t="str">
        <f t="shared" si="114"/>
        <v>C</v>
      </c>
      <c r="E413" s="199">
        <v>44287.333333333336</v>
      </c>
      <c r="F413" s="200" t="s">
        <v>121</v>
      </c>
      <c r="G413" s="201">
        <v>1.5529999999999999</v>
      </c>
      <c r="H413" s="201">
        <v>1.5465899999999999</v>
      </c>
      <c r="I413" s="202">
        <f t="shared" si="115"/>
        <v>6.4100000000000268E-3</v>
      </c>
      <c r="J413" s="201">
        <v>1.6213500000000001</v>
      </c>
      <c r="K413" s="199">
        <v>44287.712500000001</v>
      </c>
      <c r="L413" s="201">
        <v>1.5465899999999999</v>
      </c>
      <c r="M413" s="203">
        <f t="shared" si="116"/>
        <v>-6.4000000000000003E-3</v>
      </c>
      <c r="N413" s="204">
        <f t="shared" si="117"/>
        <v>-1</v>
      </c>
      <c r="O413" s="205">
        <f t="shared" si="118"/>
        <v>0</v>
      </c>
      <c r="P413" s="206">
        <f t="shared" si="119"/>
        <v>0</v>
      </c>
      <c r="Q413" s="206">
        <f t="shared" si="120"/>
        <v>-1</v>
      </c>
      <c r="R4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165610</v>
      </c>
      <c r="T4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3" s="208">
        <f ca="1">IF(Tabla33610673[[#This Row],[Equity]]&lt;Tabla33610673[[#This Row],[Equity Peak]],(Tabla33610673[[#This Row],[Equity Peak]]-Tabla33610673[[#This Row],[Equity]])/Tabla33610673[[#This Row],[Equity Peak]],"")</f>
        <v>7.0024707996406116E-2</v>
      </c>
      <c r="V413" s="209">
        <f t="shared" si="121"/>
        <v>-1</v>
      </c>
      <c r="W413" s="209">
        <f t="shared" si="122"/>
        <v>0</v>
      </c>
      <c r="X413" s="209">
        <f t="shared" si="123"/>
        <v>0</v>
      </c>
      <c r="Y413" s="209">
        <f t="shared" si="124"/>
        <v>0</v>
      </c>
      <c r="Z413" s="209">
        <f t="shared" si="125"/>
        <v>0</v>
      </c>
      <c r="AA413" s="205">
        <f t="shared" si="126"/>
        <v>0</v>
      </c>
      <c r="AB413" s="209">
        <f t="shared" si="127"/>
        <v>0</v>
      </c>
      <c r="AC413" s="205">
        <f t="shared" si="128"/>
        <v>0</v>
      </c>
      <c r="AD413" s="210">
        <f t="shared" si="129"/>
        <v>0.37916666666569654</v>
      </c>
      <c r="AE413" s="210">
        <f t="shared" si="130"/>
        <v>0</v>
      </c>
      <c r="AF413" s="210">
        <f t="shared" si="131"/>
        <v>0.37916666666569654</v>
      </c>
      <c r="AG413" s="210">
        <f t="shared" si="132"/>
        <v>0</v>
      </c>
    </row>
    <row r="414" spans="2:33" ht="15" customHeight="1" x14ac:dyDescent="0.3">
      <c r="B414" s="196" t="s">
        <v>7</v>
      </c>
      <c r="C414" s="197" t="s">
        <v>13</v>
      </c>
      <c r="D414" s="198" t="str">
        <f t="shared" si="114"/>
        <v>C</v>
      </c>
      <c r="E414" s="199">
        <v>44287.333333333336</v>
      </c>
      <c r="F414" s="200" t="s">
        <v>122</v>
      </c>
      <c r="G414" s="201">
        <v>0.75436000000000003</v>
      </c>
      <c r="H414" s="201">
        <v>0.75866</v>
      </c>
      <c r="I414" s="202">
        <f t="shared" si="115"/>
        <v>4.2999999999999705E-3</v>
      </c>
      <c r="J414" s="201">
        <v>0.73145000000000004</v>
      </c>
      <c r="K414" s="199">
        <v>44287.662499999999</v>
      </c>
      <c r="L414" s="201">
        <v>0.75866</v>
      </c>
      <c r="M414" s="203">
        <f t="shared" si="116"/>
        <v>-4.3E-3</v>
      </c>
      <c r="N414" s="204">
        <f t="shared" si="117"/>
        <v>-1</v>
      </c>
      <c r="O414" s="205">
        <f t="shared" si="118"/>
        <v>0</v>
      </c>
      <c r="P414" s="206">
        <f t="shared" si="119"/>
        <v>0</v>
      </c>
      <c r="Q414" s="206">
        <f t="shared" si="120"/>
        <v>-1</v>
      </c>
      <c r="R4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166610</v>
      </c>
      <c r="T4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4" s="208">
        <f ca="1">IF(Tabla33610673[[#This Row],[Equity]]&lt;Tabla33610673[[#This Row],[Equity Peak]],(Tabla33610673[[#This Row],[Equity Peak]]-Tabla33610673[[#This Row],[Equity]])/Tabla33610673[[#This Row],[Equity Peak]],"")</f>
        <v>6.4409254267744839E-2</v>
      </c>
      <c r="V414" s="209">
        <f t="shared" si="121"/>
        <v>-1</v>
      </c>
      <c r="W414" s="209">
        <f t="shared" si="122"/>
        <v>0</v>
      </c>
      <c r="X414" s="209">
        <f t="shared" si="123"/>
        <v>0</v>
      </c>
      <c r="Y414" s="209">
        <f t="shared" si="124"/>
        <v>0</v>
      </c>
      <c r="Z414" s="209">
        <f t="shared" si="125"/>
        <v>0</v>
      </c>
      <c r="AA414" s="205">
        <f t="shared" si="126"/>
        <v>0</v>
      </c>
      <c r="AB414" s="209">
        <f t="shared" si="127"/>
        <v>0</v>
      </c>
      <c r="AC414" s="205">
        <f t="shared" si="128"/>
        <v>0</v>
      </c>
      <c r="AD414" s="210">
        <f t="shared" si="129"/>
        <v>0.32916666666278616</v>
      </c>
      <c r="AE414" s="210">
        <f t="shared" si="130"/>
        <v>0</v>
      </c>
      <c r="AF414" s="210">
        <f t="shared" si="131"/>
        <v>0.32916666666278616</v>
      </c>
      <c r="AG414" s="210">
        <f t="shared" si="132"/>
        <v>0</v>
      </c>
    </row>
    <row r="415" spans="2:33" ht="15" customHeight="1" x14ac:dyDescent="0.3">
      <c r="B415" s="196" t="s">
        <v>7</v>
      </c>
      <c r="C415" s="197" t="s">
        <v>15</v>
      </c>
      <c r="D415" s="198" t="str">
        <f t="shared" si="114"/>
        <v>C</v>
      </c>
      <c r="E415" s="199">
        <v>44285.017361111109</v>
      </c>
      <c r="F415" s="200" t="s">
        <v>123</v>
      </c>
      <c r="G415" s="201">
        <v>83.808000000000007</v>
      </c>
      <c r="H415" s="201">
        <v>83.369</v>
      </c>
      <c r="I415" s="202">
        <f t="shared" si="115"/>
        <v>0.43900000000000716</v>
      </c>
      <c r="J415" s="201">
        <v>91.42</v>
      </c>
      <c r="K415" s="199">
        <v>44287.32916666667</v>
      </c>
      <c r="L415" s="201">
        <v>83.53</v>
      </c>
      <c r="M415" s="203">
        <f t="shared" si="116"/>
        <v>-0.27800000000000002</v>
      </c>
      <c r="N415" s="204">
        <f t="shared" si="117"/>
        <v>-0.63</v>
      </c>
      <c r="O415" s="205">
        <f t="shared" si="118"/>
        <v>0</v>
      </c>
      <c r="P415" s="206">
        <f t="shared" si="119"/>
        <v>0</v>
      </c>
      <c r="Q415" s="206">
        <f t="shared" si="120"/>
        <v>-0.63</v>
      </c>
      <c r="R4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167610</v>
      </c>
      <c r="T4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5" s="208">
        <f ca="1">IF(Tabla33610673[[#This Row],[Equity]]&lt;Tabla33610673[[#This Row],[Equity Peak]],(Tabla33610673[[#This Row],[Equity Peak]]-Tabla33610673[[#This Row],[Equity]])/Tabla33610673[[#This Row],[Equity Peak]],"")</f>
        <v>5.8793800539083556E-2</v>
      </c>
      <c r="V415" s="209">
        <f t="shared" si="121"/>
        <v>-0.63</v>
      </c>
      <c r="W415" s="209">
        <f t="shared" si="122"/>
        <v>0</v>
      </c>
      <c r="X415" s="209">
        <f t="shared" si="123"/>
        <v>0</v>
      </c>
      <c r="Y415" s="209">
        <f t="shared" si="124"/>
        <v>0</v>
      </c>
      <c r="Z415" s="209">
        <f t="shared" si="125"/>
        <v>0</v>
      </c>
      <c r="AA415" s="205">
        <f t="shared" si="126"/>
        <v>0</v>
      </c>
      <c r="AB415" s="209">
        <f t="shared" si="127"/>
        <v>0</v>
      </c>
      <c r="AC415" s="205">
        <f t="shared" si="128"/>
        <v>0</v>
      </c>
      <c r="AD415" s="210">
        <f t="shared" si="129"/>
        <v>2.3118055555605679</v>
      </c>
      <c r="AE415" s="210">
        <f t="shared" si="130"/>
        <v>0</v>
      </c>
      <c r="AF415" s="210">
        <f t="shared" si="131"/>
        <v>2.3118055555605679</v>
      </c>
      <c r="AG415" s="210">
        <f t="shared" si="132"/>
        <v>0</v>
      </c>
    </row>
    <row r="416" spans="2:33" ht="15" customHeight="1" x14ac:dyDescent="0.3">
      <c r="B416" s="196" t="s">
        <v>19</v>
      </c>
      <c r="C416" s="197" t="s">
        <v>13</v>
      </c>
      <c r="D416" s="198" t="str">
        <f t="shared" si="114"/>
        <v>C</v>
      </c>
      <c r="E416" s="199">
        <v>44279.041666666664</v>
      </c>
      <c r="F416" s="200" t="s">
        <v>88</v>
      </c>
      <c r="G416" s="201">
        <v>1727.2</v>
      </c>
      <c r="H416" s="201">
        <v>1746.79</v>
      </c>
      <c r="I416" s="202">
        <f t="shared" si="115"/>
        <v>19.589999999999918</v>
      </c>
      <c r="J416" s="201">
        <v>1601.79</v>
      </c>
      <c r="K416" s="199">
        <v>44286.719444444447</v>
      </c>
      <c r="L416" s="201">
        <v>1698.93</v>
      </c>
      <c r="M416" s="203">
        <f t="shared" si="116"/>
        <v>28.27</v>
      </c>
      <c r="N416" s="204">
        <f t="shared" si="117"/>
        <v>1.44</v>
      </c>
      <c r="O416" s="205">
        <f t="shared" si="118"/>
        <v>0</v>
      </c>
      <c r="P416" s="206">
        <f t="shared" si="119"/>
        <v>1.44</v>
      </c>
      <c r="Q416" s="206">
        <f t="shared" si="120"/>
        <v>0</v>
      </c>
      <c r="R4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168240</v>
      </c>
      <c r="T4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6" s="208">
        <f ca="1">IF(Tabla33610673[[#This Row],[Equity]]&lt;Tabla33610673[[#This Row],[Equity Peak]],(Tabla33610673[[#This Row],[Equity Peak]]-Tabla33610673[[#This Row],[Equity]])/Tabla33610673[[#This Row],[Equity Peak]],"")</f>
        <v>5.5256064690026953E-2</v>
      </c>
      <c r="V416" s="209">
        <f t="shared" si="121"/>
        <v>0</v>
      </c>
      <c r="W416" s="209">
        <f t="shared" si="122"/>
        <v>0</v>
      </c>
      <c r="X416" s="209">
        <f t="shared" si="123"/>
        <v>1.44</v>
      </c>
      <c r="Y416" s="209">
        <f t="shared" si="124"/>
        <v>0</v>
      </c>
      <c r="Z416" s="209">
        <f t="shared" si="125"/>
        <v>0</v>
      </c>
      <c r="AA416" s="205">
        <f t="shared" si="126"/>
        <v>0</v>
      </c>
      <c r="AB416" s="209">
        <f t="shared" si="127"/>
        <v>0</v>
      </c>
      <c r="AC416" s="205">
        <f t="shared" si="128"/>
        <v>0</v>
      </c>
      <c r="AD416" s="210">
        <f t="shared" si="129"/>
        <v>7.6777777777824667</v>
      </c>
      <c r="AE416" s="210">
        <f t="shared" si="130"/>
        <v>7.6777777777824667</v>
      </c>
      <c r="AF416" s="210">
        <f t="shared" si="131"/>
        <v>0</v>
      </c>
      <c r="AG416" s="210">
        <f t="shared" si="132"/>
        <v>0</v>
      </c>
    </row>
    <row r="417" spans="2:33" ht="15" customHeight="1" x14ac:dyDescent="0.3">
      <c r="B417" s="196" t="s">
        <v>7</v>
      </c>
      <c r="C417" s="197" t="s">
        <v>13</v>
      </c>
      <c r="D417" s="198" t="str">
        <f t="shared" si="114"/>
        <v>C</v>
      </c>
      <c r="E417" s="199">
        <v>44279.5</v>
      </c>
      <c r="F417" s="200" t="s">
        <v>118</v>
      </c>
      <c r="G417" s="201">
        <v>1.1826700000000001</v>
      </c>
      <c r="H417" s="201">
        <v>1.18895</v>
      </c>
      <c r="I417" s="202">
        <f t="shared" si="115"/>
        <v>6.2799999999998413E-3</v>
      </c>
      <c r="J417" s="201">
        <v>1.14246</v>
      </c>
      <c r="K417" s="199">
        <v>44286.48541666667</v>
      </c>
      <c r="L417" s="201">
        <v>1.1747399999999999</v>
      </c>
      <c r="M417" s="203">
        <f t="shared" si="116"/>
        <v>7.9000000000000008E-3</v>
      </c>
      <c r="N417" s="204">
        <f t="shared" si="117"/>
        <v>1.26</v>
      </c>
      <c r="O417" s="205">
        <f t="shared" si="118"/>
        <v>0</v>
      </c>
      <c r="P417" s="206">
        <f t="shared" si="119"/>
        <v>1.26</v>
      </c>
      <c r="Q417" s="206">
        <f t="shared" si="120"/>
        <v>0</v>
      </c>
      <c r="R4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166800</v>
      </c>
      <c r="T4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7" s="208">
        <f ca="1">IF(Tabla33610673[[#This Row],[Equity]]&lt;Tabla33610673[[#This Row],[Equity Peak]],(Tabla33610673[[#This Row],[Equity Peak]]-Tabla33610673[[#This Row],[Equity]])/Tabla33610673[[#This Row],[Equity Peak]],"")</f>
        <v>6.3342318059299185E-2</v>
      </c>
      <c r="V417" s="209">
        <f t="shared" si="121"/>
        <v>1.26</v>
      </c>
      <c r="W417" s="209">
        <f t="shared" si="122"/>
        <v>0</v>
      </c>
      <c r="X417" s="209">
        <f t="shared" si="123"/>
        <v>0</v>
      </c>
      <c r="Y417" s="209">
        <f t="shared" si="124"/>
        <v>0</v>
      </c>
      <c r="Z417" s="209">
        <f t="shared" si="125"/>
        <v>0</v>
      </c>
      <c r="AA417" s="205">
        <f t="shared" si="126"/>
        <v>0</v>
      </c>
      <c r="AB417" s="209">
        <f t="shared" si="127"/>
        <v>0</v>
      </c>
      <c r="AC417" s="205">
        <f t="shared" si="128"/>
        <v>0</v>
      </c>
      <c r="AD417" s="210">
        <f t="shared" si="129"/>
        <v>6.9854166666700621</v>
      </c>
      <c r="AE417" s="210">
        <f t="shared" si="130"/>
        <v>6.9854166666700621</v>
      </c>
      <c r="AF417" s="210">
        <f t="shared" si="131"/>
        <v>0</v>
      </c>
      <c r="AG417" s="210">
        <f t="shared" si="132"/>
        <v>0</v>
      </c>
    </row>
    <row r="418" spans="2:33" ht="15" customHeight="1" x14ac:dyDescent="0.3">
      <c r="B418" s="196" t="s">
        <v>84</v>
      </c>
      <c r="C418" s="197" t="s">
        <v>15</v>
      </c>
      <c r="D418" s="198" t="str">
        <f t="shared" si="114"/>
        <v>C</v>
      </c>
      <c r="E418" s="199">
        <v>44284.666666666664</v>
      </c>
      <c r="F418" s="200" t="s">
        <v>82</v>
      </c>
      <c r="G418" s="201">
        <v>1774.27</v>
      </c>
      <c r="H418" s="201">
        <v>1718.95</v>
      </c>
      <c r="I418" s="202">
        <f t="shared" si="115"/>
        <v>55.319999999999936</v>
      </c>
      <c r="J418" s="201">
        <v>2806.83</v>
      </c>
      <c r="K418" s="199">
        <v>44286.47152777778</v>
      </c>
      <c r="L418" s="201">
        <v>1771.15</v>
      </c>
      <c r="M418" s="203">
        <f t="shared" si="116"/>
        <v>-3.12</v>
      </c>
      <c r="N418" s="204">
        <f t="shared" si="117"/>
        <v>-0.06</v>
      </c>
      <c r="O418" s="205">
        <f t="shared" si="118"/>
        <v>0</v>
      </c>
      <c r="P418" s="206">
        <f t="shared" si="119"/>
        <v>0</v>
      </c>
      <c r="Q418" s="206">
        <f t="shared" si="120"/>
        <v>-0.06</v>
      </c>
      <c r="R4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165540</v>
      </c>
      <c r="T4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8" s="208">
        <f ca="1">IF(Tabla33610673[[#This Row],[Equity]]&lt;Tabla33610673[[#This Row],[Equity Peak]],(Tabla33610673[[#This Row],[Equity Peak]]-Tabla33610673[[#This Row],[Equity]])/Tabla33610673[[#This Row],[Equity Peak]],"")</f>
        <v>7.0417789757412405E-2</v>
      </c>
      <c r="V418" s="209">
        <f t="shared" si="121"/>
        <v>0</v>
      </c>
      <c r="W418" s="209">
        <f t="shared" si="122"/>
        <v>0</v>
      </c>
      <c r="X418" s="209">
        <f t="shared" si="123"/>
        <v>0</v>
      </c>
      <c r="Y418" s="209">
        <f t="shared" si="124"/>
        <v>0</v>
      </c>
      <c r="Z418" s="209">
        <f t="shared" si="125"/>
        <v>0</v>
      </c>
      <c r="AA418" s="205">
        <f t="shared" si="126"/>
        <v>0</v>
      </c>
      <c r="AB418" s="209">
        <f t="shared" si="127"/>
        <v>-0.06</v>
      </c>
      <c r="AC418" s="205">
        <f t="shared" si="128"/>
        <v>0</v>
      </c>
      <c r="AD418" s="210">
        <f t="shared" si="129"/>
        <v>1.804861111115315</v>
      </c>
      <c r="AE418" s="210">
        <f t="shared" si="130"/>
        <v>0</v>
      </c>
      <c r="AF418" s="210">
        <f t="shared" si="131"/>
        <v>1.804861111115315</v>
      </c>
      <c r="AG418" s="210">
        <f t="shared" si="132"/>
        <v>0</v>
      </c>
    </row>
    <row r="419" spans="2:33" ht="15" customHeight="1" x14ac:dyDescent="0.3">
      <c r="B419" s="196" t="s">
        <v>84</v>
      </c>
      <c r="C419" s="197" t="s">
        <v>15</v>
      </c>
      <c r="D419" s="198" t="str">
        <f t="shared" si="114"/>
        <v>C</v>
      </c>
      <c r="E419" s="199">
        <v>44284.5</v>
      </c>
      <c r="F419" s="200" t="s">
        <v>80</v>
      </c>
      <c r="G419" s="201">
        <v>57098.92</v>
      </c>
      <c r="H419" s="201">
        <v>54151.78</v>
      </c>
      <c r="I419" s="202">
        <f t="shared" si="115"/>
        <v>2947.1399999999994</v>
      </c>
      <c r="J419" s="201">
        <v>101306.06</v>
      </c>
      <c r="K419" s="199">
        <v>44286.441666666666</v>
      </c>
      <c r="L419" s="201">
        <v>57083.6</v>
      </c>
      <c r="M419" s="203">
        <f t="shared" si="116"/>
        <v>-15.32</v>
      </c>
      <c r="N419" s="204">
        <f t="shared" si="117"/>
        <v>-0.01</v>
      </c>
      <c r="O419" s="205">
        <f t="shared" si="118"/>
        <v>0</v>
      </c>
      <c r="P419" s="206">
        <f t="shared" si="119"/>
        <v>0</v>
      </c>
      <c r="Q419" s="206">
        <f t="shared" si="120"/>
        <v>-0.01</v>
      </c>
      <c r="R4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165600</v>
      </c>
      <c r="T4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19" s="208">
        <f ca="1">IF(Tabla33610673[[#This Row],[Equity]]&lt;Tabla33610673[[#This Row],[Equity Peak]],(Tabla33610673[[#This Row],[Equity Peak]]-Tabla33610673[[#This Row],[Equity]])/Tabla33610673[[#This Row],[Equity Peak]],"")</f>
        <v>7.0080862533692723E-2</v>
      </c>
      <c r="V419" s="209">
        <f t="shared" si="121"/>
        <v>0</v>
      </c>
      <c r="W419" s="209">
        <f t="shared" si="122"/>
        <v>0</v>
      </c>
      <c r="X419" s="209">
        <f t="shared" si="123"/>
        <v>0</v>
      </c>
      <c r="Y419" s="209">
        <f t="shared" si="124"/>
        <v>0</v>
      </c>
      <c r="Z419" s="209">
        <f t="shared" si="125"/>
        <v>0</v>
      </c>
      <c r="AA419" s="205">
        <f t="shared" si="126"/>
        <v>0</v>
      </c>
      <c r="AB419" s="209">
        <f t="shared" si="127"/>
        <v>-0.01</v>
      </c>
      <c r="AC419" s="205">
        <f t="shared" si="128"/>
        <v>0</v>
      </c>
      <c r="AD419" s="210">
        <f t="shared" si="129"/>
        <v>1.9416666666656965</v>
      </c>
      <c r="AE419" s="210">
        <f t="shared" si="130"/>
        <v>0</v>
      </c>
      <c r="AF419" s="210">
        <f t="shared" si="131"/>
        <v>1.9416666666656965</v>
      </c>
      <c r="AG419" s="210">
        <f t="shared" si="132"/>
        <v>0</v>
      </c>
    </row>
    <row r="420" spans="2:33" ht="15" customHeight="1" x14ac:dyDescent="0.3">
      <c r="B420" s="196" t="s">
        <v>7</v>
      </c>
      <c r="C420" s="197" t="s">
        <v>13</v>
      </c>
      <c r="D420" s="198" t="str">
        <f t="shared" si="114"/>
        <v>C</v>
      </c>
      <c r="E420" s="199">
        <v>44284.333333333336</v>
      </c>
      <c r="F420" s="200" t="s">
        <v>121</v>
      </c>
      <c r="G420" s="201">
        <v>1.54356</v>
      </c>
      <c r="H420" s="201">
        <v>1.5495699999999999</v>
      </c>
      <c r="I420" s="202">
        <f t="shared" si="115"/>
        <v>6.0099999999998488E-3</v>
      </c>
      <c r="J420" s="201">
        <v>1.47949</v>
      </c>
      <c r="K420" s="199">
        <v>44285.745833333334</v>
      </c>
      <c r="L420" s="201">
        <v>1.5437700000000001</v>
      </c>
      <c r="M420" s="203">
        <f t="shared" si="116"/>
        <v>-2.0000000000000001E-4</v>
      </c>
      <c r="N420" s="204">
        <f t="shared" si="117"/>
        <v>-0.03</v>
      </c>
      <c r="O420" s="205">
        <f t="shared" si="118"/>
        <v>0</v>
      </c>
      <c r="P420" s="206">
        <f t="shared" si="119"/>
        <v>0</v>
      </c>
      <c r="Q420" s="206">
        <f t="shared" si="120"/>
        <v>-0.03</v>
      </c>
      <c r="R4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165610</v>
      </c>
      <c r="T4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0" s="208">
        <f ca="1">IF(Tabla33610673[[#This Row],[Equity]]&lt;Tabla33610673[[#This Row],[Equity Peak]],(Tabla33610673[[#This Row],[Equity Peak]]-Tabla33610673[[#This Row],[Equity]])/Tabla33610673[[#This Row],[Equity Peak]],"")</f>
        <v>7.0024707996406116E-2</v>
      </c>
      <c r="V420" s="209">
        <f t="shared" si="121"/>
        <v>-0.03</v>
      </c>
      <c r="W420" s="209">
        <f t="shared" si="122"/>
        <v>0</v>
      </c>
      <c r="X420" s="209">
        <f t="shared" si="123"/>
        <v>0</v>
      </c>
      <c r="Y420" s="209">
        <f t="shared" si="124"/>
        <v>0</v>
      </c>
      <c r="Z420" s="209">
        <f t="shared" si="125"/>
        <v>0</v>
      </c>
      <c r="AA420" s="205">
        <f t="shared" si="126"/>
        <v>0</v>
      </c>
      <c r="AB420" s="209">
        <f t="shared" si="127"/>
        <v>0</v>
      </c>
      <c r="AC420" s="205">
        <f t="shared" si="128"/>
        <v>0</v>
      </c>
      <c r="AD420" s="210">
        <f t="shared" si="129"/>
        <v>1.4124999999985448</v>
      </c>
      <c r="AE420" s="210">
        <f t="shared" si="130"/>
        <v>0</v>
      </c>
      <c r="AF420" s="210">
        <f t="shared" si="131"/>
        <v>1.4124999999985448</v>
      </c>
      <c r="AG420" s="210">
        <f t="shared" si="132"/>
        <v>0</v>
      </c>
    </row>
    <row r="421" spans="2:33" ht="15" customHeight="1" x14ac:dyDescent="0.3">
      <c r="B421" s="196" t="s">
        <v>7</v>
      </c>
      <c r="C421" s="197" t="s">
        <v>15</v>
      </c>
      <c r="D421" s="198" t="str">
        <f t="shared" si="114"/>
        <v>C</v>
      </c>
      <c r="E421" s="199">
        <v>44279.017361111109</v>
      </c>
      <c r="F421" s="200" t="s">
        <v>117</v>
      </c>
      <c r="G421" s="201">
        <v>1.79898</v>
      </c>
      <c r="H421" s="201">
        <v>1.78112</v>
      </c>
      <c r="I421" s="202">
        <f t="shared" si="115"/>
        <v>1.7859999999999987E-2</v>
      </c>
      <c r="J421" s="201">
        <v>1.8585100000000001</v>
      </c>
      <c r="K421" s="199">
        <v>44285.26458333333</v>
      </c>
      <c r="L421" s="201">
        <v>1.79887</v>
      </c>
      <c r="M421" s="203">
        <f t="shared" si="116"/>
        <v>-1E-4</v>
      </c>
      <c r="N421" s="204">
        <f t="shared" si="117"/>
        <v>-0.01</v>
      </c>
      <c r="O421" s="205">
        <f t="shared" si="118"/>
        <v>0</v>
      </c>
      <c r="P421" s="206">
        <f t="shared" si="119"/>
        <v>0</v>
      </c>
      <c r="Q421" s="206">
        <f t="shared" si="120"/>
        <v>-0.01</v>
      </c>
      <c r="R4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165640</v>
      </c>
      <c r="T4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1" s="208">
        <f ca="1">IF(Tabla33610673[[#This Row],[Equity]]&lt;Tabla33610673[[#This Row],[Equity Peak]],(Tabla33610673[[#This Row],[Equity Peak]]-Tabla33610673[[#This Row],[Equity]])/Tabla33610673[[#This Row],[Equity Peak]],"")</f>
        <v>6.9856244384546268E-2</v>
      </c>
      <c r="V421" s="209">
        <f t="shared" si="121"/>
        <v>-0.01</v>
      </c>
      <c r="W421" s="209">
        <f t="shared" si="122"/>
        <v>0</v>
      </c>
      <c r="X421" s="209">
        <f t="shared" si="123"/>
        <v>0</v>
      </c>
      <c r="Y421" s="209">
        <f t="shared" si="124"/>
        <v>0</v>
      </c>
      <c r="Z421" s="209">
        <f t="shared" si="125"/>
        <v>0</v>
      </c>
      <c r="AA421" s="205">
        <f t="shared" si="126"/>
        <v>0</v>
      </c>
      <c r="AB421" s="209">
        <f t="shared" si="127"/>
        <v>0</v>
      </c>
      <c r="AC421" s="205">
        <f t="shared" si="128"/>
        <v>0</v>
      </c>
      <c r="AD421" s="210">
        <f t="shared" si="129"/>
        <v>6.2472222222204437</v>
      </c>
      <c r="AE421" s="210">
        <f t="shared" si="130"/>
        <v>0</v>
      </c>
      <c r="AF421" s="210">
        <f t="shared" si="131"/>
        <v>6.2472222222204437</v>
      </c>
      <c r="AG421" s="210">
        <f t="shared" si="132"/>
        <v>0</v>
      </c>
    </row>
    <row r="422" spans="2:33" ht="15" customHeight="1" x14ac:dyDescent="0.3">
      <c r="B422" s="196" t="s">
        <v>7</v>
      </c>
      <c r="C422" s="197" t="s">
        <v>13</v>
      </c>
      <c r="D422" s="198" t="str">
        <f t="shared" si="114"/>
        <v>C</v>
      </c>
      <c r="E422" s="199">
        <v>44284.5</v>
      </c>
      <c r="F422" s="200" t="s">
        <v>119</v>
      </c>
      <c r="G422" s="201">
        <v>129.00200000000001</v>
      </c>
      <c r="H422" s="201">
        <v>129.78899999999999</v>
      </c>
      <c r="I422" s="202">
        <f t="shared" si="115"/>
        <v>0.78699999999997772</v>
      </c>
      <c r="J422" s="201">
        <v>125.85299999999999</v>
      </c>
      <c r="K422" s="199">
        <v>44284.666666666664</v>
      </c>
      <c r="L422" s="201">
        <v>129.292</v>
      </c>
      <c r="M422" s="203">
        <f t="shared" si="116"/>
        <v>-0.28999999999999998</v>
      </c>
      <c r="N422" s="204">
        <f t="shared" si="117"/>
        <v>-0.37</v>
      </c>
      <c r="O422" s="205">
        <f t="shared" si="118"/>
        <v>0</v>
      </c>
      <c r="P422" s="206">
        <f t="shared" si="119"/>
        <v>0</v>
      </c>
      <c r="Q422" s="206">
        <f t="shared" si="120"/>
        <v>-0.37</v>
      </c>
      <c r="R4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165650</v>
      </c>
      <c r="T4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2" s="208">
        <f ca="1">IF(Tabla33610673[[#This Row],[Equity]]&lt;Tabla33610673[[#This Row],[Equity Peak]],(Tabla33610673[[#This Row],[Equity Peak]]-Tabla33610673[[#This Row],[Equity]])/Tabla33610673[[#This Row],[Equity Peak]],"")</f>
        <v>6.9800089847259661E-2</v>
      </c>
      <c r="V422" s="209">
        <f t="shared" si="121"/>
        <v>-0.37</v>
      </c>
      <c r="W422" s="209">
        <f t="shared" si="122"/>
        <v>0</v>
      </c>
      <c r="X422" s="209">
        <f t="shared" si="123"/>
        <v>0</v>
      </c>
      <c r="Y422" s="209">
        <f t="shared" si="124"/>
        <v>0</v>
      </c>
      <c r="Z422" s="209">
        <f t="shared" si="125"/>
        <v>0</v>
      </c>
      <c r="AA422" s="205">
        <f t="shared" si="126"/>
        <v>0</v>
      </c>
      <c r="AB422" s="209">
        <f t="shared" si="127"/>
        <v>0</v>
      </c>
      <c r="AC422" s="205">
        <f t="shared" si="128"/>
        <v>0</v>
      </c>
      <c r="AD422" s="210">
        <f t="shared" si="129"/>
        <v>0.16666666666424135</v>
      </c>
      <c r="AE422" s="210">
        <f t="shared" si="130"/>
        <v>0</v>
      </c>
      <c r="AF422" s="210">
        <f t="shared" si="131"/>
        <v>0.16666666666424135</v>
      </c>
      <c r="AG422" s="210">
        <f t="shared" si="132"/>
        <v>0</v>
      </c>
    </row>
    <row r="423" spans="2:33" ht="15" customHeight="1" x14ac:dyDescent="0.3">
      <c r="B423" s="196" t="s">
        <v>7</v>
      </c>
      <c r="C423" s="197" t="s">
        <v>15</v>
      </c>
      <c r="D423" s="198" t="str">
        <f t="shared" si="114"/>
        <v>C</v>
      </c>
      <c r="E423" s="199">
        <v>44281.833333333336</v>
      </c>
      <c r="F423" s="200" t="s">
        <v>119</v>
      </c>
      <c r="G423" s="201">
        <v>129.36500000000001</v>
      </c>
      <c r="H423" s="201">
        <v>128.63200000000001</v>
      </c>
      <c r="I423" s="202">
        <f t="shared" si="115"/>
        <v>0.73300000000000409</v>
      </c>
      <c r="J423" s="201">
        <v>132.29599999999999</v>
      </c>
      <c r="K423" s="199">
        <v>44284.5</v>
      </c>
      <c r="L423" s="201">
        <v>129.00200000000001</v>
      </c>
      <c r="M423" s="203">
        <f t="shared" si="116"/>
        <v>-0.36299999999999999</v>
      </c>
      <c r="N423" s="204">
        <f t="shared" si="117"/>
        <v>-0.5</v>
      </c>
      <c r="O423" s="205">
        <f t="shared" si="118"/>
        <v>0</v>
      </c>
      <c r="P423" s="206">
        <f t="shared" si="119"/>
        <v>0</v>
      </c>
      <c r="Q423" s="206">
        <f t="shared" si="120"/>
        <v>-0.5</v>
      </c>
      <c r="R4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166020</v>
      </c>
      <c r="T4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3" s="208">
        <f ca="1">IF(Tabla33610673[[#This Row],[Equity]]&lt;Tabla33610673[[#This Row],[Equity Peak]],(Tabla33610673[[#This Row],[Equity Peak]]-Tabla33610673[[#This Row],[Equity]])/Tabla33610673[[#This Row],[Equity Peak]],"")</f>
        <v>6.7722371967654987E-2</v>
      </c>
      <c r="V423" s="209">
        <f t="shared" si="121"/>
        <v>-0.5</v>
      </c>
      <c r="W423" s="209">
        <f t="shared" si="122"/>
        <v>0</v>
      </c>
      <c r="X423" s="209">
        <f t="shared" si="123"/>
        <v>0</v>
      </c>
      <c r="Y423" s="209">
        <f t="shared" si="124"/>
        <v>0</v>
      </c>
      <c r="Z423" s="209">
        <f t="shared" si="125"/>
        <v>0</v>
      </c>
      <c r="AA423" s="205">
        <f t="shared" si="126"/>
        <v>0</v>
      </c>
      <c r="AB423" s="209">
        <f t="shared" si="127"/>
        <v>0</v>
      </c>
      <c r="AC423" s="205">
        <f t="shared" si="128"/>
        <v>0</v>
      </c>
      <c r="AD423" s="210">
        <f t="shared" si="129"/>
        <v>2.6666666666642413</v>
      </c>
      <c r="AE423" s="210">
        <f t="shared" si="130"/>
        <v>0</v>
      </c>
      <c r="AF423" s="210">
        <f t="shared" si="131"/>
        <v>2.6666666666642413</v>
      </c>
      <c r="AG423" s="210">
        <f t="shared" si="132"/>
        <v>0</v>
      </c>
    </row>
    <row r="424" spans="2:33" ht="15" customHeight="1" x14ac:dyDescent="0.3">
      <c r="B424" s="196" t="s">
        <v>5</v>
      </c>
      <c r="C424" s="197" t="s">
        <v>15</v>
      </c>
      <c r="D424" s="198" t="str">
        <f t="shared" si="114"/>
        <v>C</v>
      </c>
      <c r="E424" s="199">
        <v>44281.833333333336</v>
      </c>
      <c r="F424" s="200" t="s">
        <v>94</v>
      </c>
      <c r="G424" s="201">
        <v>6748.74</v>
      </c>
      <c r="H424" s="201">
        <v>6669.91</v>
      </c>
      <c r="I424" s="202">
        <f t="shared" si="115"/>
        <v>78.829999999999927</v>
      </c>
      <c r="J424" s="201">
        <v>7142.9</v>
      </c>
      <c r="K424" s="199">
        <v>44284.481944444444</v>
      </c>
      <c r="L424" s="201">
        <v>6706.95</v>
      </c>
      <c r="M424" s="203">
        <f t="shared" si="116"/>
        <v>-41.79</v>
      </c>
      <c r="N424" s="204">
        <f t="shared" si="117"/>
        <v>-0.53</v>
      </c>
      <c r="O424" s="205">
        <f t="shared" si="118"/>
        <v>0</v>
      </c>
      <c r="P424" s="206">
        <f t="shared" si="119"/>
        <v>0</v>
      </c>
      <c r="Q424" s="206">
        <f t="shared" si="120"/>
        <v>-0.53</v>
      </c>
      <c r="R4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166520</v>
      </c>
      <c r="T4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4" s="208">
        <f ca="1">IF(Tabla33610673[[#This Row],[Equity]]&lt;Tabla33610673[[#This Row],[Equity Peak]],(Tabla33610673[[#This Row],[Equity Peak]]-Tabla33610673[[#This Row],[Equity]])/Tabla33610673[[#This Row],[Equity Peak]],"")</f>
        <v>6.4914645103324342E-2</v>
      </c>
      <c r="V424" s="209">
        <f t="shared" si="121"/>
        <v>0</v>
      </c>
      <c r="W424" s="209">
        <f t="shared" si="122"/>
        <v>0</v>
      </c>
      <c r="X424" s="209">
        <f t="shared" si="123"/>
        <v>0</v>
      </c>
      <c r="Y424" s="209">
        <f t="shared" si="124"/>
        <v>0</v>
      </c>
      <c r="Z424" s="209">
        <f t="shared" si="125"/>
        <v>-0.53</v>
      </c>
      <c r="AA424" s="205">
        <f t="shared" si="126"/>
        <v>0</v>
      </c>
      <c r="AB424" s="209">
        <f t="shared" si="127"/>
        <v>0</v>
      </c>
      <c r="AC424" s="205">
        <f t="shared" si="128"/>
        <v>0</v>
      </c>
      <c r="AD424" s="210">
        <f t="shared" si="129"/>
        <v>2.648611111108039</v>
      </c>
      <c r="AE424" s="210">
        <f t="shared" si="130"/>
        <v>0</v>
      </c>
      <c r="AF424" s="210">
        <f t="shared" si="131"/>
        <v>2.648611111108039</v>
      </c>
      <c r="AG424" s="210">
        <f t="shared" si="132"/>
        <v>0</v>
      </c>
    </row>
    <row r="425" spans="2:33" ht="15" customHeight="1" x14ac:dyDescent="0.3">
      <c r="B425" s="196" t="s">
        <v>5</v>
      </c>
      <c r="C425" s="197" t="s">
        <v>15</v>
      </c>
      <c r="D425" s="198" t="str">
        <f t="shared" si="114"/>
        <v>C</v>
      </c>
      <c r="E425" s="199">
        <v>44281.381944444445</v>
      </c>
      <c r="F425" s="200" t="s">
        <v>90</v>
      </c>
      <c r="G425" s="201">
        <v>6825.81</v>
      </c>
      <c r="H425" s="201">
        <v>6777.06</v>
      </c>
      <c r="I425" s="202">
        <f t="shared" si="115"/>
        <v>48.75</v>
      </c>
      <c r="J425" s="201">
        <v>7475.81</v>
      </c>
      <c r="K425" s="199">
        <v>44284.17083333333</v>
      </c>
      <c r="L425" s="201">
        <v>6806.65</v>
      </c>
      <c r="M425" s="203">
        <f t="shared" si="116"/>
        <v>-19.16</v>
      </c>
      <c r="N425" s="204">
        <f t="shared" si="117"/>
        <v>-0.39</v>
      </c>
      <c r="O425" s="205">
        <f t="shared" si="118"/>
        <v>0</v>
      </c>
      <c r="P425" s="206">
        <f t="shared" si="119"/>
        <v>0</v>
      </c>
      <c r="Q425" s="206">
        <f t="shared" si="120"/>
        <v>-0.39</v>
      </c>
      <c r="R4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167050</v>
      </c>
      <c r="T4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5" s="208">
        <f ca="1">IF(Tabla33610673[[#This Row],[Equity]]&lt;Tabla33610673[[#This Row],[Equity Peak]],(Tabla33610673[[#This Row],[Equity Peak]]-Tabla33610673[[#This Row],[Equity]])/Tabla33610673[[#This Row],[Equity Peak]],"")</f>
        <v>6.193845462713387E-2</v>
      </c>
      <c r="V425" s="209">
        <f t="shared" si="121"/>
        <v>0</v>
      </c>
      <c r="W425" s="209">
        <f t="shared" si="122"/>
        <v>0</v>
      </c>
      <c r="X425" s="209">
        <f t="shared" si="123"/>
        <v>0</v>
      </c>
      <c r="Y425" s="209">
        <f t="shared" si="124"/>
        <v>0</v>
      </c>
      <c r="Z425" s="209">
        <f t="shared" si="125"/>
        <v>-0.39</v>
      </c>
      <c r="AA425" s="205">
        <f t="shared" si="126"/>
        <v>0</v>
      </c>
      <c r="AB425" s="209">
        <f t="shared" si="127"/>
        <v>0</v>
      </c>
      <c r="AC425" s="205">
        <f t="shared" si="128"/>
        <v>0</v>
      </c>
      <c r="AD425" s="210">
        <f t="shared" si="129"/>
        <v>2.788888888884685</v>
      </c>
      <c r="AE425" s="210">
        <f t="shared" si="130"/>
        <v>0</v>
      </c>
      <c r="AF425" s="210">
        <f t="shared" si="131"/>
        <v>2.788888888884685</v>
      </c>
      <c r="AG425" s="210">
        <f t="shared" si="132"/>
        <v>0</v>
      </c>
    </row>
    <row r="426" spans="2:33" ht="15" customHeight="1" x14ac:dyDescent="0.3">
      <c r="B426" s="196" t="s">
        <v>84</v>
      </c>
      <c r="C426" s="197" t="s">
        <v>13</v>
      </c>
      <c r="D426" s="198" t="str">
        <f t="shared" si="114"/>
        <v>C</v>
      </c>
      <c r="E426" s="199">
        <v>44280.017361111109</v>
      </c>
      <c r="F426" s="200" t="s">
        <v>80</v>
      </c>
      <c r="G426" s="201">
        <v>53916.32</v>
      </c>
      <c r="H426" s="201">
        <v>57142.03</v>
      </c>
      <c r="I426" s="202">
        <f t="shared" si="115"/>
        <v>3225.7099999999991</v>
      </c>
      <c r="J426" s="201">
        <v>5530.61</v>
      </c>
      <c r="K426" s="199">
        <v>44284</v>
      </c>
      <c r="L426" s="201">
        <v>54551.42</v>
      </c>
      <c r="M426" s="203">
        <f t="shared" si="116"/>
        <v>-635.1</v>
      </c>
      <c r="N426" s="204">
        <f t="shared" si="117"/>
        <v>-0.2</v>
      </c>
      <c r="O426" s="205">
        <f t="shared" si="118"/>
        <v>0</v>
      </c>
      <c r="P426" s="206">
        <f t="shared" si="119"/>
        <v>0</v>
      </c>
      <c r="Q426" s="206">
        <f t="shared" si="120"/>
        <v>-0.2</v>
      </c>
      <c r="R4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167440</v>
      </c>
      <c r="T4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6" s="208">
        <f ca="1">IF(Tabla33610673[[#This Row],[Equity]]&lt;Tabla33610673[[#This Row],[Equity Peak]],(Tabla33610673[[#This Row],[Equity Peak]]-Tabla33610673[[#This Row],[Equity]])/Tabla33610673[[#This Row],[Equity Peak]],"")</f>
        <v>5.9748427672955975E-2</v>
      </c>
      <c r="V426" s="209">
        <f t="shared" si="121"/>
        <v>0</v>
      </c>
      <c r="W426" s="209">
        <f t="shared" si="122"/>
        <v>0</v>
      </c>
      <c r="X426" s="209">
        <f t="shared" si="123"/>
        <v>0</v>
      </c>
      <c r="Y426" s="209">
        <f t="shared" si="124"/>
        <v>0</v>
      </c>
      <c r="Z426" s="209">
        <f t="shared" si="125"/>
        <v>0</v>
      </c>
      <c r="AA426" s="205">
        <f t="shared" si="126"/>
        <v>0</v>
      </c>
      <c r="AB426" s="209">
        <f t="shared" si="127"/>
        <v>-0.2</v>
      </c>
      <c r="AC426" s="205">
        <f t="shared" si="128"/>
        <v>0</v>
      </c>
      <c r="AD426" s="210">
        <f t="shared" si="129"/>
        <v>3.9826388888905058</v>
      </c>
      <c r="AE426" s="210">
        <f t="shared" si="130"/>
        <v>0</v>
      </c>
      <c r="AF426" s="210">
        <f t="shared" si="131"/>
        <v>3.9826388888905058</v>
      </c>
      <c r="AG426" s="210">
        <f t="shared" si="132"/>
        <v>0</v>
      </c>
    </row>
    <row r="427" spans="2:33" ht="15" customHeight="1" x14ac:dyDescent="0.3">
      <c r="B427" s="196" t="s">
        <v>7</v>
      </c>
      <c r="C427" s="197" t="s">
        <v>13</v>
      </c>
      <c r="D427" s="198" t="str">
        <f t="shared" si="114"/>
        <v>C</v>
      </c>
      <c r="E427" s="199">
        <v>44279.017361111109</v>
      </c>
      <c r="F427" s="200" t="s">
        <v>119</v>
      </c>
      <c r="G427" s="201">
        <v>128.726</v>
      </c>
      <c r="H427" s="201">
        <v>129.553</v>
      </c>
      <c r="I427" s="202">
        <f t="shared" si="115"/>
        <v>0.82699999999999818</v>
      </c>
      <c r="J427" s="201">
        <v>125.42</v>
      </c>
      <c r="K427" s="199">
        <v>44281.552083333336</v>
      </c>
      <c r="L427" s="201">
        <v>129.16</v>
      </c>
      <c r="M427" s="203">
        <f t="shared" si="116"/>
        <v>-0.434</v>
      </c>
      <c r="N427" s="204">
        <f t="shared" si="117"/>
        <v>-0.52</v>
      </c>
      <c r="O427" s="205">
        <f t="shared" si="118"/>
        <v>0</v>
      </c>
      <c r="P427" s="206">
        <f t="shared" si="119"/>
        <v>0</v>
      </c>
      <c r="Q427" s="206">
        <f t="shared" si="120"/>
        <v>-0.52</v>
      </c>
      <c r="R4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167640</v>
      </c>
      <c r="T4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7" s="208">
        <f ca="1">IF(Tabla33610673[[#This Row],[Equity]]&lt;Tabla33610673[[#This Row],[Equity Peak]],(Tabla33610673[[#This Row],[Equity Peak]]-Tabla33610673[[#This Row],[Equity]])/Tabla33610673[[#This Row],[Equity Peak]],"")</f>
        <v>5.8625336927223722E-2</v>
      </c>
      <c r="V427" s="209">
        <f t="shared" si="121"/>
        <v>-0.52</v>
      </c>
      <c r="W427" s="209">
        <f t="shared" si="122"/>
        <v>0</v>
      </c>
      <c r="X427" s="209">
        <f t="shared" si="123"/>
        <v>0</v>
      </c>
      <c r="Y427" s="209">
        <f t="shared" si="124"/>
        <v>0</v>
      </c>
      <c r="Z427" s="209">
        <f t="shared" si="125"/>
        <v>0</v>
      </c>
      <c r="AA427" s="205">
        <f t="shared" si="126"/>
        <v>0</v>
      </c>
      <c r="AB427" s="209">
        <f t="shared" si="127"/>
        <v>0</v>
      </c>
      <c r="AC427" s="205">
        <f t="shared" si="128"/>
        <v>0</v>
      </c>
      <c r="AD427" s="210">
        <f t="shared" si="129"/>
        <v>2.5347222222262644</v>
      </c>
      <c r="AE427" s="210">
        <f t="shared" si="130"/>
        <v>0</v>
      </c>
      <c r="AF427" s="210">
        <f t="shared" si="131"/>
        <v>2.5347222222262644</v>
      </c>
      <c r="AG427" s="210">
        <f t="shared" si="132"/>
        <v>0</v>
      </c>
    </row>
    <row r="428" spans="2:33" ht="15" customHeight="1" x14ac:dyDescent="0.3">
      <c r="B428" s="196" t="s">
        <v>7</v>
      </c>
      <c r="C428" s="197" t="s">
        <v>13</v>
      </c>
      <c r="D428" s="198" t="str">
        <f t="shared" si="114"/>
        <v>C</v>
      </c>
      <c r="E428" s="199">
        <v>44278.833333333336</v>
      </c>
      <c r="F428" s="200" t="s">
        <v>123</v>
      </c>
      <c r="G428" s="201">
        <v>83.296999999999997</v>
      </c>
      <c r="H428" s="201">
        <v>83.77</v>
      </c>
      <c r="I428" s="202">
        <f t="shared" si="115"/>
        <v>0.47299999999999898</v>
      </c>
      <c r="J428" s="201">
        <v>75.102999999999994</v>
      </c>
      <c r="K428" s="199">
        <v>44281.45416666667</v>
      </c>
      <c r="L428" s="201">
        <v>83.35</v>
      </c>
      <c r="M428" s="203">
        <f t="shared" si="116"/>
        <v>-5.2999999999999999E-2</v>
      </c>
      <c r="N428" s="204">
        <f t="shared" si="117"/>
        <v>-0.11</v>
      </c>
      <c r="O428" s="205">
        <f t="shared" si="118"/>
        <v>0</v>
      </c>
      <c r="P428" s="206">
        <f t="shared" si="119"/>
        <v>0</v>
      </c>
      <c r="Q428" s="206">
        <f t="shared" si="120"/>
        <v>-0.11</v>
      </c>
      <c r="R4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168160</v>
      </c>
      <c r="T4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8" s="208">
        <f ca="1">IF(Tabla33610673[[#This Row],[Equity]]&lt;Tabla33610673[[#This Row],[Equity Peak]],(Tabla33610673[[#This Row],[Equity Peak]]-Tabla33610673[[#This Row],[Equity]])/Tabla33610673[[#This Row],[Equity Peak]],"")</f>
        <v>5.5705300988319856E-2</v>
      </c>
      <c r="V428" s="209">
        <f t="shared" si="121"/>
        <v>-0.11</v>
      </c>
      <c r="W428" s="209">
        <f t="shared" si="122"/>
        <v>0</v>
      </c>
      <c r="X428" s="209">
        <f t="shared" si="123"/>
        <v>0</v>
      </c>
      <c r="Y428" s="209">
        <f t="shared" si="124"/>
        <v>0</v>
      </c>
      <c r="Z428" s="209">
        <f t="shared" si="125"/>
        <v>0</v>
      </c>
      <c r="AA428" s="205">
        <f t="shared" si="126"/>
        <v>0</v>
      </c>
      <c r="AB428" s="209">
        <f t="shared" si="127"/>
        <v>0</v>
      </c>
      <c r="AC428" s="205">
        <f t="shared" si="128"/>
        <v>0</v>
      </c>
      <c r="AD428" s="210">
        <f t="shared" si="129"/>
        <v>2.6208333333343035</v>
      </c>
      <c r="AE428" s="210">
        <f t="shared" si="130"/>
        <v>0</v>
      </c>
      <c r="AF428" s="210">
        <f t="shared" si="131"/>
        <v>2.6208333333343035</v>
      </c>
      <c r="AG428" s="210">
        <f t="shared" si="132"/>
        <v>0</v>
      </c>
    </row>
    <row r="429" spans="2:33" ht="15" customHeight="1" x14ac:dyDescent="0.3">
      <c r="B429" s="196" t="s">
        <v>7</v>
      </c>
      <c r="C429" s="197" t="s">
        <v>13</v>
      </c>
      <c r="D429" s="198" t="str">
        <f t="shared" si="114"/>
        <v>C</v>
      </c>
      <c r="E429" s="199">
        <v>44280.166666666664</v>
      </c>
      <c r="F429" s="200" t="s">
        <v>116</v>
      </c>
      <c r="G429" s="201">
        <v>149.12899999999999</v>
      </c>
      <c r="H429" s="201">
        <v>150.50800000000001</v>
      </c>
      <c r="I429" s="202">
        <f t="shared" si="115"/>
        <v>1.3790000000000191</v>
      </c>
      <c r="J429" s="201">
        <v>141.40899999999999</v>
      </c>
      <c r="K429" s="199">
        <v>44281.333333333336</v>
      </c>
      <c r="L429" s="201">
        <v>150.36099999999999</v>
      </c>
      <c r="M429" s="203">
        <f t="shared" si="116"/>
        <v>-1.232</v>
      </c>
      <c r="N429" s="204">
        <f t="shared" si="117"/>
        <v>-0.89</v>
      </c>
      <c r="O429" s="205">
        <f t="shared" si="118"/>
        <v>0</v>
      </c>
      <c r="P429" s="206">
        <f t="shared" si="119"/>
        <v>0</v>
      </c>
      <c r="Q429" s="206">
        <f t="shared" si="120"/>
        <v>-0.89</v>
      </c>
      <c r="R4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168270</v>
      </c>
      <c r="T4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29" s="208">
        <f ca="1">IF(Tabla33610673[[#This Row],[Equity]]&lt;Tabla33610673[[#This Row],[Equity Peak]],(Tabla33610673[[#This Row],[Equity Peak]]-Tabla33610673[[#This Row],[Equity]])/Tabla33610673[[#This Row],[Equity Peak]],"")</f>
        <v>5.5087601078167119E-2</v>
      </c>
      <c r="V429" s="209">
        <f t="shared" si="121"/>
        <v>-0.89</v>
      </c>
      <c r="W429" s="209">
        <f t="shared" si="122"/>
        <v>0</v>
      </c>
      <c r="X429" s="209">
        <f t="shared" si="123"/>
        <v>0</v>
      </c>
      <c r="Y429" s="209">
        <f t="shared" si="124"/>
        <v>0</v>
      </c>
      <c r="Z429" s="209">
        <f t="shared" si="125"/>
        <v>0</v>
      </c>
      <c r="AA429" s="205">
        <f t="shared" si="126"/>
        <v>0</v>
      </c>
      <c r="AB429" s="209">
        <f t="shared" si="127"/>
        <v>0</v>
      </c>
      <c r="AC429" s="205">
        <f t="shared" si="128"/>
        <v>0</v>
      </c>
      <c r="AD429" s="210">
        <f t="shared" si="129"/>
        <v>1.1666666666715173</v>
      </c>
      <c r="AE429" s="210">
        <f t="shared" si="130"/>
        <v>0</v>
      </c>
      <c r="AF429" s="210">
        <f t="shared" si="131"/>
        <v>1.1666666666715173</v>
      </c>
      <c r="AG429" s="210">
        <f t="shared" si="132"/>
        <v>0</v>
      </c>
    </row>
    <row r="430" spans="2:33" ht="15" customHeight="1" x14ac:dyDescent="0.3">
      <c r="B430" s="196" t="s">
        <v>5</v>
      </c>
      <c r="C430" s="197" t="s">
        <v>13</v>
      </c>
      <c r="D430" s="198" t="str">
        <f t="shared" si="114"/>
        <v>C</v>
      </c>
      <c r="E430" s="199">
        <v>44277.333333333336</v>
      </c>
      <c r="F430" s="200" t="s">
        <v>94</v>
      </c>
      <c r="G430" s="201">
        <v>6710.63</v>
      </c>
      <c r="H430" s="201">
        <v>6795.09</v>
      </c>
      <c r="I430" s="202">
        <f t="shared" si="115"/>
        <v>84.460000000000036</v>
      </c>
      <c r="J430" s="201">
        <v>6288.33</v>
      </c>
      <c r="K430" s="199">
        <v>44280.491666666669</v>
      </c>
      <c r="L430" s="201">
        <v>6734.43</v>
      </c>
      <c r="M430" s="203">
        <f t="shared" si="116"/>
        <v>-23.8</v>
      </c>
      <c r="N430" s="204">
        <f t="shared" si="117"/>
        <v>-0.28000000000000003</v>
      </c>
      <c r="O430" s="205">
        <f t="shared" si="118"/>
        <v>0</v>
      </c>
      <c r="P430" s="206">
        <f t="shared" si="119"/>
        <v>0</v>
      </c>
      <c r="Q430" s="206">
        <f t="shared" si="120"/>
        <v>-0.28000000000000003</v>
      </c>
      <c r="R4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169160</v>
      </c>
      <c r="T4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0" s="208">
        <f ca="1">IF(Tabla33610673[[#This Row],[Equity]]&lt;Tabla33610673[[#This Row],[Equity Peak]],(Tabla33610673[[#This Row],[Equity Peak]]-Tabla33610673[[#This Row],[Equity]])/Tabla33610673[[#This Row],[Equity Peak]],"")</f>
        <v>5.0089847259658579E-2</v>
      </c>
      <c r="V430" s="209">
        <f t="shared" si="121"/>
        <v>0</v>
      </c>
      <c r="W430" s="209">
        <f t="shared" si="122"/>
        <v>0</v>
      </c>
      <c r="X430" s="209">
        <f t="shared" si="123"/>
        <v>0</v>
      </c>
      <c r="Y430" s="209">
        <f t="shared" si="124"/>
        <v>0</v>
      </c>
      <c r="Z430" s="209">
        <f t="shared" si="125"/>
        <v>-0.28000000000000003</v>
      </c>
      <c r="AA430" s="205">
        <f t="shared" si="126"/>
        <v>0</v>
      </c>
      <c r="AB430" s="209">
        <f t="shared" si="127"/>
        <v>0</v>
      </c>
      <c r="AC430" s="205">
        <f t="shared" si="128"/>
        <v>0</v>
      </c>
      <c r="AD430" s="210">
        <f t="shared" si="129"/>
        <v>3.1583333333328483</v>
      </c>
      <c r="AE430" s="210">
        <f t="shared" si="130"/>
        <v>0</v>
      </c>
      <c r="AF430" s="210">
        <f t="shared" si="131"/>
        <v>3.1583333333328483</v>
      </c>
      <c r="AG430" s="210">
        <f t="shared" si="132"/>
        <v>0</v>
      </c>
    </row>
    <row r="431" spans="2:33" ht="15" customHeight="1" x14ac:dyDescent="0.3">
      <c r="B431" s="196" t="s">
        <v>5</v>
      </c>
      <c r="C431" s="197" t="s">
        <v>15</v>
      </c>
      <c r="D431" s="198" t="str">
        <f t="shared" si="114"/>
        <v>C</v>
      </c>
      <c r="E431" s="199">
        <v>44277.875</v>
      </c>
      <c r="F431" s="200" t="s">
        <v>92</v>
      </c>
      <c r="G431" s="201">
        <v>13159.51</v>
      </c>
      <c r="H431" s="201">
        <v>12850.1</v>
      </c>
      <c r="I431" s="202">
        <f t="shared" si="115"/>
        <v>309.40999999999985</v>
      </c>
      <c r="J431" s="201">
        <v>15222.24</v>
      </c>
      <c r="K431" s="199">
        <v>44279.943749999999</v>
      </c>
      <c r="L431" s="201">
        <v>12850.1</v>
      </c>
      <c r="M431" s="203">
        <f t="shared" si="116"/>
        <v>-309.41000000000003</v>
      </c>
      <c r="N431" s="204">
        <f t="shared" si="117"/>
        <v>-1</v>
      </c>
      <c r="O431" s="205">
        <f t="shared" si="118"/>
        <v>0</v>
      </c>
      <c r="P431" s="206">
        <f t="shared" si="119"/>
        <v>0</v>
      </c>
      <c r="Q431" s="206">
        <f t="shared" si="120"/>
        <v>-1</v>
      </c>
      <c r="R4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169440</v>
      </c>
      <c r="T4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1" s="208">
        <f ca="1">IF(Tabla33610673[[#This Row],[Equity]]&lt;Tabla33610673[[#This Row],[Equity Peak]],(Tabla33610673[[#This Row],[Equity Peak]]-Tabla33610673[[#This Row],[Equity]])/Tabla33610673[[#This Row],[Equity Peak]],"")</f>
        <v>4.8517520215633422E-2</v>
      </c>
      <c r="V431" s="209">
        <f t="shared" si="121"/>
        <v>0</v>
      </c>
      <c r="W431" s="209">
        <f t="shared" si="122"/>
        <v>0</v>
      </c>
      <c r="X431" s="209">
        <f t="shared" si="123"/>
        <v>0</v>
      </c>
      <c r="Y431" s="209">
        <f t="shared" si="124"/>
        <v>0</v>
      </c>
      <c r="Z431" s="209">
        <f t="shared" si="125"/>
        <v>-1</v>
      </c>
      <c r="AA431" s="205">
        <f t="shared" si="126"/>
        <v>0</v>
      </c>
      <c r="AB431" s="209">
        <f t="shared" si="127"/>
        <v>0</v>
      </c>
      <c r="AC431" s="205">
        <f t="shared" si="128"/>
        <v>0</v>
      </c>
      <c r="AD431" s="210">
        <f t="shared" si="129"/>
        <v>2.0687499999985448</v>
      </c>
      <c r="AE431" s="210">
        <f t="shared" si="130"/>
        <v>0</v>
      </c>
      <c r="AF431" s="210">
        <f t="shared" si="131"/>
        <v>2.0687499999985448</v>
      </c>
      <c r="AG431" s="210">
        <f t="shared" si="132"/>
        <v>0</v>
      </c>
    </row>
    <row r="432" spans="2:33" ht="15" customHeight="1" x14ac:dyDescent="0.3">
      <c r="B432" s="196" t="s">
        <v>84</v>
      </c>
      <c r="C432" s="197" t="s">
        <v>15</v>
      </c>
      <c r="D432" s="198" t="str">
        <f t="shared" si="114"/>
        <v>C</v>
      </c>
      <c r="E432" s="199">
        <v>44279.666666666664</v>
      </c>
      <c r="F432" s="200" t="s">
        <v>80</v>
      </c>
      <c r="G432" s="201">
        <v>56913.919999999998</v>
      </c>
      <c r="H432" s="201">
        <v>54011.78</v>
      </c>
      <c r="I432" s="202">
        <f t="shared" si="115"/>
        <v>2902.1399999999994</v>
      </c>
      <c r="J432" s="201">
        <v>100446.06</v>
      </c>
      <c r="K432" s="199">
        <v>44279.911805555559</v>
      </c>
      <c r="L432" s="201">
        <v>54712.31</v>
      </c>
      <c r="M432" s="203">
        <f t="shared" si="116"/>
        <v>-2201.61</v>
      </c>
      <c r="N432" s="204">
        <f t="shared" si="117"/>
        <v>-0.76</v>
      </c>
      <c r="O432" s="205">
        <f t="shared" si="118"/>
        <v>0</v>
      </c>
      <c r="P432" s="206">
        <f t="shared" si="119"/>
        <v>0</v>
      </c>
      <c r="Q432" s="206">
        <f t="shared" si="120"/>
        <v>-0.76</v>
      </c>
      <c r="R4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170440</v>
      </c>
      <c r="T4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2" s="208">
        <f ca="1">IF(Tabla33610673[[#This Row],[Equity]]&lt;Tabla33610673[[#This Row],[Equity Peak]],(Tabla33610673[[#This Row],[Equity Peak]]-Tabla33610673[[#This Row],[Equity]])/Tabla33610673[[#This Row],[Equity Peak]],"")</f>
        <v>4.2902066486972146E-2</v>
      </c>
      <c r="V432" s="209">
        <f t="shared" si="121"/>
        <v>0</v>
      </c>
      <c r="W432" s="209">
        <f t="shared" si="122"/>
        <v>0</v>
      </c>
      <c r="X432" s="209">
        <f t="shared" si="123"/>
        <v>0</v>
      </c>
      <c r="Y432" s="209">
        <f t="shared" si="124"/>
        <v>0</v>
      </c>
      <c r="Z432" s="209">
        <f t="shared" si="125"/>
        <v>0</v>
      </c>
      <c r="AA432" s="205">
        <f t="shared" si="126"/>
        <v>0</v>
      </c>
      <c r="AB432" s="209">
        <f t="shared" si="127"/>
        <v>-0.76</v>
      </c>
      <c r="AC432" s="205">
        <f t="shared" si="128"/>
        <v>0</v>
      </c>
      <c r="AD432" s="210">
        <f t="shared" si="129"/>
        <v>0.24513888889487134</v>
      </c>
      <c r="AE432" s="210">
        <f t="shared" si="130"/>
        <v>0</v>
      </c>
      <c r="AF432" s="210">
        <f t="shared" si="131"/>
        <v>0.24513888889487134</v>
      </c>
      <c r="AG432" s="210">
        <f t="shared" si="132"/>
        <v>0</v>
      </c>
    </row>
    <row r="433" spans="2:33" ht="15" customHeight="1" x14ac:dyDescent="0.3">
      <c r="B433" s="196" t="s">
        <v>84</v>
      </c>
      <c r="C433" s="197" t="s">
        <v>13</v>
      </c>
      <c r="D433" s="198" t="str">
        <f t="shared" si="114"/>
        <v>C</v>
      </c>
      <c r="E433" s="199">
        <v>44278.166666666664</v>
      </c>
      <c r="F433" s="200" t="s">
        <v>82</v>
      </c>
      <c r="G433" s="201">
        <v>1689.69</v>
      </c>
      <c r="H433" s="201">
        <v>1754.77</v>
      </c>
      <c r="I433" s="202">
        <f t="shared" si="115"/>
        <v>65.079999999999927</v>
      </c>
      <c r="J433" s="201">
        <v>474.79</v>
      </c>
      <c r="K433" s="199">
        <v>44279.440972222219</v>
      </c>
      <c r="L433" s="201">
        <v>1711.75</v>
      </c>
      <c r="M433" s="203">
        <f t="shared" si="116"/>
        <v>-22.06</v>
      </c>
      <c r="N433" s="204">
        <f t="shared" si="117"/>
        <v>-0.34</v>
      </c>
      <c r="O433" s="205">
        <f t="shared" si="118"/>
        <v>0</v>
      </c>
      <c r="P433" s="206">
        <f t="shared" si="119"/>
        <v>0</v>
      </c>
      <c r="Q433" s="206">
        <f t="shared" si="120"/>
        <v>-0.34</v>
      </c>
      <c r="R4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171200</v>
      </c>
      <c r="T4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3" s="208">
        <f ca="1">IF(Tabla33610673[[#This Row],[Equity]]&lt;Tabla33610673[[#This Row],[Equity Peak]],(Tabla33610673[[#This Row],[Equity Peak]]-Tabla33610673[[#This Row],[Equity]])/Tabla33610673[[#This Row],[Equity Peak]],"")</f>
        <v>3.8634321653189578E-2</v>
      </c>
      <c r="V433" s="209">
        <f t="shared" si="121"/>
        <v>0</v>
      </c>
      <c r="W433" s="209">
        <f t="shared" si="122"/>
        <v>0</v>
      </c>
      <c r="X433" s="209">
        <f t="shared" si="123"/>
        <v>0</v>
      </c>
      <c r="Y433" s="209">
        <f t="shared" si="124"/>
        <v>0</v>
      </c>
      <c r="Z433" s="209">
        <f t="shared" si="125"/>
        <v>0</v>
      </c>
      <c r="AA433" s="205">
        <f t="shared" si="126"/>
        <v>0</v>
      </c>
      <c r="AB433" s="209">
        <f t="shared" si="127"/>
        <v>-0.34</v>
      </c>
      <c r="AC433" s="205">
        <f t="shared" si="128"/>
        <v>0</v>
      </c>
      <c r="AD433" s="210">
        <f t="shared" si="129"/>
        <v>1.2743055555547471</v>
      </c>
      <c r="AE433" s="210">
        <f t="shared" si="130"/>
        <v>0</v>
      </c>
      <c r="AF433" s="210">
        <f t="shared" si="131"/>
        <v>1.2743055555547471</v>
      </c>
      <c r="AG433" s="210">
        <f t="shared" si="132"/>
        <v>0</v>
      </c>
    </row>
    <row r="434" spans="2:33" ht="15" customHeight="1" x14ac:dyDescent="0.3">
      <c r="B434" s="196" t="s">
        <v>84</v>
      </c>
      <c r="C434" s="197" t="s">
        <v>13</v>
      </c>
      <c r="D434" s="198" t="str">
        <f t="shared" si="114"/>
        <v>C</v>
      </c>
      <c r="E434" s="199">
        <v>44278.333333333336</v>
      </c>
      <c r="F434" s="200" t="s">
        <v>80</v>
      </c>
      <c r="G434" s="201">
        <v>54423.92</v>
      </c>
      <c r="H434" s="201">
        <v>57403.06</v>
      </c>
      <c r="I434" s="202">
        <f t="shared" si="115"/>
        <v>2979.1399999999994</v>
      </c>
      <c r="J434" s="201">
        <v>9736.7800000000007</v>
      </c>
      <c r="K434" s="199">
        <v>44279.436805555553</v>
      </c>
      <c r="L434" s="201">
        <v>55865.21</v>
      </c>
      <c r="M434" s="203">
        <f t="shared" si="116"/>
        <v>-1441.29</v>
      </c>
      <c r="N434" s="204">
        <f t="shared" si="117"/>
        <v>-0.48</v>
      </c>
      <c r="O434" s="205">
        <f t="shared" si="118"/>
        <v>0</v>
      </c>
      <c r="P434" s="206">
        <f t="shared" si="119"/>
        <v>0</v>
      </c>
      <c r="Q434" s="206">
        <f t="shared" si="120"/>
        <v>-0.48</v>
      </c>
      <c r="R4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171540</v>
      </c>
      <c r="T4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4" s="208">
        <f ca="1">IF(Tabla33610673[[#This Row],[Equity]]&lt;Tabla33610673[[#This Row],[Equity Peak]],(Tabla33610673[[#This Row],[Equity Peak]]-Tabla33610673[[#This Row],[Equity]])/Tabla33610673[[#This Row],[Equity Peak]],"")</f>
        <v>3.6725067385444746E-2</v>
      </c>
      <c r="V434" s="209">
        <f t="shared" si="121"/>
        <v>0</v>
      </c>
      <c r="W434" s="209">
        <f t="shared" si="122"/>
        <v>0</v>
      </c>
      <c r="X434" s="209">
        <f t="shared" si="123"/>
        <v>0</v>
      </c>
      <c r="Y434" s="209">
        <f t="shared" si="124"/>
        <v>0</v>
      </c>
      <c r="Z434" s="209">
        <f t="shared" si="125"/>
        <v>0</v>
      </c>
      <c r="AA434" s="205">
        <f t="shared" si="126"/>
        <v>0</v>
      </c>
      <c r="AB434" s="209">
        <f t="shared" si="127"/>
        <v>-0.48</v>
      </c>
      <c r="AC434" s="205">
        <f t="shared" si="128"/>
        <v>0</v>
      </c>
      <c r="AD434" s="210">
        <f t="shared" si="129"/>
        <v>1.1034722222175333</v>
      </c>
      <c r="AE434" s="210">
        <f t="shared" si="130"/>
        <v>0</v>
      </c>
      <c r="AF434" s="210">
        <f t="shared" si="131"/>
        <v>1.1034722222175333</v>
      </c>
      <c r="AG434" s="210">
        <f t="shared" si="132"/>
        <v>0</v>
      </c>
    </row>
    <row r="435" spans="2:33" ht="15" customHeight="1" x14ac:dyDescent="0.3">
      <c r="B435" s="196" t="s">
        <v>5</v>
      </c>
      <c r="C435" s="197" t="s">
        <v>13</v>
      </c>
      <c r="D435" s="198" t="str">
        <f t="shared" si="114"/>
        <v>C</v>
      </c>
      <c r="E435" s="199">
        <v>44273.381944444445</v>
      </c>
      <c r="F435" s="200" t="s">
        <v>90</v>
      </c>
      <c r="G435" s="201">
        <v>6731.56</v>
      </c>
      <c r="H435" s="201">
        <v>6782.02</v>
      </c>
      <c r="I435" s="202">
        <f t="shared" si="115"/>
        <v>50.460000000000036</v>
      </c>
      <c r="J435" s="201">
        <v>6058.7</v>
      </c>
      <c r="K435" s="199">
        <v>44277.216666666667</v>
      </c>
      <c r="L435" s="201">
        <v>6750.26</v>
      </c>
      <c r="M435" s="203">
        <f t="shared" si="116"/>
        <v>-18.7</v>
      </c>
      <c r="N435" s="204">
        <f t="shared" si="117"/>
        <v>-0.37</v>
      </c>
      <c r="O435" s="205">
        <f t="shared" si="118"/>
        <v>0</v>
      </c>
      <c r="P435" s="206">
        <f t="shared" si="119"/>
        <v>0</v>
      </c>
      <c r="Q435" s="206">
        <f t="shared" si="120"/>
        <v>-0.37</v>
      </c>
      <c r="R4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172020</v>
      </c>
      <c r="T4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5" s="208">
        <f ca="1">IF(Tabla33610673[[#This Row],[Equity]]&lt;Tabla33610673[[#This Row],[Equity Peak]],(Tabla33610673[[#This Row],[Equity Peak]]-Tabla33610673[[#This Row],[Equity]])/Tabla33610673[[#This Row],[Equity Peak]],"")</f>
        <v>3.4029649595687335E-2</v>
      </c>
      <c r="V435" s="209">
        <f t="shared" si="121"/>
        <v>0</v>
      </c>
      <c r="W435" s="209">
        <f t="shared" si="122"/>
        <v>0</v>
      </c>
      <c r="X435" s="209">
        <f t="shared" si="123"/>
        <v>0</v>
      </c>
      <c r="Y435" s="209">
        <f t="shared" si="124"/>
        <v>0</v>
      </c>
      <c r="Z435" s="209">
        <f t="shared" si="125"/>
        <v>-0.37</v>
      </c>
      <c r="AA435" s="205">
        <f t="shared" si="126"/>
        <v>0</v>
      </c>
      <c r="AB435" s="209">
        <f t="shared" si="127"/>
        <v>0</v>
      </c>
      <c r="AC435" s="205">
        <f t="shared" si="128"/>
        <v>0</v>
      </c>
      <c r="AD435" s="210">
        <f t="shared" si="129"/>
        <v>3.8347222222218988</v>
      </c>
      <c r="AE435" s="210">
        <f t="shared" si="130"/>
        <v>0</v>
      </c>
      <c r="AF435" s="210">
        <f t="shared" si="131"/>
        <v>3.8347222222218988</v>
      </c>
      <c r="AG435" s="210">
        <f t="shared" si="132"/>
        <v>0</v>
      </c>
    </row>
    <row r="436" spans="2:33" ht="15" customHeight="1" x14ac:dyDescent="0.3">
      <c r="B436" s="196" t="s">
        <v>7</v>
      </c>
      <c r="C436" s="197" t="s">
        <v>15</v>
      </c>
      <c r="D436" s="198" t="str">
        <f t="shared" si="114"/>
        <v>C</v>
      </c>
      <c r="E436" s="199">
        <v>44273.333333333336</v>
      </c>
      <c r="F436" s="200" t="s">
        <v>115</v>
      </c>
      <c r="G436" s="201">
        <v>1.3951899999999999</v>
      </c>
      <c r="H436" s="201">
        <v>1.3843300000000001</v>
      </c>
      <c r="I436" s="202">
        <f t="shared" si="115"/>
        <v>1.085999999999987E-2</v>
      </c>
      <c r="J436" s="201">
        <v>1.43862</v>
      </c>
      <c r="K436" s="199">
        <v>44274.693749999999</v>
      </c>
      <c r="L436" s="201">
        <v>1.3843300000000001</v>
      </c>
      <c r="M436" s="203">
        <f t="shared" si="116"/>
        <v>-1.09E-2</v>
      </c>
      <c r="N436" s="204">
        <f t="shared" si="117"/>
        <v>-1</v>
      </c>
      <c r="O436" s="205">
        <f t="shared" si="118"/>
        <v>0</v>
      </c>
      <c r="P436" s="206">
        <f t="shared" si="119"/>
        <v>0</v>
      </c>
      <c r="Q436" s="206">
        <f t="shared" si="120"/>
        <v>-1</v>
      </c>
      <c r="R4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172390</v>
      </c>
      <c r="T4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6" s="208">
        <f ca="1">IF(Tabla33610673[[#This Row],[Equity]]&lt;Tabla33610673[[#This Row],[Equity Peak]],(Tabla33610673[[#This Row],[Equity Peak]]-Tabla33610673[[#This Row],[Equity]])/Tabla33610673[[#This Row],[Equity Peak]],"")</f>
        <v>3.1951931716082661E-2</v>
      </c>
      <c r="V436" s="209">
        <f t="shared" si="121"/>
        <v>-1</v>
      </c>
      <c r="W436" s="209">
        <f t="shared" si="122"/>
        <v>0</v>
      </c>
      <c r="X436" s="209">
        <f t="shared" si="123"/>
        <v>0</v>
      </c>
      <c r="Y436" s="209">
        <f t="shared" si="124"/>
        <v>0</v>
      </c>
      <c r="Z436" s="209">
        <f t="shared" si="125"/>
        <v>0</v>
      </c>
      <c r="AA436" s="205">
        <f t="shared" si="126"/>
        <v>0</v>
      </c>
      <c r="AB436" s="209">
        <f t="shared" si="127"/>
        <v>0</v>
      </c>
      <c r="AC436" s="205">
        <f t="shared" si="128"/>
        <v>0</v>
      </c>
      <c r="AD436" s="210">
        <f t="shared" si="129"/>
        <v>1.3604166666627862</v>
      </c>
      <c r="AE436" s="210">
        <f t="shared" si="130"/>
        <v>0</v>
      </c>
      <c r="AF436" s="210">
        <f t="shared" si="131"/>
        <v>1.3604166666627862</v>
      </c>
      <c r="AG436" s="210">
        <f t="shared" si="132"/>
        <v>0</v>
      </c>
    </row>
    <row r="437" spans="2:33" ht="15" customHeight="1" x14ac:dyDescent="0.3">
      <c r="B437" s="196" t="s">
        <v>5</v>
      </c>
      <c r="C437" s="197" t="s">
        <v>15</v>
      </c>
      <c r="D437" s="198" t="str">
        <f t="shared" si="114"/>
        <v>C</v>
      </c>
      <c r="E437" s="199">
        <v>44266.041666666664</v>
      </c>
      <c r="F437" s="200" t="s">
        <v>93</v>
      </c>
      <c r="G437" s="201">
        <v>3909.1</v>
      </c>
      <c r="H437" s="201">
        <v>3866.97</v>
      </c>
      <c r="I437" s="202">
        <f t="shared" si="115"/>
        <v>42.130000000000109</v>
      </c>
      <c r="J437" s="201">
        <v>4021.46</v>
      </c>
      <c r="K437" s="199">
        <v>44274.691666666666</v>
      </c>
      <c r="L437" s="201">
        <v>3907.25</v>
      </c>
      <c r="M437" s="203">
        <f t="shared" si="116"/>
        <v>-1.85</v>
      </c>
      <c r="N437" s="204">
        <f t="shared" si="117"/>
        <v>-0.04</v>
      </c>
      <c r="O437" s="205">
        <f t="shared" si="118"/>
        <v>0</v>
      </c>
      <c r="P437" s="206">
        <f t="shared" si="119"/>
        <v>0</v>
      </c>
      <c r="Q437" s="206">
        <f t="shared" si="120"/>
        <v>-0.04</v>
      </c>
      <c r="R4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173390</v>
      </c>
      <c r="T4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7" s="208">
        <f ca="1">IF(Tabla33610673[[#This Row],[Equity]]&lt;Tabla33610673[[#This Row],[Equity Peak]],(Tabla33610673[[#This Row],[Equity Peak]]-Tabla33610673[[#This Row],[Equity]])/Tabla33610673[[#This Row],[Equity Peak]],"")</f>
        <v>2.6336477987421385E-2</v>
      </c>
      <c r="V437" s="209">
        <f t="shared" si="121"/>
        <v>0</v>
      </c>
      <c r="W437" s="209">
        <f t="shared" si="122"/>
        <v>0</v>
      </c>
      <c r="X437" s="209">
        <f t="shared" si="123"/>
        <v>0</v>
      </c>
      <c r="Y437" s="209">
        <f t="shared" si="124"/>
        <v>0</v>
      </c>
      <c r="Z437" s="209">
        <f t="shared" si="125"/>
        <v>-0.04</v>
      </c>
      <c r="AA437" s="205">
        <f t="shared" si="126"/>
        <v>0</v>
      </c>
      <c r="AB437" s="209">
        <f t="shared" si="127"/>
        <v>0</v>
      </c>
      <c r="AC437" s="205">
        <f t="shared" si="128"/>
        <v>0</v>
      </c>
      <c r="AD437" s="210">
        <f t="shared" si="129"/>
        <v>8.6500000000014552</v>
      </c>
      <c r="AE437" s="210">
        <f t="shared" si="130"/>
        <v>0</v>
      </c>
      <c r="AF437" s="210">
        <f t="shared" si="131"/>
        <v>8.6500000000014552</v>
      </c>
      <c r="AG437" s="210">
        <f t="shared" si="132"/>
        <v>0</v>
      </c>
    </row>
    <row r="438" spans="2:33" ht="15" customHeight="1" x14ac:dyDescent="0.3">
      <c r="B438" s="196" t="s">
        <v>19</v>
      </c>
      <c r="C438" s="197" t="s">
        <v>13</v>
      </c>
      <c r="D438" s="198" t="str">
        <f t="shared" si="114"/>
        <v>C</v>
      </c>
      <c r="E438" s="199">
        <v>44273.958333333336</v>
      </c>
      <c r="F438" s="200" t="s">
        <v>108</v>
      </c>
      <c r="G438" s="201">
        <v>59.417000000000002</v>
      </c>
      <c r="H438" s="201">
        <v>61.119</v>
      </c>
      <c r="I438" s="202">
        <f t="shared" si="115"/>
        <v>1.7019999999999982</v>
      </c>
      <c r="J438" s="201">
        <v>38.99</v>
      </c>
      <c r="K438" s="199">
        <v>44274.200694444444</v>
      </c>
      <c r="L438" s="201">
        <v>60.448</v>
      </c>
      <c r="M438" s="203">
        <f t="shared" si="116"/>
        <v>-1.0309999999999999</v>
      </c>
      <c r="N438" s="204">
        <f t="shared" si="117"/>
        <v>-0.61</v>
      </c>
      <c r="O438" s="205">
        <f t="shared" si="118"/>
        <v>0</v>
      </c>
      <c r="P438" s="206">
        <f t="shared" si="119"/>
        <v>0</v>
      </c>
      <c r="Q438" s="206">
        <f t="shared" si="120"/>
        <v>-0.61</v>
      </c>
      <c r="R4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173430</v>
      </c>
      <c r="T4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8" s="208">
        <f ca="1">IF(Tabla33610673[[#This Row],[Equity]]&lt;Tabla33610673[[#This Row],[Equity Peak]],(Tabla33610673[[#This Row],[Equity Peak]]-Tabla33610673[[#This Row],[Equity]])/Tabla33610673[[#This Row],[Equity Peak]],"")</f>
        <v>2.6111859838274933E-2</v>
      </c>
      <c r="V438" s="209">
        <f t="shared" si="121"/>
        <v>0</v>
      </c>
      <c r="W438" s="209">
        <f t="shared" si="122"/>
        <v>0</v>
      </c>
      <c r="X438" s="209">
        <f t="shared" si="123"/>
        <v>-0.61</v>
      </c>
      <c r="Y438" s="209">
        <f t="shared" si="124"/>
        <v>0</v>
      </c>
      <c r="Z438" s="209">
        <f t="shared" si="125"/>
        <v>0</v>
      </c>
      <c r="AA438" s="205">
        <f t="shared" si="126"/>
        <v>0</v>
      </c>
      <c r="AB438" s="209">
        <f t="shared" si="127"/>
        <v>0</v>
      </c>
      <c r="AC438" s="205">
        <f t="shared" si="128"/>
        <v>0</v>
      </c>
      <c r="AD438" s="210">
        <f t="shared" si="129"/>
        <v>0.24236111110803904</v>
      </c>
      <c r="AE438" s="210">
        <f t="shared" si="130"/>
        <v>0</v>
      </c>
      <c r="AF438" s="210">
        <f t="shared" si="131"/>
        <v>0.24236111110803904</v>
      </c>
      <c r="AG438" s="210">
        <f t="shared" si="132"/>
        <v>0</v>
      </c>
    </row>
    <row r="439" spans="2:33" ht="15" customHeight="1" x14ac:dyDescent="0.3">
      <c r="B439" s="196" t="s">
        <v>5</v>
      </c>
      <c r="C439" s="197" t="s">
        <v>15</v>
      </c>
      <c r="D439" s="198" t="str">
        <f t="shared" si="114"/>
        <v>C</v>
      </c>
      <c r="E439" s="199">
        <v>44267.208333333336</v>
      </c>
      <c r="F439" s="200" t="s">
        <v>92</v>
      </c>
      <c r="G439" s="201">
        <v>13013.8</v>
      </c>
      <c r="H439" s="201">
        <v>12721.3</v>
      </c>
      <c r="I439" s="202">
        <f t="shared" si="115"/>
        <v>292.5</v>
      </c>
      <c r="J439" s="201">
        <v>14963.83</v>
      </c>
      <c r="K439" s="199">
        <v>44273.95208333333</v>
      </c>
      <c r="L439" s="201">
        <v>12809.39</v>
      </c>
      <c r="M439" s="203">
        <f t="shared" si="116"/>
        <v>-204.41</v>
      </c>
      <c r="N439" s="204">
        <f t="shared" si="117"/>
        <v>-0.7</v>
      </c>
      <c r="O439" s="205">
        <f t="shared" si="118"/>
        <v>0</v>
      </c>
      <c r="P439" s="206">
        <f t="shared" si="119"/>
        <v>0</v>
      </c>
      <c r="Q439" s="206">
        <f t="shared" si="120"/>
        <v>-0.7</v>
      </c>
      <c r="R4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174040</v>
      </c>
      <c r="T4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39" s="208">
        <f ca="1">IF(Tabla33610673[[#This Row],[Equity]]&lt;Tabla33610673[[#This Row],[Equity Peak]],(Tabla33610673[[#This Row],[Equity Peak]]-Tabla33610673[[#This Row],[Equity]])/Tabla33610673[[#This Row],[Equity Peak]],"")</f>
        <v>2.2686433063791554E-2</v>
      </c>
      <c r="V439" s="209">
        <f t="shared" si="121"/>
        <v>0</v>
      </c>
      <c r="W439" s="209">
        <f t="shared" si="122"/>
        <v>0</v>
      </c>
      <c r="X439" s="209">
        <f t="shared" si="123"/>
        <v>0</v>
      </c>
      <c r="Y439" s="209">
        <f t="shared" si="124"/>
        <v>0</v>
      </c>
      <c r="Z439" s="209">
        <f t="shared" si="125"/>
        <v>-0.7</v>
      </c>
      <c r="AA439" s="205">
        <f t="shared" si="126"/>
        <v>0</v>
      </c>
      <c r="AB439" s="209">
        <f t="shared" si="127"/>
        <v>0</v>
      </c>
      <c r="AC439" s="205">
        <f t="shared" si="128"/>
        <v>0</v>
      </c>
      <c r="AD439" s="210">
        <f t="shared" si="129"/>
        <v>6.7437499999941792</v>
      </c>
      <c r="AE439" s="210">
        <f t="shared" si="130"/>
        <v>0</v>
      </c>
      <c r="AF439" s="210">
        <f t="shared" si="131"/>
        <v>6.7437499999941792</v>
      </c>
      <c r="AG439" s="210">
        <f t="shared" si="132"/>
        <v>0</v>
      </c>
    </row>
    <row r="440" spans="2:33" ht="15" customHeight="1" x14ac:dyDescent="0.3">
      <c r="B440" s="196" t="s">
        <v>7</v>
      </c>
      <c r="C440" s="197" t="s">
        <v>15</v>
      </c>
      <c r="D440" s="198" t="str">
        <f t="shared" si="114"/>
        <v>C</v>
      </c>
      <c r="E440" s="199">
        <v>44273.166666666664</v>
      </c>
      <c r="F440" s="200" t="s">
        <v>123</v>
      </c>
      <c r="G440" s="201">
        <v>85.290999999999997</v>
      </c>
      <c r="H440" s="201">
        <v>84.872</v>
      </c>
      <c r="I440" s="202">
        <f t="shared" si="115"/>
        <v>0.41899999999999693</v>
      </c>
      <c r="J440" s="201">
        <v>92.561999999999998</v>
      </c>
      <c r="K440" s="199">
        <v>44273.650694444441</v>
      </c>
      <c r="L440" s="201">
        <v>84.872</v>
      </c>
      <c r="M440" s="203">
        <f t="shared" si="116"/>
        <v>-0.41899999999999998</v>
      </c>
      <c r="N440" s="204">
        <f t="shared" si="117"/>
        <v>-1</v>
      </c>
      <c r="O440" s="205">
        <f t="shared" si="118"/>
        <v>0</v>
      </c>
      <c r="P440" s="206">
        <f t="shared" si="119"/>
        <v>0</v>
      </c>
      <c r="Q440" s="206">
        <f t="shared" si="120"/>
        <v>-1</v>
      </c>
      <c r="R4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174740</v>
      </c>
      <c r="T4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0" s="208">
        <f ca="1">IF(Tabla33610673[[#This Row],[Equity]]&lt;Tabla33610673[[#This Row],[Equity Peak]],(Tabla33610673[[#This Row],[Equity Peak]]-Tabla33610673[[#This Row],[Equity]])/Tabla33610673[[#This Row],[Equity Peak]],"")</f>
        <v>1.8755615453728662E-2</v>
      </c>
      <c r="V440" s="209">
        <f t="shared" si="121"/>
        <v>-1</v>
      </c>
      <c r="W440" s="209">
        <f t="shared" si="122"/>
        <v>0</v>
      </c>
      <c r="X440" s="209">
        <f t="shared" si="123"/>
        <v>0</v>
      </c>
      <c r="Y440" s="209">
        <f t="shared" si="124"/>
        <v>0</v>
      </c>
      <c r="Z440" s="209">
        <f t="shared" si="125"/>
        <v>0</v>
      </c>
      <c r="AA440" s="205">
        <f t="shared" si="126"/>
        <v>0</v>
      </c>
      <c r="AB440" s="209">
        <f t="shared" si="127"/>
        <v>0</v>
      </c>
      <c r="AC440" s="205">
        <f t="shared" si="128"/>
        <v>0</v>
      </c>
      <c r="AD440" s="210">
        <f t="shared" si="129"/>
        <v>0.48402777777664596</v>
      </c>
      <c r="AE440" s="210">
        <f t="shared" si="130"/>
        <v>0</v>
      </c>
      <c r="AF440" s="210">
        <f t="shared" si="131"/>
        <v>0.48402777777664596</v>
      </c>
      <c r="AG440" s="210">
        <f t="shared" si="132"/>
        <v>0</v>
      </c>
    </row>
    <row r="441" spans="2:33" ht="15" customHeight="1" x14ac:dyDescent="0.3">
      <c r="B441" s="196" t="s">
        <v>7</v>
      </c>
      <c r="C441" s="197" t="s">
        <v>15</v>
      </c>
      <c r="D441" s="198" t="str">
        <f t="shared" si="114"/>
        <v>C</v>
      </c>
      <c r="E441" s="199">
        <v>44273.166666666664</v>
      </c>
      <c r="F441" s="200" t="s">
        <v>122</v>
      </c>
      <c r="G441" s="201">
        <v>0.78278999999999999</v>
      </c>
      <c r="H441" s="201">
        <v>0.77820999999999996</v>
      </c>
      <c r="I441" s="202">
        <f t="shared" si="115"/>
        <v>4.5800000000000285E-3</v>
      </c>
      <c r="J441" s="201">
        <v>0.80722000000000005</v>
      </c>
      <c r="K441" s="199">
        <v>44273.65</v>
      </c>
      <c r="L441" s="201">
        <v>0.77820999999999996</v>
      </c>
      <c r="M441" s="203">
        <f t="shared" si="116"/>
        <v>-4.5999999999999999E-3</v>
      </c>
      <c r="N441" s="204">
        <f t="shared" si="117"/>
        <v>-1</v>
      </c>
      <c r="O441" s="205">
        <f t="shared" si="118"/>
        <v>0</v>
      </c>
      <c r="P441" s="206">
        <f t="shared" si="119"/>
        <v>0</v>
      </c>
      <c r="Q441" s="206">
        <f t="shared" si="120"/>
        <v>-1</v>
      </c>
      <c r="R4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175740</v>
      </c>
      <c r="T4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1" s="208">
        <f ca="1">IF(Tabla33610673[[#This Row],[Equity]]&lt;Tabla33610673[[#This Row],[Equity Peak]],(Tabla33610673[[#This Row],[Equity Peak]]-Tabla33610673[[#This Row],[Equity]])/Tabla33610673[[#This Row],[Equity Peak]],"")</f>
        <v>1.3140161725067386E-2</v>
      </c>
      <c r="V441" s="209">
        <f t="shared" si="121"/>
        <v>-1</v>
      </c>
      <c r="W441" s="209">
        <f t="shared" si="122"/>
        <v>0</v>
      </c>
      <c r="X441" s="209">
        <f t="shared" si="123"/>
        <v>0</v>
      </c>
      <c r="Y441" s="209">
        <f t="shared" si="124"/>
        <v>0</v>
      </c>
      <c r="Z441" s="209">
        <f t="shared" si="125"/>
        <v>0</v>
      </c>
      <c r="AA441" s="205">
        <f t="shared" si="126"/>
        <v>0</v>
      </c>
      <c r="AB441" s="209">
        <f t="shared" si="127"/>
        <v>0</v>
      </c>
      <c r="AC441" s="205">
        <f t="shared" si="128"/>
        <v>0</v>
      </c>
      <c r="AD441" s="210">
        <f t="shared" si="129"/>
        <v>0.48333333333721384</v>
      </c>
      <c r="AE441" s="210">
        <f t="shared" si="130"/>
        <v>0</v>
      </c>
      <c r="AF441" s="210">
        <f t="shared" si="131"/>
        <v>0.48333333333721384</v>
      </c>
      <c r="AG441" s="210">
        <f t="shared" si="132"/>
        <v>0</v>
      </c>
    </row>
    <row r="442" spans="2:33" ht="15" customHeight="1" x14ac:dyDescent="0.3">
      <c r="B442" s="196" t="s">
        <v>5</v>
      </c>
      <c r="C442" s="197" t="s">
        <v>15</v>
      </c>
      <c r="D442" s="198" t="str">
        <f t="shared" si="114"/>
        <v>C</v>
      </c>
      <c r="E442" s="199">
        <v>44271.881944444445</v>
      </c>
      <c r="F442" s="200" t="s">
        <v>90</v>
      </c>
      <c r="G442" s="201">
        <v>6813.63</v>
      </c>
      <c r="H442" s="201">
        <v>6766.7</v>
      </c>
      <c r="I442" s="202">
        <f t="shared" si="115"/>
        <v>46.930000000000291</v>
      </c>
      <c r="J442" s="201">
        <v>7439.34</v>
      </c>
      <c r="K442" s="199">
        <v>44272.1875</v>
      </c>
      <c r="L442" s="201">
        <v>6766.7</v>
      </c>
      <c r="M442" s="203">
        <f t="shared" si="116"/>
        <v>-46.93</v>
      </c>
      <c r="N442" s="204">
        <f t="shared" si="117"/>
        <v>-1</v>
      </c>
      <c r="O442" s="205">
        <f t="shared" si="118"/>
        <v>0</v>
      </c>
      <c r="P442" s="206">
        <f t="shared" si="119"/>
        <v>0</v>
      </c>
      <c r="Q442" s="206">
        <f t="shared" si="120"/>
        <v>-1</v>
      </c>
      <c r="R4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176740</v>
      </c>
      <c r="T4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2" s="208">
        <f ca="1">IF(Tabla33610673[[#This Row],[Equity]]&lt;Tabla33610673[[#This Row],[Equity Peak]],(Tabla33610673[[#This Row],[Equity Peak]]-Tabla33610673[[#This Row],[Equity]])/Tabla33610673[[#This Row],[Equity Peak]],"")</f>
        <v>7.5247079964061098E-3</v>
      </c>
      <c r="V442" s="209">
        <f t="shared" si="121"/>
        <v>0</v>
      </c>
      <c r="W442" s="209">
        <f t="shared" si="122"/>
        <v>0</v>
      </c>
      <c r="X442" s="209">
        <f t="shared" si="123"/>
        <v>0</v>
      </c>
      <c r="Y442" s="209">
        <f t="shared" si="124"/>
        <v>0</v>
      </c>
      <c r="Z442" s="209">
        <f t="shared" si="125"/>
        <v>-1</v>
      </c>
      <c r="AA442" s="205">
        <f t="shared" si="126"/>
        <v>0</v>
      </c>
      <c r="AB442" s="209">
        <f t="shared" si="127"/>
        <v>0</v>
      </c>
      <c r="AC442" s="205">
        <f t="shared" si="128"/>
        <v>0</v>
      </c>
      <c r="AD442" s="210">
        <f t="shared" si="129"/>
        <v>0.30555555555474712</v>
      </c>
      <c r="AE442" s="210">
        <f t="shared" si="130"/>
        <v>0</v>
      </c>
      <c r="AF442" s="210">
        <f t="shared" si="131"/>
        <v>0.30555555555474712</v>
      </c>
      <c r="AG442" s="210">
        <f t="shared" si="132"/>
        <v>0</v>
      </c>
    </row>
    <row r="443" spans="2:33" ht="15" customHeight="1" x14ac:dyDescent="0.3">
      <c r="B443" s="196" t="s">
        <v>84</v>
      </c>
      <c r="C443" s="197" t="s">
        <v>15</v>
      </c>
      <c r="D443" s="198" t="str">
        <f t="shared" si="114"/>
        <v>C</v>
      </c>
      <c r="E443" s="199">
        <v>44263.166666666664</v>
      </c>
      <c r="F443" s="200" t="s">
        <v>80</v>
      </c>
      <c r="G443" s="201">
        <v>51561.919999999998</v>
      </c>
      <c r="H443" s="201">
        <v>48103.28</v>
      </c>
      <c r="I443" s="202">
        <f t="shared" si="115"/>
        <v>3458.6399999999994</v>
      </c>
      <c r="J443" s="201">
        <v>103441.56</v>
      </c>
      <c r="K443" s="199">
        <v>44271.106249999997</v>
      </c>
      <c r="L443" s="201">
        <v>54411.71</v>
      </c>
      <c r="M443" s="203">
        <f t="shared" si="116"/>
        <v>2849.79</v>
      </c>
      <c r="N443" s="204">
        <f t="shared" si="117"/>
        <v>0.82</v>
      </c>
      <c r="O443" s="205">
        <f t="shared" si="118"/>
        <v>0</v>
      </c>
      <c r="P443" s="206">
        <f t="shared" si="119"/>
        <v>0.82</v>
      </c>
      <c r="Q443" s="206">
        <f t="shared" si="120"/>
        <v>0</v>
      </c>
      <c r="R4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177740</v>
      </c>
      <c r="T4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3" s="208">
        <f ca="1">IF(Tabla33610673[[#This Row],[Equity]]&lt;Tabla33610673[[#This Row],[Equity Peak]],(Tabla33610673[[#This Row],[Equity Peak]]-Tabla33610673[[#This Row],[Equity]])/Tabla33610673[[#This Row],[Equity Peak]],"")</f>
        <v>1.9092542677448339E-3</v>
      </c>
      <c r="V443" s="209">
        <f t="shared" si="121"/>
        <v>0</v>
      </c>
      <c r="W443" s="209">
        <f t="shared" si="122"/>
        <v>0</v>
      </c>
      <c r="X443" s="209">
        <f t="shared" si="123"/>
        <v>0</v>
      </c>
      <c r="Y443" s="209">
        <f t="shared" si="124"/>
        <v>0</v>
      </c>
      <c r="Z443" s="209">
        <f t="shared" si="125"/>
        <v>0</v>
      </c>
      <c r="AA443" s="205">
        <f t="shared" si="126"/>
        <v>0</v>
      </c>
      <c r="AB443" s="209">
        <f t="shared" si="127"/>
        <v>0.82</v>
      </c>
      <c r="AC443" s="205">
        <f t="shared" si="128"/>
        <v>0</v>
      </c>
      <c r="AD443" s="210">
        <f t="shared" si="129"/>
        <v>7.9395833333328483</v>
      </c>
      <c r="AE443" s="210">
        <f t="shared" si="130"/>
        <v>7.9395833333328483</v>
      </c>
      <c r="AF443" s="210">
        <f t="shared" si="131"/>
        <v>0</v>
      </c>
      <c r="AG443" s="210">
        <f t="shared" si="132"/>
        <v>0</v>
      </c>
    </row>
    <row r="444" spans="2:33" ht="15" customHeight="1" x14ac:dyDescent="0.3">
      <c r="B444" s="196" t="s">
        <v>7</v>
      </c>
      <c r="C444" s="197" t="s">
        <v>15</v>
      </c>
      <c r="D444" s="198" t="str">
        <f t="shared" si="114"/>
        <v>C</v>
      </c>
      <c r="E444" s="199">
        <v>44270.666666666664</v>
      </c>
      <c r="F444" s="200" t="s">
        <v>117</v>
      </c>
      <c r="G444" s="201">
        <v>1.8006</v>
      </c>
      <c r="H444" s="201">
        <v>1.7838099999999999</v>
      </c>
      <c r="I444" s="202">
        <f t="shared" si="115"/>
        <v>1.6790000000000083E-2</v>
      </c>
      <c r="J444" s="201">
        <v>1.8565799999999999</v>
      </c>
      <c r="K444" s="199">
        <v>44270.79791666667</v>
      </c>
      <c r="L444" s="201">
        <v>1.79206</v>
      </c>
      <c r="M444" s="203">
        <f t="shared" si="116"/>
        <v>-8.5000000000000006E-3</v>
      </c>
      <c r="N444" s="204">
        <f t="shared" si="117"/>
        <v>-0.51</v>
      </c>
      <c r="O444" s="205">
        <f t="shared" si="118"/>
        <v>0</v>
      </c>
      <c r="P444" s="206">
        <f t="shared" si="119"/>
        <v>0</v>
      </c>
      <c r="Q444" s="206">
        <f t="shared" si="120"/>
        <v>-0.51</v>
      </c>
      <c r="R4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176920</v>
      </c>
      <c r="T4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4" s="208">
        <f ca="1">IF(Tabla33610673[[#This Row],[Equity]]&lt;Tabla33610673[[#This Row],[Equity Peak]],(Tabla33610673[[#This Row],[Equity Peak]]-Tabla33610673[[#This Row],[Equity]])/Tabla33610673[[#This Row],[Equity Peak]],"")</f>
        <v>6.5139263252470799E-3</v>
      </c>
      <c r="V444" s="209">
        <f t="shared" si="121"/>
        <v>-0.51</v>
      </c>
      <c r="W444" s="209">
        <f t="shared" si="122"/>
        <v>0</v>
      </c>
      <c r="X444" s="209">
        <f t="shared" si="123"/>
        <v>0</v>
      </c>
      <c r="Y444" s="209">
        <f t="shared" si="124"/>
        <v>0</v>
      </c>
      <c r="Z444" s="209">
        <f t="shared" si="125"/>
        <v>0</v>
      </c>
      <c r="AA444" s="205">
        <f t="shared" si="126"/>
        <v>0</v>
      </c>
      <c r="AB444" s="209">
        <f t="shared" si="127"/>
        <v>0</v>
      </c>
      <c r="AC444" s="205">
        <f t="shared" si="128"/>
        <v>0</v>
      </c>
      <c r="AD444" s="210">
        <f t="shared" si="129"/>
        <v>0.13125000000582077</v>
      </c>
      <c r="AE444" s="210">
        <f t="shared" si="130"/>
        <v>0</v>
      </c>
      <c r="AF444" s="210">
        <f t="shared" si="131"/>
        <v>0.13125000000582077</v>
      </c>
      <c r="AG444" s="210">
        <f t="shared" si="132"/>
        <v>0</v>
      </c>
    </row>
    <row r="445" spans="2:33" ht="15" customHeight="1" x14ac:dyDescent="0.3">
      <c r="B445" s="196" t="s">
        <v>7</v>
      </c>
      <c r="C445" s="197" t="s">
        <v>13</v>
      </c>
      <c r="D445" s="198" t="str">
        <f t="shared" si="114"/>
        <v>C</v>
      </c>
      <c r="E445" s="199">
        <v>44263.166666666664</v>
      </c>
      <c r="F445" s="200" t="s">
        <v>121</v>
      </c>
      <c r="G445" s="201">
        <v>1.5470600000000001</v>
      </c>
      <c r="H445" s="201">
        <v>1.5565800000000001</v>
      </c>
      <c r="I445" s="202">
        <f t="shared" si="115"/>
        <v>9.5199999999999729E-3</v>
      </c>
      <c r="J445" s="201">
        <v>1.4455499999999999</v>
      </c>
      <c r="K445" s="199">
        <v>44270.777083333334</v>
      </c>
      <c r="L445" s="201">
        <v>1.54541</v>
      </c>
      <c r="M445" s="203">
        <f t="shared" si="116"/>
        <v>1.6999999999999999E-3</v>
      </c>
      <c r="N445" s="204">
        <f t="shared" si="117"/>
        <v>0.18</v>
      </c>
      <c r="O445" s="205">
        <f t="shared" si="118"/>
        <v>0</v>
      </c>
      <c r="P445" s="206">
        <f t="shared" si="119"/>
        <v>0.18</v>
      </c>
      <c r="Q445" s="206">
        <f t="shared" si="120"/>
        <v>0</v>
      </c>
      <c r="R4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177430</v>
      </c>
      <c r="T4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5" s="208">
        <f ca="1">IF(Tabla33610673[[#This Row],[Equity]]&lt;Tabla33610673[[#This Row],[Equity Peak]],(Tabla33610673[[#This Row],[Equity Peak]]-Tabla33610673[[#This Row],[Equity]])/Tabla33610673[[#This Row],[Equity Peak]],"")</f>
        <v>3.6500449236298292E-3</v>
      </c>
      <c r="V445" s="209">
        <f t="shared" si="121"/>
        <v>0.18</v>
      </c>
      <c r="W445" s="209">
        <f t="shared" si="122"/>
        <v>0</v>
      </c>
      <c r="X445" s="209">
        <f t="shared" si="123"/>
        <v>0</v>
      </c>
      <c r="Y445" s="209">
        <f t="shared" si="124"/>
        <v>0</v>
      </c>
      <c r="Z445" s="209">
        <f t="shared" si="125"/>
        <v>0</v>
      </c>
      <c r="AA445" s="205">
        <f t="shared" si="126"/>
        <v>0</v>
      </c>
      <c r="AB445" s="209">
        <f t="shared" si="127"/>
        <v>0</v>
      </c>
      <c r="AC445" s="205">
        <f t="shared" si="128"/>
        <v>0</v>
      </c>
      <c r="AD445" s="210">
        <f t="shared" si="129"/>
        <v>7.6104166666700621</v>
      </c>
      <c r="AE445" s="210">
        <f t="shared" si="130"/>
        <v>7.6104166666700621</v>
      </c>
      <c r="AF445" s="210">
        <f t="shared" si="131"/>
        <v>0</v>
      </c>
      <c r="AG445" s="210">
        <f t="shared" si="132"/>
        <v>0</v>
      </c>
    </row>
    <row r="446" spans="2:33" ht="15" customHeight="1" x14ac:dyDescent="0.3">
      <c r="B446" s="196" t="s">
        <v>5</v>
      </c>
      <c r="C446" s="197" t="s">
        <v>15</v>
      </c>
      <c r="D446" s="198" t="str">
        <f t="shared" si="114"/>
        <v>C</v>
      </c>
      <c r="E446" s="199">
        <v>44260.625</v>
      </c>
      <c r="F446" s="200" t="s">
        <v>94</v>
      </c>
      <c r="G446" s="201">
        <v>6672.47</v>
      </c>
      <c r="H446" s="201">
        <v>6561.69</v>
      </c>
      <c r="I446" s="202">
        <f t="shared" si="115"/>
        <v>110.78000000000065</v>
      </c>
      <c r="J446" s="201">
        <v>7226.38</v>
      </c>
      <c r="K446" s="199">
        <v>44270.773611111108</v>
      </c>
      <c r="L446" s="201">
        <v>6734.39</v>
      </c>
      <c r="M446" s="203">
        <f t="shared" si="116"/>
        <v>61.92</v>
      </c>
      <c r="N446" s="204">
        <f t="shared" si="117"/>
        <v>0.56000000000000005</v>
      </c>
      <c r="O446" s="205">
        <f t="shared" si="118"/>
        <v>0</v>
      </c>
      <c r="P446" s="206">
        <f t="shared" si="119"/>
        <v>0.56000000000000005</v>
      </c>
      <c r="Q446" s="206">
        <f t="shared" si="120"/>
        <v>0</v>
      </c>
      <c r="R4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177250</v>
      </c>
      <c r="T4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6" s="208">
        <f ca="1">IF(Tabla33610673[[#This Row],[Equity]]&lt;Tabla33610673[[#This Row],[Equity Peak]],(Tabla33610673[[#This Row],[Equity Peak]]-Tabla33610673[[#This Row],[Equity]])/Tabla33610673[[#This Row],[Equity Peak]],"")</f>
        <v>4.6608265947888586E-3</v>
      </c>
      <c r="V446" s="209">
        <f t="shared" si="121"/>
        <v>0</v>
      </c>
      <c r="W446" s="209">
        <f t="shared" si="122"/>
        <v>0</v>
      </c>
      <c r="X446" s="209">
        <f t="shared" si="123"/>
        <v>0</v>
      </c>
      <c r="Y446" s="209">
        <f t="shared" si="124"/>
        <v>0</v>
      </c>
      <c r="Z446" s="209">
        <f t="shared" si="125"/>
        <v>0.56000000000000005</v>
      </c>
      <c r="AA446" s="205">
        <f t="shared" si="126"/>
        <v>0</v>
      </c>
      <c r="AB446" s="209">
        <f t="shared" si="127"/>
        <v>0</v>
      </c>
      <c r="AC446" s="205">
        <f t="shared" si="128"/>
        <v>0</v>
      </c>
      <c r="AD446" s="210">
        <f t="shared" si="129"/>
        <v>10.148611111108039</v>
      </c>
      <c r="AE446" s="210">
        <f t="shared" si="130"/>
        <v>10.148611111108039</v>
      </c>
      <c r="AF446" s="210">
        <f t="shared" si="131"/>
        <v>0</v>
      </c>
      <c r="AG446" s="210">
        <f t="shared" si="132"/>
        <v>0</v>
      </c>
    </row>
    <row r="447" spans="2:33" ht="15" customHeight="1" x14ac:dyDescent="0.3">
      <c r="B447" s="196" t="s">
        <v>7</v>
      </c>
      <c r="C447" s="197" t="s">
        <v>13</v>
      </c>
      <c r="D447" s="198" t="str">
        <f t="shared" si="114"/>
        <v>C</v>
      </c>
      <c r="E447" s="199">
        <v>44270.017361111109</v>
      </c>
      <c r="F447" s="200" t="s">
        <v>117</v>
      </c>
      <c r="G447" s="201">
        <v>1.7932900000000001</v>
      </c>
      <c r="H447" s="201">
        <v>1.8100400000000001</v>
      </c>
      <c r="I447" s="202">
        <f t="shared" si="115"/>
        <v>1.6750000000000043E-2</v>
      </c>
      <c r="J447" s="201">
        <v>1.73746</v>
      </c>
      <c r="K447" s="199">
        <v>44270.39166666667</v>
      </c>
      <c r="L447" s="201">
        <v>1.7998400000000001</v>
      </c>
      <c r="M447" s="203">
        <f t="shared" si="116"/>
        <v>-6.6E-3</v>
      </c>
      <c r="N447" s="204">
        <f t="shared" si="117"/>
        <v>-0.39</v>
      </c>
      <c r="O447" s="205">
        <f t="shared" si="118"/>
        <v>0</v>
      </c>
      <c r="P447" s="206">
        <f t="shared" si="119"/>
        <v>0</v>
      </c>
      <c r="Q447" s="206">
        <f t="shared" si="120"/>
        <v>-0.39</v>
      </c>
      <c r="R4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176690</v>
      </c>
      <c r="T4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7" s="208">
        <f ca="1">IF(Tabla33610673[[#This Row],[Equity]]&lt;Tabla33610673[[#This Row],[Equity Peak]],(Tabla33610673[[#This Row],[Equity Peak]]-Tabla33610673[[#This Row],[Equity]])/Tabla33610673[[#This Row],[Equity Peak]],"")</f>
        <v>7.8054806828391733E-3</v>
      </c>
      <c r="V447" s="209">
        <f t="shared" si="121"/>
        <v>-0.39</v>
      </c>
      <c r="W447" s="209">
        <f t="shared" si="122"/>
        <v>0</v>
      </c>
      <c r="X447" s="209">
        <f t="shared" si="123"/>
        <v>0</v>
      </c>
      <c r="Y447" s="209">
        <f t="shared" si="124"/>
        <v>0</v>
      </c>
      <c r="Z447" s="209">
        <f t="shared" si="125"/>
        <v>0</v>
      </c>
      <c r="AA447" s="205">
        <f t="shared" si="126"/>
        <v>0</v>
      </c>
      <c r="AB447" s="209">
        <f t="shared" si="127"/>
        <v>0</v>
      </c>
      <c r="AC447" s="205">
        <f t="shared" si="128"/>
        <v>0</v>
      </c>
      <c r="AD447" s="210">
        <f t="shared" si="129"/>
        <v>0.37430555556056788</v>
      </c>
      <c r="AE447" s="210">
        <f t="shared" si="130"/>
        <v>0</v>
      </c>
      <c r="AF447" s="210">
        <f t="shared" si="131"/>
        <v>0.37430555556056788</v>
      </c>
      <c r="AG447" s="210">
        <f t="shared" si="132"/>
        <v>0</v>
      </c>
    </row>
    <row r="448" spans="2:33" ht="15" customHeight="1" x14ac:dyDescent="0.3">
      <c r="B448" s="196" t="s">
        <v>7</v>
      </c>
      <c r="C448" s="197" t="s">
        <v>15</v>
      </c>
      <c r="D448" s="198" t="str">
        <f t="shared" si="114"/>
        <v>C</v>
      </c>
      <c r="E448" s="199">
        <v>44267.017361111109</v>
      </c>
      <c r="F448" s="200" t="s">
        <v>115</v>
      </c>
      <c r="G448" s="201">
        <v>1.3986499999999999</v>
      </c>
      <c r="H448" s="201">
        <v>1.3895900000000001</v>
      </c>
      <c r="I448" s="202">
        <f t="shared" si="115"/>
        <v>9.059999999999846E-3</v>
      </c>
      <c r="J448" s="201">
        <v>1.4348799999999999</v>
      </c>
      <c r="K448" s="199">
        <v>44267.568749999999</v>
      </c>
      <c r="L448" s="201">
        <v>1.3895900000000001</v>
      </c>
      <c r="M448" s="203">
        <f t="shared" si="116"/>
        <v>-9.1000000000000004E-3</v>
      </c>
      <c r="N448" s="204">
        <f t="shared" si="117"/>
        <v>-1</v>
      </c>
      <c r="O448" s="205">
        <f t="shared" si="118"/>
        <v>0</v>
      </c>
      <c r="P448" s="206">
        <f t="shared" si="119"/>
        <v>0</v>
      </c>
      <c r="Q448" s="206">
        <f t="shared" si="120"/>
        <v>-1</v>
      </c>
      <c r="R4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177080</v>
      </c>
      <c r="T4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8" s="208">
        <f ca="1">IF(Tabla33610673[[#This Row],[Equity]]&lt;Tabla33610673[[#This Row],[Equity Peak]],(Tabla33610673[[#This Row],[Equity Peak]]-Tabla33610673[[#This Row],[Equity]])/Tabla33610673[[#This Row],[Equity Peak]],"")</f>
        <v>5.6154537286612757E-3</v>
      </c>
      <c r="V448" s="209">
        <f t="shared" si="121"/>
        <v>-1</v>
      </c>
      <c r="W448" s="209">
        <f t="shared" si="122"/>
        <v>0</v>
      </c>
      <c r="X448" s="209">
        <f t="shared" si="123"/>
        <v>0</v>
      </c>
      <c r="Y448" s="209">
        <f t="shared" si="124"/>
        <v>0</v>
      </c>
      <c r="Z448" s="209">
        <f t="shared" si="125"/>
        <v>0</v>
      </c>
      <c r="AA448" s="205">
        <f t="shared" si="126"/>
        <v>0</v>
      </c>
      <c r="AB448" s="209">
        <f t="shared" si="127"/>
        <v>0</v>
      </c>
      <c r="AC448" s="205">
        <f t="shared" si="128"/>
        <v>0</v>
      </c>
      <c r="AD448" s="210">
        <f t="shared" si="129"/>
        <v>0.55138888888905058</v>
      </c>
      <c r="AE448" s="210">
        <f t="shared" si="130"/>
        <v>0</v>
      </c>
      <c r="AF448" s="210">
        <f t="shared" si="131"/>
        <v>0.55138888888905058</v>
      </c>
      <c r="AG448" s="210">
        <f t="shared" si="132"/>
        <v>0</v>
      </c>
    </row>
    <row r="449" spans="2:33" ht="15" customHeight="1" x14ac:dyDescent="0.3">
      <c r="B449" s="196" t="s">
        <v>5</v>
      </c>
      <c r="C449" s="197" t="s">
        <v>15</v>
      </c>
      <c r="D449" s="198" t="str">
        <f t="shared" si="114"/>
        <v>C</v>
      </c>
      <c r="E449" s="199">
        <v>44263.208333333336</v>
      </c>
      <c r="F449" s="200" t="s">
        <v>95</v>
      </c>
      <c r="G449" s="201">
        <v>31555.95</v>
      </c>
      <c r="H449" s="201">
        <v>31310.04</v>
      </c>
      <c r="I449" s="202">
        <f t="shared" si="115"/>
        <v>245.90999999999985</v>
      </c>
      <c r="J449" s="201">
        <v>32539.59</v>
      </c>
      <c r="K449" s="199">
        <v>44266.734027777777</v>
      </c>
      <c r="L449" s="201">
        <v>32539.59</v>
      </c>
      <c r="M449" s="203">
        <f t="shared" si="116"/>
        <v>983.64</v>
      </c>
      <c r="N449" s="204">
        <f t="shared" si="117"/>
        <v>4</v>
      </c>
      <c r="O449" s="205">
        <f t="shared" si="118"/>
        <v>0</v>
      </c>
      <c r="P449" s="206">
        <f t="shared" si="119"/>
        <v>4</v>
      </c>
      <c r="Q449" s="206">
        <f t="shared" si="120"/>
        <v>0</v>
      </c>
      <c r="R4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178080</v>
      </c>
      <c r="T4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178080</v>
      </c>
      <c r="U44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9" s="209">
        <f t="shared" si="121"/>
        <v>0</v>
      </c>
      <c r="W449" s="209">
        <f t="shared" si="122"/>
        <v>0</v>
      </c>
      <c r="X449" s="209">
        <f t="shared" si="123"/>
        <v>0</v>
      </c>
      <c r="Y449" s="209">
        <f t="shared" si="124"/>
        <v>0</v>
      </c>
      <c r="Z449" s="209">
        <f t="shared" si="125"/>
        <v>4</v>
      </c>
      <c r="AA449" s="205">
        <f t="shared" si="126"/>
        <v>0</v>
      </c>
      <c r="AB449" s="209">
        <f t="shared" si="127"/>
        <v>0</v>
      </c>
      <c r="AC449" s="205">
        <f t="shared" si="128"/>
        <v>0</v>
      </c>
      <c r="AD449" s="210">
        <f t="shared" si="129"/>
        <v>3.5256944444408873</v>
      </c>
      <c r="AE449" s="210">
        <f t="shared" si="130"/>
        <v>3.5256944444408873</v>
      </c>
      <c r="AF449" s="210">
        <f t="shared" si="131"/>
        <v>0</v>
      </c>
      <c r="AG449" s="210">
        <f t="shared" si="132"/>
        <v>0</v>
      </c>
    </row>
    <row r="450" spans="2:33" ht="15" customHeight="1" x14ac:dyDescent="0.3">
      <c r="B450" s="196" t="s">
        <v>84</v>
      </c>
      <c r="C450" s="197" t="s">
        <v>15</v>
      </c>
      <c r="D450" s="198" t="str">
        <f t="shared" si="114"/>
        <v>C</v>
      </c>
      <c r="E450" s="199">
        <v>44263.333333333336</v>
      </c>
      <c r="F450" s="200" t="s">
        <v>82</v>
      </c>
      <c r="G450" s="201">
        <v>1749.86</v>
      </c>
      <c r="H450" s="201">
        <v>1650.62</v>
      </c>
      <c r="I450" s="202">
        <f t="shared" si="115"/>
        <v>99.240000000000009</v>
      </c>
      <c r="J450" s="201">
        <v>3602.26</v>
      </c>
      <c r="K450" s="199">
        <v>44266.43472222222</v>
      </c>
      <c r="L450" s="201">
        <v>1741.46</v>
      </c>
      <c r="M450" s="203">
        <f t="shared" si="116"/>
        <v>-8.4</v>
      </c>
      <c r="N450" s="204">
        <f t="shared" si="117"/>
        <v>-0.08</v>
      </c>
      <c r="O450" s="205">
        <f t="shared" si="118"/>
        <v>0</v>
      </c>
      <c r="P450" s="206">
        <f t="shared" si="119"/>
        <v>0</v>
      </c>
      <c r="Q450" s="206">
        <f t="shared" si="120"/>
        <v>-0.08</v>
      </c>
      <c r="R4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174080</v>
      </c>
      <c r="T4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174160</v>
      </c>
      <c r="U450" s="208">
        <f ca="1">IF(Tabla33610673[[#This Row],[Equity]]&lt;Tabla33610673[[#This Row],[Equity Peak]],(Tabla33610673[[#This Row],[Equity Peak]]-Tabla33610673[[#This Row],[Equity]])/Tabla33610673[[#This Row],[Equity Peak]],"")</f>
        <v>4.5934772622875517E-4</v>
      </c>
      <c r="V450" s="209">
        <f t="shared" si="121"/>
        <v>0</v>
      </c>
      <c r="W450" s="209">
        <f t="shared" si="122"/>
        <v>0</v>
      </c>
      <c r="X450" s="209">
        <f t="shared" si="123"/>
        <v>0</v>
      </c>
      <c r="Y450" s="209">
        <f t="shared" si="124"/>
        <v>0</v>
      </c>
      <c r="Z450" s="209">
        <f t="shared" si="125"/>
        <v>0</v>
      </c>
      <c r="AA450" s="205">
        <f t="shared" si="126"/>
        <v>0</v>
      </c>
      <c r="AB450" s="209">
        <f t="shared" si="127"/>
        <v>-0.08</v>
      </c>
      <c r="AC450" s="205">
        <f t="shared" si="128"/>
        <v>0</v>
      </c>
      <c r="AD450" s="210">
        <f t="shared" si="129"/>
        <v>3.101388888884685</v>
      </c>
      <c r="AE450" s="210">
        <f t="shared" si="130"/>
        <v>0</v>
      </c>
      <c r="AF450" s="210">
        <f t="shared" si="131"/>
        <v>3.101388888884685</v>
      </c>
      <c r="AG450" s="210">
        <f t="shared" si="132"/>
        <v>0</v>
      </c>
    </row>
    <row r="451" spans="2:33" ht="15" customHeight="1" x14ac:dyDescent="0.3">
      <c r="B451" s="196" t="s">
        <v>19</v>
      </c>
      <c r="C451" s="197" t="s">
        <v>13</v>
      </c>
      <c r="D451" s="198" t="str">
        <f t="shared" si="114"/>
        <v>C</v>
      </c>
      <c r="E451" s="199">
        <v>44251.708333333336</v>
      </c>
      <c r="F451" s="200" t="s">
        <v>88</v>
      </c>
      <c r="G451" s="201">
        <v>1785.63</v>
      </c>
      <c r="H451" s="201">
        <v>1811.26</v>
      </c>
      <c r="I451" s="202">
        <f t="shared" si="115"/>
        <v>25.629999999999882</v>
      </c>
      <c r="J451" s="201">
        <v>1621.63</v>
      </c>
      <c r="K451" s="199">
        <v>44264.554861111108</v>
      </c>
      <c r="L451" s="201">
        <v>1705.76</v>
      </c>
      <c r="M451" s="203">
        <f t="shared" si="116"/>
        <v>79.87</v>
      </c>
      <c r="N451" s="204">
        <f t="shared" si="117"/>
        <v>3.12</v>
      </c>
      <c r="O451" s="205">
        <f t="shared" si="118"/>
        <v>0</v>
      </c>
      <c r="P451" s="206">
        <f t="shared" si="119"/>
        <v>3.12</v>
      </c>
      <c r="Q451" s="206">
        <f t="shared" si="120"/>
        <v>0</v>
      </c>
      <c r="R4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174160</v>
      </c>
      <c r="T4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174160</v>
      </c>
      <c r="U45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51" s="209">
        <f t="shared" si="121"/>
        <v>0</v>
      </c>
      <c r="W451" s="209">
        <f t="shared" si="122"/>
        <v>0</v>
      </c>
      <c r="X451" s="209">
        <f t="shared" si="123"/>
        <v>3.12</v>
      </c>
      <c r="Y451" s="209">
        <f t="shared" si="124"/>
        <v>0</v>
      </c>
      <c r="Z451" s="209">
        <f t="shared" si="125"/>
        <v>0</v>
      </c>
      <c r="AA451" s="205">
        <f t="shared" si="126"/>
        <v>0</v>
      </c>
      <c r="AB451" s="209">
        <f t="shared" si="127"/>
        <v>0</v>
      </c>
      <c r="AC451" s="205">
        <f t="shared" si="128"/>
        <v>0</v>
      </c>
      <c r="AD451" s="210">
        <f t="shared" si="129"/>
        <v>12.84652777777228</v>
      </c>
      <c r="AE451" s="210">
        <f t="shared" si="130"/>
        <v>12.84652777777228</v>
      </c>
      <c r="AF451" s="210">
        <f t="shared" si="131"/>
        <v>0</v>
      </c>
      <c r="AG451" s="210">
        <f t="shared" si="132"/>
        <v>0</v>
      </c>
    </row>
    <row r="452" spans="2:33" ht="15" customHeight="1" x14ac:dyDescent="0.3">
      <c r="B452" s="196" t="s">
        <v>19</v>
      </c>
      <c r="C452" s="197" t="s">
        <v>15</v>
      </c>
      <c r="D452" s="198" t="str">
        <f t="shared" si="114"/>
        <v>C</v>
      </c>
      <c r="E452" s="199">
        <v>44260.625</v>
      </c>
      <c r="F452" s="200" t="s">
        <v>108</v>
      </c>
      <c r="G452" s="201">
        <v>65.319999999999993</v>
      </c>
      <c r="H452" s="201">
        <v>63.776000000000003</v>
      </c>
      <c r="I452" s="202">
        <f t="shared" si="115"/>
        <v>1.5439999999999898</v>
      </c>
      <c r="J452" s="201">
        <v>83.846000000000004</v>
      </c>
      <c r="K452" s="199">
        <v>44263.713194444441</v>
      </c>
      <c r="L452" s="201">
        <v>65.317999999999998</v>
      </c>
      <c r="M452" s="203">
        <f t="shared" si="116"/>
        <v>-2E-3</v>
      </c>
      <c r="N452" s="204">
        <f t="shared" si="117"/>
        <v>0</v>
      </c>
      <c r="O452" s="205">
        <f t="shared" si="118"/>
        <v>0</v>
      </c>
      <c r="P452" s="206">
        <f t="shared" si="119"/>
        <v>0</v>
      </c>
      <c r="Q452" s="206">
        <f t="shared" si="120"/>
        <v>0</v>
      </c>
      <c r="R4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171040</v>
      </c>
      <c r="T4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171040</v>
      </c>
      <c r="U45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52" s="209">
        <f t="shared" si="121"/>
        <v>0</v>
      </c>
      <c r="W452" s="209">
        <f t="shared" si="122"/>
        <v>0</v>
      </c>
      <c r="X452" s="209">
        <f t="shared" si="123"/>
        <v>0</v>
      </c>
      <c r="Y452" s="209">
        <f t="shared" si="124"/>
        <v>0</v>
      </c>
      <c r="Z452" s="209">
        <f t="shared" si="125"/>
        <v>0</v>
      </c>
      <c r="AA452" s="205">
        <f t="shared" si="126"/>
        <v>0</v>
      </c>
      <c r="AB452" s="209">
        <f t="shared" si="127"/>
        <v>0</v>
      </c>
      <c r="AC452" s="205">
        <f t="shared" si="128"/>
        <v>0</v>
      </c>
      <c r="AD452" s="210">
        <f t="shared" si="129"/>
        <v>3.0881944444408873</v>
      </c>
      <c r="AE452" s="210">
        <f t="shared" si="130"/>
        <v>0</v>
      </c>
      <c r="AF452" s="210">
        <f t="shared" si="131"/>
        <v>0</v>
      </c>
      <c r="AG452" s="210">
        <f t="shared" si="132"/>
        <v>3.0881944444408873</v>
      </c>
    </row>
    <row r="453" spans="2:33" ht="15" customHeight="1" x14ac:dyDescent="0.3">
      <c r="B453" s="196" t="s">
        <v>7</v>
      </c>
      <c r="C453" s="197" t="s">
        <v>15</v>
      </c>
      <c r="D453" s="198" t="str">
        <f t="shared" si="114"/>
        <v>C</v>
      </c>
      <c r="E453" s="199">
        <v>44251.333333333336</v>
      </c>
      <c r="F453" s="200" t="s">
        <v>114</v>
      </c>
      <c r="G453" s="201">
        <v>105.533</v>
      </c>
      <c r="H453" s="201">
        <v>104.845</v>
      </c>
      <c r="I453" s="202">
        <f t="shared" si="115"/>
        <v>0.68800000000000239</v>
      </c>
      <c r="J453" s="201">
        <v>108.74299999999999</v>
      </c>
      <c r="K453" s="199">
        <v>44263.693749999999</v>
      </c>
      <c r="L453" s="201">
        <v>108.74299999999999</v>
      </c>
      <c r="M453" s="203">
        <f t="shared" si="116"/>
        <v>3.21</v>
      </c>
      <c r="N453" s="204">
        <f t="shared" si="117"/>
        <v>4.67</v>
      </c>
      <c r="O453" s="205">
        <f t="shared" si="118"/>
        <v>0</v>
      </c>
      <c r="P453" s="206">
        <f t="shared" si="119"/>
        <v>4.67</v>
      </c>
      <c r="Q453" s="206">
        <f t="shared" si="120"/>
        <v>0</v>
      </c>
      <c r="R4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171040</v>
      </c>
      <c r="T4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171040</v>
      </c>
      <c r="U45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53" s="209">
        <f t="shared" si="121"/>
        <v>4.67</v>
      </c>
      <c r="W453" s="209">
        <f t="shared" si="122"/>
        <v>0</v>
      </c>
      <c r="X453" s="209">
        <f t="shared" si="123"/>
        <v>0</v>
      </c>
      <c r="Y453" s="209">
        <f t="shared" si="124"/>
        <v>0</v>
      </c>
      <c r="Z453" s="209">
        <f t="shared" si="125"/>
        <v>0</v>
      </c>
      <c r="AA453" s="205">
        <f t="shared" si="126"/>
        <v>0</v>
      </c>
      <c r="AB453" s="209">
        <f t="shared" si="127"/>
        <v>0</v>
      </c>
      <c r="AC453" s="205">
        <f t="shared" si="128"/>
        <v>0</v>
      </c>
      <c r="AD453" s="210">
        <f t="shared" si="129"/>
        <v>12.360416666662786</v>
      </c>
      <c r="AE453" s="210">
        <f t="shared" si="130"/>
        <v>12.360416666662786</v>
      </c>
      <c r="AF453" s="210">
        <f t="shared" si="131"/>
        <v>0</v>
      </c>
      <c r="AG453" s="210">
        <f t="shared" si="132"/>
        <v>0</v>
      </c>
    </row>
    <row r="454" spans="2:33" ht="15" customHeight="1" x14ac:dyDescent="0.3">
      <c r="B454" s="196" t="s">
        <v>84</v>
      </c>
      <c r="C454" s="197" t="s">
        <v>15</v>
      </c>
      <c r="D454" s="198" t="str">
        <f t="shared" si="114"/>
        <v>C</v>
      </c>
      <c r="E454" s="199">
        <v>44230.017361111109</v>
      </c>
      <c r="F454" s="200" t="s">
        <v>82</v>
      </c>
      <c r="G454" s="201">
        <v>1544.92</v>
      </c>
      <c r="H454" s="201">
        <v>1464.35</v>
      </c>
      <c r="I454" s="202">
        <f t="shared" si="115"/>
        <v>80.570000000000164</v>
      </c>
      <c r="J454" s="201">
        <v>3048.88</v>
      </c>
      <c r="K454" s="199">
        <v>44263.333333333336</v>
      </c>
      <c r="L454" s="201">
        <v>1749.86</v>
      </c>
      <c r="M454" s="203">
        <f t="shared" si="116"/>
        <v>204.94</v>
      </c>
      <c r="N454" s="204">
        <f t="shared" si="117"/>
        <v>2.54</v>
      </c>
      <c r="O454" s="205">
        <f t="shared" si="118"/>
        <v>0</v>
      </c>
      <c r="P454" s="206">
        <f t="shared" si="119"/>
        <v>2.54</v>
      </c>
      <c r="Q454" s="206">
        <f t="shared" si="120"/>
        <v>0</v>
      </c>
      <c r="R4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166370</v>
      </c>
      <c r="T4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54" s="208">
        <f ca="1">IF(Tabla33610673[[#This Row],[Equity]]&lt;Tabla33610673[[#This Row],[Equity Peak]],(Tabla33610673[[#This Row],[Equity Peak]]-Tabla33610673[[#This Row],[Equity]])/Tabla33610673[[#This Row],[Equity Peak]],"")</f>
        <v>1.2230600249361753E-2</v>
      </c>
      <c r="V454" s="209">
        <f t="shared" si="121"/>
        <v>0</v>
      </c>
      <c r="W454" s="209">
        <f t="shared" si="122"/>
        <v>0</v>
      </c>
      <c r="X454" s="209">
        <f t="shared" si="123"/>
        <v>0</v>
      </c>
      <c r="Y454" s="209">
        <f t="shared" si="124"/>
        <v>0</v>
      </c>
      <c r="Z454" s="209">
        <f t="shared" si="125"/>
        <v>0</v>
      </c>
      <c r="AA454" s="205">
        <f t="shared" si="126"/>
        <v>0</v>
      </c>
      <c r="AB454" s="209">
        <f t="shared" si="127"/>
        <v>2.54</v>
      </c>
      <c r="AC454" s="205">
        <f t="shared" si="128"/>
        <v>0</v>
      </c>
      <c r="AD454" s="210">
        <f t="shared" si="129"/>
        <v>33.315972222226264</v>
      </c>
      <c r="AE454" s="210">
        <f t="shared" si="130"/>
        <v>33.315972222226264</v>
      </c>
      <c r="AF454" s="210">
        <f t="shared" si="131"/>
        <v>0</v>
      </c>
      <c r="AG454" s="210">
        <f t="shared" si="132"/>
        <v>0</v>
      </c>
    </row>
    <row r="455" spans="2:33" ht="15" customHeight="1" x14ac:dyDescent="0.3">
      <c r="B455" s="196" t="s">
        <v>84</v>
      </c>
      <c r="C455" s="197" t="s">
        <v>15</v>
      </c>
      <c r="D455" s="198" t="str">
        <f t="shared" si="114"/>
        <v>C</v>
      </c>
      <c r="E455" s="199">
        <v>44258.333333333336</v>
      </c>
      <c r="F455" s="200" t="s">
        <v>80</v>
      </c>
      <c r="G455" s="201">
        <v>49054.65</v>
      </c>
      <c r="H455" s="201">
        <v>46341.15</v>
      </c>
      <c r="I455" s="202">
        <f t="shared" si="115"/>
        <v>2713.5</v>
      </c>
      <c r="J455" s="201">
        <v>89757.15</v>
      </c>
      <c r="K455" s="199">
        <v>44263.166666666664</v>
      </c>
      <c r="L455" s="201">
        <v>51561.919999999998</v>
      </c>
      <c r="M455" s="203">
        <f t="shared" si="116"/>
        <v>2507.27</v>
      </c>
      <c r="N455" s="204">
        <f t="shared" si="117"/>
        <v>0.92</v>
      </c>
      <c r="O455" s="205">
        <f t="shared" si="118"/>
        <v>0</v>
      </c>
      <c r="P455" s="206">
        <f t="shared" si="119"/>
        <v>0.92</v>
      </c>
      <c r="Q455" s="206">
        <f t="shared" si="120"/>
        <v>0</v>
      </c>
      <c r="R4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163830</v>
      </c>
      <c r="T4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55" s="208">
        <f ca="1">IF(Tabla33610673[[#This Row],[Equity]]&lt;Tabla33610673[[#This Row],[Equity Peak]],(Tabla33610673[[#This Row],[Equity Peak]]-Tabla33610673[[#This Row],[Equity]])/Tabla33610673[[#This Row],[Equity Peak]],"")</f>
        <v>2.7311049100516537E-2</v>
      </c>
      <c r="V455" s="209">
        <f t="shared" si="121"/>
        <v>0</v>
      </c>
      <c r="W455" s="209">
        <f t="shared" si="122"/>
        <v>0</v>
      </c>
      <c r="X455" s="209">
        <f t="shared" si="123"/>
        <v>0</v>
      </c>
      <c r="Y455" s="209">
        <f t="shared" si="124"/>
        <v>0</v>
      </c>
      <c r="Z455" s="209">
        <f t="shared" si="125"/>
        <v>0</v>
      </c>
      <c r="AA455" s="205">
        <f t="shared" si="126"/>
        <v>0</v>
      </c>
      <c r="AB455" s="209">
        <f t="shared" si="127"/>
        <v>0.92</v>
      </c>
      <c r="AC455" s="205">
        <f t="shared" si="128"/>
        <v>0</v>
      </c>
      <c r="AD455" s="210">
        <f t="shared" si="129"/>
        <v>4.8333333333284827</v>
      </c>
      <c r="AE455" s="210">
        <f t="shared" si="130"/>
        <v>4.8333333333284827</v>
      </c>
      <c r="AF455" s="210">
        <f t="shared" si="131"/>
        <v>0</v>
      </c>
      <c r="AG455" s="210">
        <f t="shared" si="132"/>
        <v>0</v>
      </c>
    </row>
    <row r="456" spans="2:33" ht="15" customHeight="1" x14ac:dyDescent="0.3">
      <c r="B456" s="196" t="s">
        <v>19</v>
      </c>
      <c r="C456" s="197" t="s">
        <v>13</v>
      </c>
      <c r="D456" s="198" t="str">
        <f t="shared" si="114"/>
        <v>C</v>
      </c>
      <c r="E456" s="199">
        <v>44256.708333333336</v>
      </c>
      <c r="F456" s="200" t="s">
        <v>89</v>
      </c>
      <c r="G456" s="201">
        <v>26.86</v>
      </c>
      <c r="H456" s="201">
        <v>27.728000000000002</v>
      </c>
      <c r="I456" s="202">
        <f t="shared" si="115"/>
        <v>0.8680000000000021</v>
      </c>
      <c r="J456" s="201">
        <v>22.693999999999999</v>
      </c>
      <c r="K456" s="199">
        <v>44263.15902777778</v>
      </c>
      <c r="L456" s="201">
        <v>25.837</v>
      </c>
      <c r="M456" s="203">
        <f t="shared" si="116"/>
        <v>1.0229999999999999</v>
      </c>
      <c r="N456" s="204">
        <f t="shared" si="117"/>
        <v>1.18</v>
      </c>
      <c r="O456" s="205">
        <f t="shared" si="118"/>
        <v>0</v>
      </c>
      <c r="P456" s="206">
        <f t="shared" si="119"/>
        <v>1.18</v>
      </c>
      <c r="Q456" s="206">
        <f t="shared" si="120"/>
        <v>0</v>
      </c>
      <c r="R4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162910</v>
      </c>
      <c r="T4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56" s="208">
        <f ca="1">IF(Tabla33610673[[#This Row],[Equity]]&lt;Tabla33610673[[#This Row],[Equity Peak]],(Tabla33610673[[#This Row],[Equity Peak]]-Tabla33610673[[#This Row],[Equity]])/Tabla33610673[[#This Row],[Equity Peak]],"")</f>
        <v>3.2773258920619844E-2</v>
      </c>
      <c r="V456" s="209">
        <f t="shared" si="121"/>
        <v>0</v>
      </c>
      <c r="W456" s="209">
        <f t="shared" si="122"/>
        <v>0</v>
      </c>
      <c r="X456" s="209">
        <f t="shared" si="123"/>
        <v>1.18</v>
      </c>
      <c r="Y456" s="209">
        <f t="shared" si="124"/>
        <v>0</v>
      </c>
      <c r="Z456" s="209">
        <f t="shared" si="125"/>
        <v>0</v>
      </c>
      <c r="AA456" s="205">
        <f t="shared" si="126"/>
        <v>0</v>
      </c>
      <c r="AB456" s="209">
        <f t="shared" si="127"/>
        <v>0</v>
      </c>
      <c r="AC456" s="205">
        <f t="shared" si="128"/>
        <v>0</v>
      </c>
      <c r="AD456" s="210">
        <f t="shared" si="129"/>
        <v>6.4506944444437977</v>
      </c>
      <c r="AE456" s="210">
        <f t="shared" si="130"/>
        <v>6.4506944444437977</v>
      </c>
      <c r="AF456" s="210">
        <f t="shared" si="131"/>
        <v>0</v>
      </c>
      <c r="AG456" s="210">
        <f t="shared" si="132"/>
        <v>0</v>
      </c>
    </row>
    <row r="457" spans="2:33" ht="15" customHeight="1" x14ac:dyDescent="0.3">
      <c r="B457" s="196" t="s">
        <v>7</v>
      </c>
      <c r="C457" s="197" t="s">
        <v>15</v>
      </c>
      <c r="D457" s="198" t="str">
        <f t="shared" si="114"/>
        <v>C</v>
      </c>
      <c r="E457" s="199">
        <v>44260.5</v>
      </c>
      <c r="F457" s="200" t="s">
        <v>121</v>
      </c>
      <c r="G457" s="201">
        <v>1.55396</v>
      </c>
      <c r="H457" s="201">
        <v>1.5450699999999999</v>
      </c>
      <c r="I457" s="202">
        <f t="shared" si="115"/>
        <v>8.8900000000000645E-3</v>
      </c>
      <c r="J457" s="201">
        <v>1.64883</v>
      </c>
      <c r="K457" s="199">
        <v>44263.068749999999</v>
      </c>
      <c r="L457" s="201">
        <v>1.5450699999999999</v>
      </c>
      <c r="M457" s="203">
        <f t="shared" si="116"/>
        <v>-8.8999999999999999E-3</v>
      </c>
      <c r="N457" s="204">
        <f t="shared" si="117"/>
        <v>-1</v>
      </c>
      <c r="O457" s="205">
        <f t="shared" si="118"/>
        <v>0</v>
      </c>
      <c r="P457" s="206">
        <f t="shared" si="119"/>
        <v>0</v>
      </c>
      <c r="Q457" s="206">
        <f t="shared" si="120"/>
        <v>-1</v>
      </c>
      <c r="R4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161730</v>
      </c>
      <c r="T4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57" s="208">
        <f ca="1">IF(Tabla33610673[[#This Row],[Equity]]&lt;Tabla33610673[[#This Row],[Equity Peak]],(Tabla33610673[[#This Row],[Equity Peak]]-Tabla33610673[[#This Row],[Equity]])/Tabla33610673[[#This Row],[Equity Peak]],"")</f>
        <v>3.9779136733361038E-2</v>
      </c>
      <c r="V457" s="209">
        <f t="shared" si="121"/>
        <v>-1</v>
      </c>
      <c r="W457" s="209">
        <f t="shared" si="122"/>
        <v>0</v>
      </c>
      <c r="X457" s="209">
        <f t="shared" si="123"/>
        <v>0</v>
      </c>
      <c r="Y457" s="209">
        <f t="shared" si="124"/>
        <v>0</v>
      </c>
      <c r="Z457" s="209">
        <f t="shared" si="125"/>
        <v>0</v>
      </c>
      <c r="AA457" s="205">
        <f t="shared" si="126"/>
        <v>0</v>
      </c>
      <c r="AB457" s="209">
        <f t="shared" si="127"/>
        <v>0</v>
      </c>
      <c r="AC457" s="205">
        <f t="shared" si="128"/>
        <v>0</v>
      </c>
      <c r="AD457" s="210">
        <f t="shared" si="129"/>
        <v>2.5687499999985448</v>
      </c>
      <c r="AE457" s="210">
        <f t="shared" si="130"/>
        <v>0</v>
      </c>
      <c r="AF457" s="210">
        <f t="shared" si="131"/>
        <v>2.5687499999985448</v>
      </c>
      <c r="AG457" s="210">
        <f t="shared" si="132"/>
        <v>0</v>
      </c>
    </row>
    <row r="458" spans="2:33" ht="15" customHeight="1" x14ac:dyDescent="0.3">
      <c r="B458" s="196" t="s">
        <v>5</v>
      </c>
      <c r="C458" s="197" t="s">
        <v>13</v>
      </c>
      <c r="D458" s="198" t="str">
        <f t="shared" si="114"/>
        <v>C</v>
      </c>
      <c r="E458" s="199">
        <v>44260.291666666664</v>
      </c>
      <c r="F458" s="200" t="s">
        <v>94</v>
      </c>
      <c r="G458" s="201">
        <v>6583.07</v>
      </c>
      <c r="H458" s="201">
        <v>6689.14</v>
      </c>
      <c r="I458" s="202">
        <f t="shared" si="115"/>
        <v>106.07000000000062</v>
      </c>
      <c r="J458" s="201">
        <v>6052.73</v>
      </c>
      <c r="K458" s="199">
        <v>44260.525694444441</v>
      </c>
      <c r="L458" s="201">
        <v>6662.62</v>
      </c>
      <c r="M458" s="203">
        <f t="shared" si="116"/>
        <v>-79.55</v>
      </c>
      <c r="N458" s="204">
        <f t="shared" si="117"/>
        <v>-0.75</v>
      </c>
      <c r="O458" s="205">
        <f t="shared" si="118"/>
        <v>0</v>
      </c>
      <c r="P458" s="206">
        <f t="shared" si="119"/>
        <v>0</v>
      </c>
      <c r="Q458" s="206">
        <f t="shared" si="120"/>
        <v>-0.75</v>
      </c>
      <c r="R4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162730</v>
      </c>
      <c r="T4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58" s="208">
        <f ca="1">IF(Tabla33610673[[#This Row],[Equity]]&lt;Tabla33610673[[#This Row],[Equity Peak]],(Tabla33610673[[#This Row],[Equity Peak]]-Tabla33610673[[#This Row],[Equity]])/Tabla33610673[[#This Row],[Equity Peak]],"")</f>
        <v>3.384195214629223E-2</v>
      </c>
      <c r="V458" s="209">
        <f t="shared" si="121"/>
        <v>0</v>
      </c>
      <c r="W458" s="209">
        <f t="shared" si="122"/>
        <v>0</v>
      </c>
      <c r="X458" s="209">
        <f t="shared" si="123"/>
        <v>0</v>
      </c>
      <c r="Y458" s="209">
        <f t="shared" si="124"/>
        <v>0</v>
      </c>
      <c r="Z458" s="209">
        <f t="shared" si="125"/>
        <v>-0.75</v>
      </c>
      <c r="AA458" s="205">
        <f t="shared" si="126"/>
        <v>0</v>
      </c>
      <c r="AB458" s="209">
        <f t="shared" si="127"/>
        <v>0</v>
      </c>
      <c r="AC458" s="205">
        <f t="shared" si="128"/>
        <v>0</v>
      </c>
      <c r="AD458" s="210">
        <f t="shared" si="129"/>
        <v>0.23402777777664596</v>
      </c>
      <c r="AE458" s="210">
        <f t="shared" si="130"/>
        <v>0</v>
      </c>
      <c r="AF458" s="210">
        <f t="shared" si="131"/>
        <v>0.23402777777664596</v>
      </c>
      <c r="AG458" s="210">
        <f t="shared" si="132"/>
        <v>0</v>
      </c>
    </row>
    <row r="459" spans="2:33" ht="15" customHeight="1" x14ac:dyDescent="0.3">
      <c r="B459" s="196" t="s">
        <v>5</v>
      </c>
      <c r="C459" s="197" t="s">
        <v>13</v>
      </c>
      <c r="D459" s="198" t="str">
        <f t="shared" si="114"/>
        <v>C</v>
      </c>
      <c r="E459" s="199">
        <v>44259.875</v>
      </c>
      <c r="F459" s="200" t="s">
        <v>93</v>
      </c>
      <c r="G459" s="201">
        <v>3722.46</v>
      </c>
      <c r="H459" s="201">
        <v>3774.36</v>
      </c>
      <c r="I459" s="202">
        <f t="shared" si="115"/>
        <v>51.900000000000091</v>
      </c>
      <c r="J459" s="201">
        <v>3584.06</v>
      </c>
      <c r="K459" s="199">
        <v>44259.912499999999</v>
      </c>
      <c r="L459" s="201">
        <v>3774.36</v>
      </c>
      <c r="M459" s="203">
        <f t="shared" si="116"/>
        <v>-51.9</v>
      </c>
      <c r="N459" s="204">
        <f t="shared" si="117"/>
        <v>-1</v>
      </c>
      <c r="O459" s="205">
        <f t="shared" si="118"/>
        <v>0</v>
      </c>
      <c r="P459" s="206">
        <f t="shared" si="119"/>
        <v>0</v>
      </c>
      <c r="Q459" s="206">
        <f t="shared" si="120"/>
        <v>-1</v>
      </c>
      <c r="R4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163480</v>
      </c>
      <c r="T4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59" s="208">
        <f ca="1">IF(Tabla33610673[[#This Row],[Equity]]&lt;Tabla33610673[[#This Row],[Equity Peak]],(Tabla33610673[[#This Row],[Equity Peak]]-Tabla33610673[[#This Row],[Equity]])/Tabla33610673[[#This Row],[Equity Peak]],"")</f>
        <v>2.938906370599062E-2</v>
      </c>
      <c r="V459" s="209">
        <f t="shared" si="121"/>
        <v>0</v>
      </c>
      <c r="W459" s="209">
        <f t="shared" si="122"/>
        <v>0</v>
      </c>
      <c r="X459" s="209">
        <f t="shared" si="123"/>
        <v>0</v>
      </c>
      <c r="Y459" s="209">
        <f t="shared" si="124"/>
        <v>0</v>
      </c>
      <c r="Z459" s="209">
        <f t="shared" si="125"/>
        <v>-1</v>
      </c>
      <c r="AA459" s="205">
        <f t="shared" si="126"/>
        <v>0</v>
      </c>
      <c r="AB459" s="209">
        <f t="shared" si="127"/>
        <v>0</v>
      </c>
      <c r="AC459" s="205">
        <f t="shared" si="128"/>
        <v>0</v>
      </c>
      <c r="AD459" s="210">
        <f t="shared" si="129"/>
        <v>3.7499999998544808E-2</v>
      </c>
      <c r="AE459" s="210">
        <f t="shared" si="130"/>
        <v>0</v>
      </c>
      <c r="AF459" s="210">
        <f t="shared" si="131"/>
        <v>3.7499999998544808E-2</v>
      </c>
      <c r="AG459" s="210">
        <f t="shared" si="132"/>
        <v>0</v>
      </c>
    </row>
    <row r="460" spans="2:33" ht="15" customHeight="1" x14ac:dyDescent="0.3">
      <c r="B460" s="196" t="s">
        <v>19</v>
      </c>
      <c r="C460" s="197" t="s">
        <v>15</v>
      </c>
      <c r="D460" s="198" t="str">
        <f t="shared" si="114"/>
        <v>C</v>
      </c>
      <c r="E460" s="199">
        <v>44259.791666666664</v>
      </c>
      <c r="F460" s="200" t="s">
        <v>108</v>
      </c>
      <c r="G460" s="201">
        <v>64.491</v>
      </c>
      <c r="H460" s="201">
        <v>62.929000000000002</v>
      </c>
      <c r="I460" s="202">
        <f t="shared" si="115"/>
        <v>1.5619999999999976</v>
      </c>
      <c r="J460" s="201">
        <v>83.230999999999995</v>
      </c>
      <c r="K460" s="199">
        <v>44259.875694444447</v>
      </c>
      <c r="L460" s="201">
        <v>63.514000000000003</v>
      </c>
      <c r="M460" s="203">
        <f t="shared" si="116"/>
        <v>-0.97699999999999998</v>
      </c>
      <c r="N460" s="204">
        <f t="shared" si="117"/>
        <v>-0.63</v>
      </c>
      <c r="O460" s="205">
        <f t="shared" si="118"/>
        <v>0</v>
      </c>
      <c r="P460" s="206">
        <f t="shared" si="119"/>
        <v>0</v>
      </c>
      <c r="Q460" s="206">
        <f t="shared" si="120"/>
        <v>-0.63</v>
      </c>
      <c r="R4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164480</v>
      </c>
      <c r="T4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0" s="208">
        <f ca="1">IF(Tabla33610673[[#This Row],[Equity]]&lt;Tabla33610673[[#This Row],[Equity Peak]],(Tabla33610673[[#This Row],[Equity Peak]]-Tabla33610673[[#This Row],[Equity]])/Tabla33610673[[#This Row],[Equity Peak]],"")</f>
        <v>2.3451879118921808E-2</v>
      </c>
      <c r="V460" s="209">
        <f t="shared" si="121"/>
        <v>0</v>
      </c>
      <c r="W460" s="209">
        <f t="shared" si="122"/>
        <v>0</v>
      </c>
      <c r="X460" s="209">
        <f t="shared" si="123"/>
        <v>-0.63</v>
      </c>
      <c r="Y460" s="209">
        <f t="shared" si="124"/>
        <v>0</v>
      </c>
      <c r="Z460" s="209">
        <f t="shared" si="125"/>
        <v>0</v>
      </c>
      <c r="AA460" s="205">
        <f t="shared" si="126"/>
        <v>0</v>
      </c>
      <c r="AB460" s="209">
        <f t="shared" si="127"/>
        <v>0</v>
      </c>
      <c r="AC460" s="205">
        <f t="shared" si="128"/>
        <v>0</v>
      </c>
      <c r="AD460" s="210">
        <f t="shared" si="129"/>
        <v>8.4027777782466728E-2</v>
      </c>
      <c r="AE460" s="210">
        <f t="shared" si="130"/>
        <v>0</v>
      </c>
      <c r="AF460" s="210">
        <f t="shared" si="131"/>
        <v>8.4027777782466728E-2</v>
      </c>
      <c r="AG460" s="210">
        <f t="shared" si="132"/>
        <v>0</v>
      </c>
    </row>
    <row r="461" spans="2:33" ht="15" customHeight="1" x14ac:dyDescent="0.3">
      <c r="B461" s="196" t="s">
        <v>5</v>
      </c>
      <c r="C461" s="197" t="s">
        <v>15</v>
      </c>
      <c r="D461" s="198" t="str">
        <f t="shared" si="114"/>
        <v>C</v>
      </c>
      <c r="E461" s="199">
        <v>44258.125</v>
      </c>
      <c r="F461" s="200" t="s">
        <v>94</v>
      </c>
      <c r="G461" s="201">
        <v>6633.71</v>
      </c>
      <c r="H461" s="201">
        <v>6505.11</v>
      </c>
      <c r="I461" s="202">
        <f t="shared" si="115"/>
        <v>128.60000000000036</v>
      </c>
      <c r="J461" s="201">
        <v>7276.7</v>
      </c>
      <c r="K461" s="199">
        <v>44259.181944444441</v>
      </c>
      <c r="L461" s="201">
        <v>6615.57</v>
      </c>
      <c r="M461" s="203">
        <f t="shared" si="116"/>
        <v>-18.14</v>
      </c>
      <c r="N461" s="204">
        <f t="shared" si="117"/>
        <v>-0.14000000000000001</v>
      </c>
      <c r="O461" s="205">
        <f t="shared" si="118"/>
        <v>0</v>
      </c>
      <c r="P461" s="206">
        <f t="shared" si="119"/>
        <v>0</v>
      </c>
      <c r="Q461" s="206">
        <f t="shared" si="120"/>
        <v>-0.14000000000000001</v>
      </c>
      <c r="R4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165110</v>
      </c>
      <c r="T4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1" s="208">
        <f ca="1">IF(Tabla33610673[[#This Row],[Equity]]&lt;Tabla33610673[[#This Row],[Equity Peak]],(Tabla33610673[[#This Row],[Equity Peak]]-Tabla33610673[[#This Row],[Equity]])/Tabla33610673[[#This Row],[Equity Peak]],"")</f>
        <v>1.9711452829068457E-2</v>
      </c>
      <c r="V461" s="209">
        <f t="shared" si="121"/>
        <v>0</v>
      </c>
      <c r="W461" s="209">
        <f t="shared" si="122"/>
        <v>0</v>
      </c>
      <c r="X461" s="209">
        <f t="shared" si="123"/>
        <v>0</v>
      </c>
      <c r="Y461" s="209">
        <f t="shared" si="124"/>
        <v>0</v>
      </c>
      <c r="Z461" s="209">
        <f t="shared" si="125"/>
        <v>-0.14000000000000001</v>
      </c>
      <c r="AA461" s="205">
        <f t="shared" si="126"/>
        <v>0</v>
      </c>
      <c r="AB461" s="209">
        <f t="shared" si="127"/>
        <v>0</v>
      </c>
      <c r="AC461" s="205">
        <f t="shared" si="128"/>
        <v>0</v>
      </c>
      <c r="AD461" s="210">
        <f t="shared" si="129"/>
        <v>1.0569444444408873</v>
      </c>
      <c r="AE461" s="210">
        <f t="shared" si="130"/>
        <v>0</v>
      </c>
      <c r="AF461" s="210">
        <f t="shared" si="131"/>
        <v>1.0569444444408873</v>
      </c>
      <c r="AG461" s="210">
        <f t="shared" si="132"/>
        <v>0</v>
      </c>
    </row>
    <row r="462" spans="2:33" ht="15" customHeight="1" x14ac:dyDescent="0.3">
      <c r="B462" s="196" t="s">
        <v>7</v>
      </c>
      <c r="C462" s="197" t="s">
        <v>13</v>
      </c>
      <c r="D462" s="198" t="str">
        <f t="shared" si="114"/>
        <v>C</v>
      </c>
      <c r="E462" s="199">
        <v>44257.5</v>
      </c>
      <c r="F462" s="200" t="s">
        <v>121</v>
      </c>
      <c r="G462" s="201">
        <v>1.54833</v>
      </c>
      <c r="H462" s="201">
        <v>1.55837</v>
      </c>
      <c r="I462" s="202">
        <f t="shared" si="115"/>
        <v>1.0040000000000049E-2</v>
      </c>
      <c r="J462" s="201">
        <v>1.4412100000000001</v>
      </c>
      <c r="K462" s="199">
        <v>44259.01666666667</v>
      </c>
      <c r="L462" s="201">
        <v>1.55227</v>
      </c>
      <c r="M462" s="203">
        <f t="shared" si="116"/>
        <v>-3.8999999999999998E-3</v>
      </c>
      <c r="N462" s="204">
        <f t="shared" si="117"/>
        <v>-0.39</v>
      </c>
      <c r="O462" s="205">
        <f t="shared" si="118"/>
        <v>0</v>
      </c>
      <c r="P462" s="206">
        <f t="shared" si="119"/>
        <v>0</v>
      </c>
      <c r="Q462" s="206">
        <f t="shared" si="120"/>
        <v>-0.39</v>
      </c>
      <c r="R4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165250</v>
      </c>
      <c r="T4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2" s="208">
        <f ca="1">IF(Tabla33610673[[#This Row],[Equity]]&lt;Tabla33610673[[#This Row],[Equity Peak]],(Tabla33610673[[#This Row],[Equity Peak]]-Tabla33610673[[#This Row],[Equity]])/Tabla33610673[[#This Row],[Equity Peak]],"")</f>
        <v>1.8880246986878822E-2</v>
      </c>
      <c r="V462" s="209">
        <f t="shared" si="121"/>
        <v>-0.39</v>
      </c>
      <c r="W462" s="209">
        <f t="shared" si="122"/>
        <v>0</v>
      </c>
      <c r="X462" s="209">
        <f t="shared" si="123"/>
        <v>0</v>
      </c>
      <c r="Y462" s="209">
        <f t="shared" si="124"/>
        <v>0</v>
      </c>
      <c r="Z462" s="209">
        <f t="shared" si="125"/>
        <v>0</v>
      </c>
      <c r="AA462" s="205">
        <f t="shared" si="126"/>
        <v>0</v>
      </c>
      <c r="AB462" s="209">
        <f t="shared" si="127"/>
        <v>0</v>
      </c>
      <c r="AC462" s="205">
        <f t="shared" si="128"/>
        <v>0</v>
      </c>
      <c r="AD462" s="210">
        <f t="shared" si="129"/>
        <v>1.5166666666700621</v>
      </c>
      <c r="AE462" s="210">
        <f t="shared" si="130"/>
        <v>0</v>
      </c>
      <c r="AF462" s="210">
        <f t="shared" si="131"/>
        <v>1.5166666666700621</v>
      </c>
      <c r="AG462" s="210">
        <f t="shared" si="132"/>
        <v>0</v>
      </c>
    </row>
    <row r="463" spans="2:33" ht="15" customHeight="1" x14ac:dyDescent="0.3">
      <c r="B463" s="196" t="s">
        <v>84</v>
      </c>
      <c r="C463" s="197" t="s">
        <v>13</v>
      </c>
      <c r="D463" s="198" t="str">
        <f t="shared" si="114"/>
        <v>C</v>
      </c>
      <c r="E463" s="199">
        <v>44257.833333333336</v>
      </c>
      <c r="F463" s="200" t="s">
        <v>80</v>
      </c>
      <c r="G463" s="201">
        <v>47825.55</v>
      </c>
      <c r="H463" s="201">
        <v>50970.28</v>
      </c>
      <c r="I463" s="202">
        <f t="shared" si="115"/>
        <v>3144.7299999999959</v>
      </c>
      <c r="J463" s="201">
        <v>654.62</v>
      </c>
      <c r="K463" s="199">
        <v>44258.333333333336</v>
      </c>
      <c r="L463" s="201">
        <v>49054.65</v>
      </c>
      <c r="M463" s="203">
        <f t="shared" si="116"/>
        <v>-1229.0999999999999</v>
      </c>
      <c r="N463" s="204">
        <f t="shared" si="117"/>
        <v>-0.39</v>
      </c>
      <c r="O463" s="205">
        <f t="shared" si="118"/>
        <v>0</v>
      </c>
      <c r="P463" s="206">
        <f t="shared" si="119"/>
        <v>0</v>
      </c>
      <c r="Q463" s="206">
        <f t="shared" si="120"/>
        <v>-0.39</v>
      </c>
      <c r="R4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165640</v>
      </c>
      <c r="T4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3" s="208">
        <f ca="1">IF(Tabla33610673[[#This Row],[Equity]]&lt;Tabla33610673[[#This Row],[Equity Peak]],(Tabla33610673[[#This Row],[Equity Peak]]-Tabla33610673[[#This Row],[Equity]])/Tabla33610673[[#This Row],[Equity Peak]],"")</f>
        <v>1.6564744997921984E-2</v>
      </c>
      <c r="V463" s="209">
        <f t="shared" si="121"/>
        <v>0</v>
      </c>
      <c r="W463" s="209">
        <f t="shared" si="122"/>
        <v>0</v>
      </c>
      <c r="X463" s="209">
        <f t="shared" si="123"/>
        <v>0</v>
      </c>
      <c r="Y463" s="209">
        <f t="shared" si="124"/>
        <v>0</v>
      </c>
      <c r="Z463" s="209">
        <f t="shared" si="125"/>
        <v>0</v>
      </c>
      <c r="AA463" s="205">
        <f t="shared" si="126"/>
        <v>0</v>
      </c>
      <c r="AB463" s="209">
        <f t="shared" si="127"/>
        <v>-0.39</v>
      </c>
      <c r="AC463" s="205">
        <f t="shared" si="128"/>
        <v>0</v>
      </c>
      <c r="AD463" s="210">
        <f t="shared" si="129"/>
        <v>0.5</v>
      </c>
      <c r="AE463" s="210">
        <f t="shared" si="130"/>
        <v>0</v>
      </c>
      <c r="AF463" s="210">
        <f t="shared" si="131"/>
        <v>0.5</v>
      </c>
      <c r="AG463" s="210">
        <f t="shared" si="132"/>
        <v>0</v>
      </c>
    </row>
    <row r="464" spans="2:33" ht="15" customHeight="1" x14ac:dyDescent="0.3">
      <c r="B464" s="196" t="s">
        <v>84</v>
      </c>
      <c r="C464" s="197" t="s">
        <v>15</v>
      </c>
      <c r="D464" s="198" t="str">
        <f t="shared" si="114"/>
        <v>C</v>
      </c>
      <c r="E464" s="199">
        <v>44257.333333333336</v>
      </c>
      <c r="F464" s="200" t="s">
        <v>80</v>
      </c>
      <c r="G464" s="201">
        <v>48659.65</v>
      </c>
      <c r="H464" s="201">
        <v>45029.48</v>
      </c>
      <c r="I464" s="202">
        <f t="shared" si="115"/>
        <v>3630.1699999999983</v>
      </c>
      <c r="J464" s="201">
        <v>103112.22</v>
      </c>
      <c r="K464" s="199">
        <v>44257.833333333336</v>
      </c>
      <c r="L464" s="201">
        <v>47825.55</v>
      </c>
      <c r="M464" s="203">
        <f t="shared" si="116"/>
        <v>-834.1</v>
      </c>
      <c r="N464" s="204">
        <f t="shared" si="117"/>
        <v>-0.23</v>
      </c>
      <c r="O464" s="205">
        <f t="shared" si="118"/>
        <v>0</v>
      </c>
      <c r="P464" s="206">
        <f t="shared" si="119"/>
        <v>0</v>
      </c>
      <c r="Q464" s="206">
        <f t="shared" si="120"/>
        <v>-0.23</v>
      </c>
      <c r="R4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166030</v>
      </c>
      <c r="T4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4" s="208">
        <f ca="1">IF(Tabla33610673[[#This Row],[Equity]]&lt;Tabla33610673[[#This Row],[Equity Peak]],(Tabla33610673[[#This Row],[Equity Peak]]-Tabla33610673[[#This Row],[Equity]])/Tabla33610673[[#This Row],[Equity Peak]],"")</f>
        <v>1.4249243008965148E-2</v>
      </c>
      <c r="V464" s="209">
        <f t="shared" si="121"/>
        <v>0</v>
      </c>
      <c r="W464" s="209">
        <f t="shared" si="122"/>
        <v>0</v>
      </c>
      <c r="X464" s="209">
        <f t="shared" si="123"/>
        <v>0</v>
      </c>
      <c r="Y464" s="209">
        <f t="shared" si="124"/>
        <v>0</v>
      </c>
      <c r="Z464" s="209">
        <f t="shared" si="125"/>
        <v>0</v>
      </c>
      <c r="AA464" s="205">
        <f t="shared" si="126"/>
        <v>0</v>
      </c>
      <c r="AB464" s="209">
        <f t="shared" si="127"/>
        <v>-0.23</v>
      </c>
      <c r="AC464" s="205">
        <f t="shared" si="128"/>
        <v>0</v>
      </c>
      <c r="AD464" s="210">
        <f t="shared" si="129"/>
        <v>0.5</v>
      </c>
      <c r="AE464" s="210">
        <f t="shared" si="130"/>
        <v>0</v>
      </c>
      <c r="AF464" s="210">
        <f t="shared" si="131"/>
        <v>0.5</v>
      </c>
      <c r="AG464" s="210">
        <f t="shared" si="132"/>
        <v>0</v>
      </c>
    </row>
    <row r="465" spans="2:33" ht="15" customHeight="1" x14ac:dyDescent="0.3">
      <c r="B465" s="196" t="s">
        <v>5</v>
      </c>
      <c r="C465" s="197" t="s">
        <v>15</v>
      </c>
      <c r="D465" s="198" t="str">
        <f t="shared" ref="D465:D528" si="133">IF(E465&lt;&gt;"",IF(K465&lt;&gt;"","C","O"),"")</f>
        <v>C</v>
      </c>
      <c r="E465" s="199">
        <v>44256.875</v>
      </c>
      <c r="F465" s="200" t="s">
        <v>95</v>
      </c>
      <c r="G465" s="201">
        <v>31578.11</v>
      </c>
      <c r="H465" s="201">
        <v>31343.32</v>
      </c>
      <c r="I465" s="202">
        <f t="shared" ref="I465:I528" si="134">ABS(G465-H465)</f>
        <v>234.79000000000087</v>
      </c>
      <c r="J465" s="201">
        <v>32517.279999999999</v>
      </c>
      <c r="K465" s="199">
        <v>44257.461111111108</v>
      </c>
      <c r="L465" s="201">
        <v>31343.32</v>
      </c>
      <c r="M465" s="203">
        <f t="shared" ref="M465:M528" si="135">ROUND(IF(C465="L",(L465-G465),(G465-L465)),4)</f>
        <v>-234.79</v>
      </c>
      <c r="N465" s="204">
        <f t="shared" ref="N465:N528" si="136">IFERROR(ROUND((M465/I465),2),"")</f>
        <v>-1</v>
      </c>
      <c r="O465" s="205">
        <f t="shared" ref="O465:O528" si="137">IF(D465="O",IF(N465&lt;0,N465,0),0)</f>
        <v>0</v>
      </c>
      <c r="P465" s="206">
        <f t="shared" ref="P465:P528" si="138">IF(N465&gt;= 0,N465,0)</f>
        <v>0</v>
      </c>
      <c r="Q465" s="206">
        <f t="shared" ref="Q465:Q528" si="139">IF(N465&lt;0,N465,0)</f>
        <v>-1</v>
      </c>
      <c r="R4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166260</v>
      </c>
      <c r="T4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5" s="208">
        <f ca="1">IF(Tabla33610673[[#This Row],[Equity]]&lt;Tabla33610673[[#This Row],[Equity Peak]],(Tabla33610673[[#This Row],[Equity Peak]]-Tabla33610673[[#This Row],[Equity]])/Tabla33610673[[#This Row],[Equity Peak]],"")</f>
        <v>1.2883690553939321E-2</v>
      </c>
      <c r="V465" s="209">
        <f t="shared" ref="V465:V528" si="140">IF(B465="FX",N465,0)</f>
        <v>0</v>
      </c>
      <c r="W465" s="209">
        <f t="shared" ref="W465:W528" si="141">IF(D465="O",IF(V465&lt;0,V465,0),0)</f>
        <v>0</v>
      </c>
      <c r="X465" s="209">
        <f t="shared" ref="X465:X528" si="142">IF(B465="COM",N465,0)</f>
        <v>0</v>
      </c>
      <c r="Y465" s="209">
        <f t="shared" ref="Y465:Y528" si="143">IF(D465="O",IF(X465&lt;0,X465,0),0)</f>
        <v>0</v>
      </c>
      <c r="Z465" s="209">
        <f t="shared" ref="Z465:Z528" si="144">IF(B465="IND",N465,0)</f>
        <v>-1</v>
      </c>
      <c r="AA465" s="205">
        <f t="shared" ref="AA465:AA528" si="145">IF(D465="O",IF(Z465&lt;0,Z465,0),0)</f>
        <v>0</v>
      </c>
      <c r="AB465" s="209">
        <f t="shared" ref="AB465:AB528" si="146">IF(B465="CRYPTO",N465,0)</f>
        <v>0</v>
      </c>
      <c r="AC465" s="205">
        <f t="shared" ref="AC465:AC528" si="147">IF(D465="O",IF(AB465&lt;0,AB465,0),0)</f>
        <v>0</v>
      </c>
      <c r="AD465" s="210">
        <f t="shared" ref="AD465:AD528" si="148">IF(K465&lt;&gt;"",K465-E465,0)</f>
        <v>0.58611111110803904</v>
      </c>
      <c r="AE465" s="210">
        <f t="shared" ref="AE465:AE528" si="149">IF(N465&gt;0,AD465,0)</f>
        <v>0</v>
      </c>
      <c r="AF465" s="210">
        <f t="shared" ref="AF465:AF528" si="150">IF(N465&lt;0,AD465,0)</f>
        <v>0.58611111110803904</v>
      </c>
      <c r="AG465" s="210">
        <f t="shared" ref="AG465:AG528" si="151">IF(N465=0,AD465,0)</f>
        <v>0</v>
      </c>
    </row>
    <row r="466" spans="2:33" ht="15" customHeight="1" x14ac:dyDescent="0.3">
      <c r="B466" s="196" t="s">
        <v>84</v>
      </c>
      <c r="C466" s="197" t="s">
        <v>15</v>
      </c>
      <c r="D466" s="198" t="str">
        <f t="shared" si="133"/>
        <v>C</v>
      </c>
      <c r="E466" s="199">
        <v>44235.666666666664</v>
      </c>
      <c r="F466" s="200" t="s">
        <v>80</v>
      </c>
      <c r="G466" s="201">
        <v>42965.15</v>
      </c>
      <c r="H466" s="201">
        <v>40260.75</v>
      </c>
      <c r="I466" s="202">
        <f t="shared" si="134"/>
        <v>2704.4000000000015</v>
      </c>
      <c r="J466" s="201">
        <v>83531.149999999994</v>
      </c>
      <c r="K466" s="199">
        <v>44257.333333333336</v>
      </c>
      <c r="L466" s="201">
        <v>48659.65</v>
      </c>
      <c r="M466" s="203">
        <f t="shared" si="135"/>
        <v>5694.5</v>
      </c>
      <c r="N466" s="204">
        <f t="shared" si="136"/>
        <v>2.11</v>
      </c>
      <c r="O466" s="205">
        <f t="shared" si="137"/>
        <v>0</v>
      </c>
      <c r="P466" s="206">
        <f t="shared" si="138"/>
        <v>2.11</v>
      </c>
      <c r="Q466" s="206">
        <f t="shared" si="139"/>
        <v>0</v>
      </c>
      <c r="R4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167260</v>
      </c>
      <c r="T4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6" s="208">
        <f ca="1">IF(Tabla33610673[[#This Row],[Equity]]&lt;Tabla33610673[[#This Row],[Equity Peak]],(Tabla33610673[[#This Row],[Equity Peak]]-Tabla33610673[[#This Row],[Equity]])/Tabla33610673[[#This Row],[Equity Peak]],"")</f>
        <v>6.9465059668705103E-3</v>
      </c>
      <c r="V466" s="209">
        <f t="shared" si="140"/>
        <v>0</v>
      </c>
      <c r="W466" s="209">
        <f t="shared" si="141"/>
        <v>0</v>
      </c>
      <c r="X466" s="209">
        <f t="shared" si="142"/>
        <v>0</v>
      </c>
      <c r="Y466" s="209">
        <f t="shared" si="143"/>
        <v>0</v>
      </c>
      <c r="Z466" s="209">
        <f t="shared" si="144"/>
        <v>0</v>
      </c>
      <c r="AA466" s="205">
        <f t="shared" si="145"/>
        <v>0</v>
      </c>
      <c r="AB466" s="209">
        <f t="shared" si="146"/>
        <v>2.11</v>
      </c>
      <c r="AC466" s="205">
        <f t="shared" si="147"/>
        <v>0</v>
      </c>
      <c r="AD466" s="210">
        <f t="shared" si="148"/>
        <v>21.666666666671517</v>
      </c>
      <c r="AE466" s="210">
        <f t="shared" si="149"/>
        <v>21.666666666671517</v>
      </c>
      <c r="AF466" s="210">
        <f t="shared" si="150"/>
        <v>0</v>
      </c>
      <c r="AG466" s="210">
        <f t="shared" si="151"/>
        <v>0</v>
      </c>
    </row>
    <row r="467" spans="2:33" ht="15" customHeight="1" x14ac:dyDescent="0.3">
      <c r="B467" s="196" t="s">
        <v>7</v>
      </c>
      <c r="C467" s="197" t="s">
        <v>15</v>
      </c>
      <c r="D467" s="198" t="str">
        <f t="shared" si="133"/>
        <v>C</v>
      </c>
      <c r="E467" s="199">
        <v>44253.833333333336</v>
      </c>
      <c r="F467" s="200" t="s">
        <v>117</v>
      </c>
      <c r="G467" s="201">
        <v>1.80586</v>
      </c>
      <c r="H467" s="201">
        <v>1.79125</v>
      </c>
      <c r="I467" s="202">
        <f t="shared" si="134"/>
        <v>1.4610000000000012E-2</v>
      </c>
      <c r="J467" s="201">
        <v>1.8545499999999999</v>
      </c>
      <c r="K467" s="199">
        <v>44256.631249999999</v>
      </c>
      <c r="L467" s="201">
        <v>1.7984599999999999</v>
      </c>
      <c r="M467" s="203">
        <f t="shared" si="135"/>
        <v>-7.4000000000000003E-3</v>
      </c>
      <c r="N467" s="204">
        <f t="shared" si="136"/>
        <v>-0.51</v>
      </c>
      <c r="O467" s="205">
        <f t="shared" si="137"/>
        <v>0</v>
      </c>
      <c r="P467" s="206">
        <f t="shared" si="138"/>
        <v>0</v>
      </c>
      <c r="Q467" s="206">
        <f t="shared" si="139"/>
        <v>-0.51</v>
      </c>
      <c r="R4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165150</v>
      </c>
      <c r="T4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7" s="208">
        <f ca="1">IF(Tabla33610673[[#This Row],[Equity]]&lt;Tabla33610673[[#This Row],[Equity Peak]],(Tabla33610673[[#This Row],[Equity Peak]]-Tabla33610673[[#This Row],[Equity]])/Tabla33610673[[#This Row],[Equity Peak]],"")</f>
        <v>1.9473965445585703E-2</v>
      </c>
      <c r="V467" s="209">
        <f t="shared" si="140"/>
        <v>-0.51</v>
      </c>
      <c r="W467" s="209">
        <f t="shared" si="141"/>
        <v>0</v>
      </c>
      <c r="X467" s="209">
        <f t="shared" si="142"/>
        <v>0</v>
      </c>
      <c r="Y467" s="209">
        <f t="shared" si="143"/>
        <v>0</v>
      </c>
      <c r="Z467" s="209">
        <f t="shared" si="144"/>
        <v>0</v>
      </c>
      <c r="AA467" s="205">
        <f t="shared" si="145"/>
        <v>0</v>
      </c>
      <c r="AB467" s="209">
        <f t="shared" si="146"/>
        <v>0</v>
      </c>
      <c r="AC467" s="205">
        <f t="shared" si="147"/>
        <v>0</v>
      </c>
      <c r="AD467" s="210">
        <f t="shared" si="148"/>
        <v>2.7979166666627862</v>
      </c>
      <c r="AE467" s="210">
        <f t="shared" si="149"/>
        <v>0</v>
      </c>
      <c r="AF467" s="210">
        <f t="shared" si="150"/>
        <v>2.7979166666627862</v>
      </c>
      <c r="AG467" s="210">
        <f t="shared" si="151"/>
        <v>0</v>
      </c>
    </row>
    <row r="468" spans="2:33" ht="15" customHeight="1" x14ac:dyDescent="0.3">
      <c r="B468" s="196" t="s">
        <v>5</v>
      </c>
      <c r="C468" s="197" t="s">
        <v>13</v>
      </c>
      <c r="D468" s="198" t="str">
        <f t="shared" si="133"/>
        <v>C</v>
      </c>
      <c r="E468" s="199">
        <v>44253.291666666664</v>
      </c>
      <c r="F468" s="200" t="s">
        <v>94</v>
      </c>
      <c r="G468" s="201">
        <v>6579.93</v>
      </c>
      <c r="H468" s="201">
        <v>6681.43</v>
      </c>
      <c r="I468" s="202">
        <f t="shared" si="134"/>
        <v>101.5</v>
      </c>
      <c r="J468" s="201">
        <v>6072.45</v>
      </c>
      <c r="K468" s="199">
        <v>44256.42291666667</v>
      </c>
      <c r="L468" s="201">
        <v>6584.93</v>
      </c>
      <c r="M468" s="203">
        <f t="shared" si="135"/>
        <v>-5</v>
      </c>
      <c r="N468" s="204">
        <f t="shared" si="136"/>
        <v>-0.05</v>
      </c>
      <c r="O468" s="205">
        <f t="shared" si="137"/>
        <v>0</v>
      </c>
      <c r="P468" s="206">
        <f t="shared" si="138"/>
        <v>0</v>
      </c>
      <c r="Q468" s="206">
        <f t="shared" si="139"/>
        <v>-0.05</v>
      </c>
      <c r="R4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165660</v>
      </c>
      <c r="T4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8" s="208">
        <f ca="1">IF(Tabla33610673[[#This Row],[Equity]]&lt;Tabla33610673[[#This Row],[Equity Peak]],(Tabla33610673[[#This Row],[Equity Peak]]-Tabla33610673[[#This Row],[Equity]])/Tabla33610673[[#This Row],[Equity Peak]],"")</f>
        <v>1.644600130618061E-2</v>
      </c>
      <c r="V468" s="209">
        <f t="shared" si="140"/>
        <v>0</v>
      </c>
      <c r="W468" s="209">
        <f t="shared" si="141"/>
        <v>0</v>
      </c>
      <c r="X468" s="209">
        <f t="shared" si="142"/>
        <v>0</v>
      </c>
      <c r="Y468" s="209">
        <f t="shared" si="143"/>
        <v>0</v>
      </c>
      <c r="Z468" s="209">
        <f t="shared" si="144"/>
        <v>-0.05</v>
      </c>
      <c r="AA468" s="205">
        <f t="shared" si="145"/>
        <v>0</v>
      </c>
      <c r="AB468" s="209">
        <f t="shared" si="146"/>
        <v>0</v>
      </c>
      <c r="AC468" s="205">
        <f t="shared" si="147"/>
        <v>0</v>
      </c>
      <c r="AD468" s="210">
        <f t="shared" si="148"/>
        <v>3.1312500000058208</v>
      </c>
      <c r="AE468" s="210">
        <f t="shared" si="149"/>
        <v>0</v>
      </c>
      <c r="AF468" s="210">
        <f t="shared" si="150"/>
        <v>3.1312500000058208</v>
      </c>
      <c r="AG468" s="210">
        <f t="shared" si="151"/>
        <v>0</v>
      </c>
    </row>
    <row r="469" spans="2:33" ht="15" customHeight="1" x14ac:dyDescent="0.3">
      <c r="B469" s="196" t="s">
        <v>7</v>
      </c>
      <c r="C469" s="197" t="s">
        <v>15</v>
      </c>
      <c r="D469" s="198" t="str">
        <f t="shared" si="133"/>
        <v>C</v>
      </c>
      <c r="E469" s="199">
        <v>44253.666666666664</v>
      </c>
      <c r="F469" s="200" t="s">
        <v>121</v>
      </c>
      <c r="G469" s="201">
        <v>1.5572600000000001</v>
      </c>
      <c r="H469" s="201">
        <v>1.5480499999999999</v>
      </c>
      <c r="I469" s="202">
        <f t="shared" si="134"/>
        <v>9.2100000000001625E-3</v>
      </c>
      <c r="J469" s="201">
        <v>1.6554899999999999</v>
      </c>
      <c r="K469" s="199">
        <v>44256.386111111111</v>
      </c>
      <c r="L469" s="201">
        <v>1.55508</v>
      </c>
      <c r="M469" s="203">
        <f t="shared" si="135"/>
        <v>-2.2000000000000001E-3</v>
      </c>
      <c r="N469" s="204">
        <f t="shared" si="136"/>
        <v>-0.24</v>
      </c>
      <c r="O469" s="205">
        <f t="shared" si="137"/>
        <v>0</v>
      </c>
      <c r="P469" s="206">
        <f t="shared" si="138"/>
        <v>0</v>
      </c>
      <c r="Q469" s="206">
        <f t="shared" si="139"/>
        <v>-0.24</v>
      </c>
      <c r="R4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165710</v>
      </c>
      <c r="T4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69" s="208">
        <f ca="1">IF(Tabla33610673[[#This Row],[Equity]]&lt;Tabla33610673[[#This Row],[Equity Peak]],(Tabla33610673[[#This Row],[Equity Peak]]-Tabla33610673[[#This Row],[Equity]])/Tabla33610673[[#This Row],[Equity Peak]],"")</f>
        <v>1.6149142076827168E-2</v>
      </c>
      <c r="V469" s="209">
        <f t="shared" si="140"/>
        <v>-0.24</v>
      </c>
      <c r="W469" s="209">
        <f t="shared" si="141"/>
        <v>0</v>
      </c>
      <c r="X469" s="209">
        <f t="shared" si="142"/>
        <v>0</v>
      </c>
      <c r="Y469" s="209">
        <f t="shared" si="143"/>
        <v>0</v>
      </c>
      <c r="Z469" s="209">
        <f t="shared" si="144"/>
        <v>0</v>
      </c>
      <c r="AA469" s="205">
        <f t="shared" si="145"/>
        <v>0</v>
      </c>
      <c r="AB469" s="209">
        <f t="shared" si="146"/>
        <v>0</v>
      </c>
      <c r="AC469" s="205">
        <f t="shared" si="147"/>
        <v>0</v>
      </c>
      <c r="AD469" s="210">
        <f t="shared" si="148"/>
        <v>2.7194444444467081</v>
      </c>
      <c r="AE469" s="210">
        <f t="shared" si="149"/>
        <v>0</v>
      </c>
      <c r="AF469" s="210">
        <f t="shared" si="150"/>
        <v>2.7194444444467081</v>
      </c>
      <c r="AG469" s="210">
        <f t="shared" si="151"/>
        <v>0</v>
      </c>
    </row>
    <row r="470" spans="2:33" ht="15" customHeight="1" x14ac:dyDescent="0.3">
      <c r="B470" s="196" t="s">
        <v>5</v>
      </c>
      <c r="C470" s="197" t="s">
        <v>13</v>
      </c>
      <c r="D470" s="198" t="str">
        <f t="shared" si="133"/>
        <v>C</v>
      </c>
      <c r="E470" s="199">
        <v>44253.201388888891</v>
      </c>
      <c r="F470" s="200" t="s">
        <v>90</v>
      </c>
      <c r="G470" s="201">
        <v>6691.15</v>
      </c>
      <c r="H470" s="201">
        <v>6754.94</v>
      </c>
      <c r="I470" s="202">
        <f t="shared" si="134"/>
        <v>63.789999999999964</v>
      </c>
      <c r="J470" s="201">
        <v>5840.56</v>
      </c>
      <c r="K470" s="199">
        <v>44256.09097222222</v>
      </c>
      <c r="L470" s="201">
        <v>6754.94</v>
      </c>
      <c r="M470" s="203">
        <f t="shared" si="135"/>
        <v>-63.79</v>
      </c>
      <c r="N470" s="204">
        <f t="shared" si="136"/>
        <v>-1</v>
      </c>
      <c r="O470" s="205">
        <f t="shared" si="137"/>
        <v>0</v>
      </c>
      <c r="P470" s="206">
        <f t="shared" si="138"/>
        <v>0</v>
      </c>
      <c r="Q470" s="206">
        <f t="shared" si="139"/>
        <v>-1</v>
      </c>
      <c r="R4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165950</v>
      </c>
      <c r="T4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70" s="208">
        <f ca="1">IF(Tabla33610673[[#This Row],[Equity]]&lt;Tabla33610673[[#This Row],[Equity Peak]],(Tabla33610673[[#This Row],[Equity Peak]]-Tabla33610673[[#This Row],[Equity]])/Tabla33610673[[#This Row],[Equity Peak]],"")</f>
        <v>1.4724217775930654E-2</v>
      </c>
      <c r="V470" s="209">
        <f t="shared" si="140"/>
        <v>0</v>
      </c>
      <c r="W470" s="209">
        <f t="shared" si="141"/>
        <v>0</v>
      </c>
      <c r="X470" s="209">
        <f t="shared" si="142"/>
        <v>0</v>
      </c>
      <c r="Y470" s="209">
        <f t="shared" si="143"/>
        <v>0</v>
      </c>
      <c r="Z470" s="209">
        <f t="shared" si="144"/>
        <v>-1</v>
      </c>
      <c r="AA470" s="205">
        <f t="shared" si="145"/>
        <v>0</v>
      </c>
      <c r="AB470" s="209">
        <f t="shared" si="146"/>
        <v>0</v>
      </c>
      <c r="AC470" s="205">
        <f t="shared" si="147"/>
        <v>0</v>
      </c>
      <c r="AD470" s="210">
        <f t="shared" si="148"/>
        <v>2.8895833333299379</v>
      </c>
      <c r="AE470" s="210">
        <f t="shared" si="149"/>
        <v>0</v>
      </c>
      <c r="AF470" s="210">
        <f t="shared" si="150"/>
        <v>2.8895833333299379</v>
      </c>
      <c r="AG470" s="210">
        <f t="shared" si="151"/>
        <v>0</v>
      </c>
    </row>
    <row r="471" spans="2:33" ht="15" customHeight="1" x14ac:dyDescent="0.3">
      <c r="B471" s="196" t="s">
        <v>5</v>
      </c>
      <c r="C471" s="197" t="s">
        <v>15</v>
      </c>
      <c r="D471" s="198" t="str">
        <f t="shared" si="133"/>
        <v>C</v>
      </c>
      <c r="E471" s="199">
        <v>44251.791666666664</v>
      </c>
      <c r="F471" s="200" t="s">
        <v>94</v>
      </c>
      <c r="G471" s="201">
        <v>6671.69</v>
      </c>
      <c r="H471" s="201">
        <v>6560.24</v>
      </c>
      <c r="I471" s="202">
        <f t="shared" si="134"/>
        <v>111.44999999999982</v>
      </c>
      <c r="J471" s="201">
        <v>7228.96</v>
      </c>
      <c r="K471" s="199">
        <v>44252.82708333333</v>
      </c>
      <c r="L471" s="201">
        <v>6617.82</v>
      </c>
      <c r="M471" s="203">
        <f t="shared" si="135"/>
        <v>-53.87</v>
      </c>
      <c r="N471" s="204">
        <f t="shared" si="136"/>
        <v>-0.48</v>
      </c>
      <c r="O471" s="205">
        <f t="shared" si="137"/>
        <v>0</v>
      </c>
      <c r="P471" s="206">
        <f t="shared" si="138"/>
        <v>0</v>
      </c>
      <c r="Q471" s="206">
        <f t="shared" si="139"/>
        <v>-0.48</v>
      </c>
      <c r="R4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166950</v>
      </c>
      <c r="T4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71" s="208">
        <f ca="1">IF(Tabla33610673[[#This Row],[Equity]]&lt;Tabla33610673[[#This Row],[Equity Peak]],(Tabla33610673[[#This Row],[Equity Peak]]-Tabla33610673[[#This Row],[Equity]])/Tabla33610673[[#This Row],[Equity Peak]],"")</f>
        <v>8.7870331888618425E-3</v>
      </c>
      <c r="V471" s="209">
        <f t="shared" si="140"/>
        <v>0</v>
      </c>
      <c r="W471" s="209">
        <f t="shared" si="141"/>
        <v>0</v>
      </c>
      <c r="X471" s="209">
        <f t="shared" si="142"/>
        <v>0</v>
      </c>
      <c r="Y471" s="209">
        <f t="shared" si="143"/>
        <v>0</v>
      </c>
      <c r="Z471" s="209">
        <f t="shared" si="144"/>
        <v>-0.48</v>
      </c>
      <c r="AA471" s="205">
        <f t="shared" si="145"/>
        <v>0</v>
      </c>
      <c r="AB471" s="209">
        <f t="shared" si="146"/>
        <v>0</v>
      </c>
      <c r="AC471" s="205">
        <f t="shared" si="147"/>
        <v>0</v>
      </c>
      <c r="AD471" s="210">
        <f t="shared" si="148"/>
        <v>1.0354166666656965</v>
      </c>
      <c r="AE471" s="210">
        <f t="shared" si="149"/>
        <v>0</v>
      </c>
      <c r="AF471" s="210">
        <f t="shared" si="150"/>
        <v>1.0354166666656965</v>
      </c>
      <c r="AG471" s="210">
        <f t="shared" si="151"/>
        <v>0</v>
      </c>
    </row>
    <row r="472" spans="2:33" ht="15" customHeight="1" x14ac:dyDescent="0.3">
      <c r="B472" s="196" t="s">
        <v>5</v>
      </c>
      <c r="C472" s="197" t="s">
        <v>15</v>
      </c>
      <c r="D472" s="198" t="str">
        <f t="shared" si="133"/>
        <v>C</v>
      </c>
      <c r="E472" s="199">
        <v>44252.208333333336</v>
      </c>
      <c r="F472" s="200" t="s">
        <v>93</v>
      </c>
      <c r="G472" s="201">
        <v>3929.45</v>
      </c>
      <c r="H472" s="201">
        <v>3878.4</v>
      </c>
      <c r="I472" s="202">
        <f t="shared" si="134"/>
        <v>51.049999999999727</v>
      </c>
      <c r="J472" s="201">
        <v>4065.59</v>
      </c>
      <c r="K472" s="199">
        <v>44252.777083333334</v>
      </c>
      <c r="L472" s="201">
        <v>3878.4</v>
      </c>
      <c r="M472" s="203">
        <f t="shared" si="135"/>
        <v>-51.05</v>
      </c>
      <c r="N472" s="204">
        <f t="shared" si="136"/>
        <v>-1</v>
      </c>
      <c r="O472" s="205">
        <f t="shared" si="137"/>
        <v>0</v>
      </c>
      <c r="P472" s="206">
        <f t="shared" si="138"/>
        <v>0</v>
      </c>
      <c r="Q472" s="206">
        <f t="shared" si="139"/>
        <v>-1</v>
      </c>
      <c r="R4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167430</v>
      </c>
      <c r="T4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72" s="208">
        <f ca="1">IF(Tabla33610673[[#This Row],[Equity]]&lt;Tabla33610673[[#This Row],[Equity Peak]],(Tabla33610673[[#This Row],[Equity Peak]]-Tabla33610673[[#This Row],[Equity]])/Tabla33610673[[#This Row],[Equity Peak]],"")</f>
        <v>5.9371845870688118E-3</v>
      </c>
      <c r="V472" s="209">
        <f t="shared" si="140"/>
        <v>0</v>
      </c>
      <c r="W472" s="209">
        <f t="shared" si="141"/>
        <v>0</v>
      </c>
      <c r="X472" s="209">
        <f t="shared" si="142"/>
        <v>0</v>
      </c>
      <c r="Y472" s="209">
        <f t="shared" si="143"/>
        <v>0</v>
      </c>
      <c r="Z472" s="209">
        <f t="shared" si="144"/>
        <v>-1</v>
      </c>
      <c r="AA472" s="205">
        <f t="shared" si="145"/>
        <v>0</v>
      </c>
      <c r="AB472" s="209">
        <f t="shared" si="146"/>
        <v>0</v>
      </c>
      <c r="AC472" s="205">
        <f t="shared" si="147"/>
        <v>0</v>
      </c>
      <c r="AD472" s="210">
        <f t="shared" si="148"/>
        <v>0.56874999999854481</v>
      </c>
      <c r="AE472" s="210">
        <f t="shared" si="149"/>
        <v>0</v>
      </c>
      <c r="AF472" s="210">
        <f t="shared" si="150"/>
        <v>0.56874999999854481</v>
      </c>
      <c r="AG472" s="210">
        <f t="shared" si="151"/>
        <v>0</v>
      </c>
    </row>
    <row r="473" spans="2:33" ht="15" customHeight="1" x14ac:dyDescent="0.3">
      <c r="B473" s="196" t="s">
        <v>7</v>
      </c>
      <c r="C473" s="197" t="s">
        <v>13</v>
      </c>
      <c r="D473" s="198" t="str">
        <f t="shared" si="133"/>
        <v>C</v>
      </c>
      <c r="E473" s="199">
        <v>44246.5</v>
      </c>
      <c r="F473" s="200" t="s">
        <v>121</v>
      </c>
      <c r="G473" s="201">
        <v>1.5498099999999999</v>
      </c>
      <c r="H473" s="201">
        <v>1.55541</v>
      </c>
      <c r="I473" s="202">
        <f t="shared" si="134"/>
        <v>5.6000000000000494E-3</v>
      </c>
      <c r="J473" s="201">
        <v>1.4901</v>
      </c>
      <c r="K473" s="199">
        <v>44252.711111111108</v>
      </c>
      <c r="L473" s="201">
        <v>1.5344500000000001</v>
      </c>
      <c r="M473" s="203">
        <f t="shared" si="135"/>
        <v>1.54E-2</v>
      </c>
      <c r="N473" s="204">
        <f t="shared" si="136"/>
        <v>2.75</v>
      </c>
      <c r="O473" s="205">
        <f t="shared" si="137"/>
        <v>0</v>
      </c>
      <c r="P473" s="206">
        <f t="shared" si="138"/>
        <v>2.75</v>
      </c>
      <c r="Q473" s="206">
        <f t="shared" si="139"/>
        <v>0</v>
      </c>
      <c r="R4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168430</v>
      </c>
      <c r="T4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168430</v>
      </c>
      <c r="U47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3" s="209">
        <f t="shared" si="140"/>
        <v>2.75</v>
      </c>
      <c r="W473" s="209">
        <f t="shared" si="141"/>
        <v>0</v>
      </c>
      <c r="X473" s="209">
        <f t="shared" si="142"/>
        <v>0</v>
      </c>
      <c r="Y473" s="209">
        <f t="shared" si="143"/>
        <v>0</v>
      </c>
      <c r="Z473" s="209">
        <f t="shared" si="144"/>
        <v>0</v>
      </c>
      <c r="AA473" s="205">
        <f t="shared" si="145"/>
        <v>0</v>
      </c>
      <c r="AB473" s="209">
        <f t="shared" si="146"/>
        <v>0</v>
      </c>
      <c r="AC473" s="205">
        <f t="shared" si="147"/>
        <v>0</v>
      </c>
      <c r="AD473" s="210">
        <f t="shared" si="148"/>
        <v>6.211111111108039</v>
      </c>
      <c r="AE473" s="210">
        <f t="shared" si="149"/>
        <v>6.211111111108039</v>
      </c>
      <c r="AF473" s="210">
        <f t="shared" si="150"/>
        <v>0</v>
      </c>
      <c r="AG473" s="210">
        <f t="shared" si="151"/>
        <v>0</v>
      </c>
    </row>
    <row r="474" spans="2:33" ht="15" customHeight="1" x14ac:dyDescent="0.3">
      <c r="B474" s="196" t="s">
        <v>5</v>
      </c>
      <c r="C474" s="197" t="s">
        <v>15</v>
      </c>
      <c r="D474" s="198" t="str">
        <f t="shared" si="133"/>
        <v>C</v>
      </c>
      <c r="E474" s="199">
        <v>44230.333333333336</v>
      </c>
      <c r="F474" s="200" t="s">
        <v>95</v>
      </c>
      <c r="G474" s="201">
        <v>30771.1</v>
      </c>
      <c r="H474" s="201">
        <v>30497.97</v>
      </c>
      <c r="I474" s="202">
        <f t="shared" si="134"/>
        <v>273.12999999999738</v>
      </c>
      <c r="J474" s="201">
        <v>31863.599999999999</v>
      </c>
      <c r="K474" s="199">
        <v>44251.816666666666</v>
      </c>
      <c r="L474" s="201">
        <v>31863.599999999999</v>
      </c>
      <c r="M474" s="203">
        <f t="shared" si="135"/>
        <v>1092.5</v>
      </c>
      <c r="N474" s="204">
        <f t="shared" si="136"/>
        <v>4</v>
      </c>
      <c r="O474" s="205">
        <f t="shared" si="137"/>
        <v>0</v>
      </c>
      <c r="P474" s="206">
        <f t="shared" si="138"/>
        <v>4</v>
      </c>
      <c r="Q474" s="206">
        <f t="shared" si="139"/>
        <v>0</v>
      </c>
      <c r="R4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165680</v>
      </c>
      <c r="T4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165680</v>
      </c>
      <c r="U47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4" s="209">
        <f t="shared" si="140"/>
        <v>0</v>
      </c>
      <c r="W474" s="209">
        <f t="shared" si="141"/>
        <v>0</v>
      </c>
      <c r="X474" s="209">
        <f t="shared" si="142"/>
        <v>0</v>
      </c>
      <c r="Y474" s="209">
        <f t="shared" si="143"/>
        <v>0</v>
      </c>
      <c r="Z474" s="209">
        <f t="shared" si="144"/>
        <v>4</v>
      </c>
      <c r="AA474" s="205">
        <f t="shared" si="145"/>
        <v>0</v>
      </c>
      <c r="AB474" s="209">
        <f t="shared" si="146"/>
        <v>0</v>
      </c>
      <c r="AC474" s="205">
        <f t="shared" si="147"/>
        <v>0</v>
      </c>
      <c r="AD474" s="210">
        <f t="shared" si="148"/>
        <v>21.483333333329938</v>
      </c>
      <c r="AE474" s="210">
        <f t="shared" si="149"/>
        <v>21.483333333329938</v>
      </c>
      <c r="AF474" s="210">
        <f t="shared" si="150"/>
        <v>0</v>
      </c>
      <c r="AG474" s="210">
        <f t="shared" si="151"/>
        <v>0</v>
      </c>
    </row>
    <row r="475" spans="2:33" ht="15" customHeight="1" x14ac:dyDescent="0.3">
      <c r="B475" s="196" t="s">
        <v>7</v>
      </c>
      <c r="C475" s="197" t="s">
        <v>15</v>
      </c>
      <c r="D475" s="198" t="str">
        <f t="shared" si="133"/>
        <v>C</v>
      </c>
      <c r="E475" s="199">
        <v>44249.666666666664</v>
      </c>
      <c r="F475" s="200" t="s">
        <v>118</v>
      </c>
      <c r="G475" s="201">
        <v>1.2147300000000001</v>
      </c>
      <c r="H475" s="201">
        <v>1.20824</v>
      </c>
      <c r="I475" s="202">
        <f t="shared" si="134"/>
        <v>6.4900000000001068E-3</v>
      </c>
      <c r="J475" s="201">
        <v>1.2562599999999999</v>
      </c>
      <c r="K475" s="199">
        <v>44251.714583333334</v>
      </c>
      <c r="L475" s="201">
        <v>1.21122</v>
      </c>
      <c r="M475" s="203">
        <f t="shared" si="135"/>
        <v>-3.5000000000000001E-3</v>
      </c>
      <c r="N475" s="204">
        <f t="shared" si="136"/>
        <v>-0.54</v>
      </c>
      <c r="O475" s="205">
        <f t="shared" si="137"/>
        <v>0</v>
      </c>
      <c r="P475" s="206">
        <f t="shared" si="138"/>
        <v>0</v>
      </c>
      <c r="Q475" s="206">
        <f t="shared" si="139"/>
        <v>-0.54</v>
      </c>
      <c r="R4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161680</v>
      </c>
      <c r="T4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162220</v>
      </c>
      <c r="U475" s="208">
        <f ca="1">IF(Tabla33610673[[#This Row],[Equity]]&lt;Tabla33610673[[#This Row],[Equity Peak]],(Tabla33610673[[#This Row],[Equity Peak]]-Tabla33610673[[#This Row],[Equity]])/Tabla33610673[[#This Row],[Equity Peak]],"")</f>
        <v>3.3288127234619653E-3</v>
      </c>
      <c r="V475" s="209">
        <f t="shared" si="140"/>
        <v>-0.54</v>
      </c>
      <c r="W475" s="209">
        <f t="shared" si="141"/>
        <v>0</v>
      </c>
      <c r="X475" s="209">
        <f t="shared" si="142"/>
        <v>0</v>
      </c>
      <c r="Y475" s="209">
        <f t="shared" si="143"/>
        <v>0</v>
      </c>
      <c r="Z475" s="209">
        <f t="shared" si="144"/>
        <v>0</v>
      </c>
      <c r="AA475" s="205">
        <f t="shared" si="145"/>
        <v>0</v>
      </c>
      <c r="AB475" s="209">
        <f t="shared" si="146"/>
        <v>0</v>
      </c>
      <c r="AC475" s="205">
        <f t="shared" si="147"/>
        <v>0</v>
      </c>
      <c r="AD475" s="210">
        <f t="shared" si="148"/>
        <v>2.0479166666700621</v>
      </c>
      <c r="AE475" s="210">
        <f t="shared" si="149"/>
        <v>0</v>
      </c>
      <c r="AF475" s="210">
        <f t="shared" si="150"/>
        <v>2.0479166666700621</v>
      </c>
      <c r="AG475" s="210">
        <f t="shared" si="151"/>
        <v>0</v>
      </c>
    </row>
    <row r="476" spans="2:33" ht="15" customHeight="1" x14ac:dyDescent="0.3">
      <c r="B476" s="196" t="s">
        <v>7</v>
      </c>
      <c r="C476" s="197" t="s">
        <v>15</v>
      </c>
      <c r="D476" s="198" t="str">
        <f t="shared" si="133"/>
        <v>C</v>
      </c>
      <c r="E476" s="199">
        <v>44235.017361111109</v>
      </c>
      <c r="F476" s="200" t="s">
        <v>115</v>
      </c>
      <c r="G476" s="201">
        <v>1.37313</v>
      </c>
      <c r="H476" s="201">
        <v>1.3629800000000001</v>
      </c>
      <c r="I476" s="202">
        <f t="shared" si="134"/>
        <v>1.0149999999999881E-2</v>
      </c>
      <c r="J476" s="201">
        <v>1.4137200000000001</v>
      </c>
      <c r="K476" s="199">
        <v>44251.12777777778</v>
      </c>
      <c r="L476" s="201">
        <v>1.4137200000000001</v>
      </c>
      <c r="M476" s="203">
        <f t="shared" si="135"/>
        <v>4.0599999999999997E-2</v>
      </c>
      <c r="N476" s="204">
        <f t="shared" si="136"/>
        <v>4</v>
      </c>
      <c r="O476" s="205">
        <f t="shared" si="137"/>
        <v>0</v>
      </c>
      <c r="P476" s="206">
        <f t="shared" si="138"/>
        <v>4</v>
      </c>
      <c r="Q476" s="206">
        <f t="shared" si="139"/>
        <v>0</v>
      </c>
      <c r="R4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162220</v>
      </c>
      <c r="T4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162220</v>
      </c>
      <c r="U4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6" s="209">
        <f t="shared" si="140"/>
        <v>4</v>
      </c>
      <c r="W476" s="209">
        <f t="shared" si="141"/>
        <v>0</v>
      </c>
      <c r="X476" s="209">
        <f t="shared" si="142"/>
        <v>0</v>
      </c>
      <c r="Y476" s="209">
        <f t="shared" si="143"/>
        <v>0</v>
      </c>
      <c r="Z476" s="209">
        <f t="shared" si="144"/>
        <v>0</v>
      </c>
      <c r="AA476" s="205">
        <f t="shared" si="145"/>
        <v>0</v>
      </c>
      <c r="AB476" s="209">
        <f t="shared" si="146"/>
        <v>0</v>
      </c>
      <c r="AC476" s="205">
        <f t="shared" si="147"/>
        <v>0</v>
      </c>
      <c r="AD476" s="210">
        <f t="shared" si="148"/>
        <v>16.110416666670062</v>
      </c>
      <c r="AE476" s="210">
        <f t="shared" si="149"/>
        <v>16.110416666670062</v>
      </c>
      <c r="AF476" s="210">
        <f t="shared" si="150"/>
        <v>0</v>
      </c>
      <c r="AG476" s="210">
        <f t="shared" si="151"/>
        <v>0</v>
      </c>
    </row>
    <row r="477" spans="2:33" ht="15" customHeight="1" x14ac:dyDescent="0.3">
      <c r="B477" s="196" t="s">
        <v>7</v>
      </c>
      <c r="C477" s="197" t="s">
        <v>15</v>
      </c>
      <c r="D477" s="198" t="str">
        <f t="shared" si="133"/>
        <v>C</v>
      </c>
      <c r="E477" s="199">
        <v>44224.833333333336</v>
      </c>
      <c r="F477" s="200" t="s">
        <v>116</v>
      </c>
      <c r="G477" s="201">
        <v>143.13999999999999</v>
      </c>
      <c r="H477" s="201">
        <v>142.214</v>
      </c>
      <c r="I477" s="202">
        <f t="shared" si="134"/>
        <v>0.92599999999998772</v>
      </c>
      <c r="J477" s="201">
        <v>148.32400000000001</v>
      </c>
      <c r="K477" s="199">
        <v>44250.495833333334</v>
      </c>
      <c r="L477" s="201">
        <v>148.32400000000001</v>
      </c>
      <c r="M477" s="203">
        <f t="shared" si="135"/>
        <v>5.1840000000000002</v>
      </c>
      <c r="N477" s="204">
        <f t="shared" si="136"/>
        <v>5.6</v>
      </c>
      <c r="O477" s="205">
        <f t="shared" si="137"/>
        <v>0</v>
      </c>
      <c r="P477" s="206">
        <f t="shared" si="138"/>
        <v>5.6</v>
      </c>
      <c r="Q477" s="206">
        <f t="shared" si="139"/>
        <v>0</v>
      </c>
      <c r="R4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158220</v>
      </c>
      <c r="T4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158220</v>
      </c>
      <c r="U47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7" s="209">
        <f t="shared" si="140"/>
        <v>5.6</v>
      </c>
      <c r="W477" s="209">
        <f t="shared" si="141"/>
        <v>0</v>
      </c>
      <c r="X477" s="209">
        <f t="shared" si="142"/>
        <v>0</v>
      </c>
      <c r="Y477" s="209">
        <f t="shared" si="143"/>
        <v>0</v>
      </c>
      <c r="Z477" s="209">
        <f t="shared" si="144"/>
        <v>0</v>
      </c>
      <c r="AA477" s="205">
        <f t="shared" si="145"/>
        <v>0</v>
      </c>
      <c r="AB477" s="209">
        <f t="shared" si="146"/>
        <v>0</v>
      </c>
      <c r="AC477" s="205">
        <f t="shared" si="147"/>
        <v>0</v>
      </c>
      <c r="AD477" s="210">
        <f t="shared" si="148"/>
        <v>25.662499999998545</v>
      </c>
      <c r="AE477" s="210">
        <f t="shared" si="149"/>
        <v>25.662499999998545</v>
      </c>
      <c r="AF477" s="210">
        <f t="shared" si="150"/>
        <v>0</v>
      </c>
      <c r="AG477" s="210">
        <f t="shared" si="151"/>
        <v>0</v>
      </c>
    </row>
    <row r="478" spans="2:33" ht="15" customHeight="1" x14ac:dyDescent="0.3">
      <c r="B478" s="196" t="s">
        <v>7</v>
      </c>
      <c r="C478" s="197" t="s">
        <v>13</v>
      </c>
      <c r="D478" s="198" t="str">
        <f t="shared" si="133"/>
        <v>C</v>
      </c>
      <c r="E478" s="199">
        <v>44249.166666666664</v>
      </c>
      <c r="F478" s="200" t="s">
        <v>117</v>
      </c>
      <c r="G478" s="201">
        <v>1.77711</v>
      </c>
      <c r="H478" s="201">
        <v>1.79095</v>
      </c>
      <c r="I478" s="202">
        <f t="shared" si="134"/>
        <v>1.3840000000000074E-2</v>
      </c>
      <c r="J478" s="201">
        <v>1.7309699999999999</v>
      </c>
      <c r="K478" s="199">
        <v>44250.422222222223</v>
      </c>
      <c r="L478" s="201">
        <v>1.7819700000000001</v>
      </c>
      <c r="M478" s="203">
        <f t="shared" si="135"/>
        <v>-4.8999999999999998E-3</v>
      </c>
      <c r="N478" s="204">
        <f t="shared" si="136"/>
        <v>-0.35</v>
      </c>
      <c r="O478" s="205">
        <f t="shared" si="137"/>
        <v>0</v>
      </c>
      <c r="P478" s="206">
        <f t="shared" si="138"/>
        <v>0</v>
      </c>
      <c r="Q478" s="206">
        <f t="shared" si="139"/>
        <v>-0.35</v>
      </c>
      <c r="R4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152620</v>
      </c>
      <c r="T4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153270</v>
      </c>
      <c r="U478" s="208">
        <f ca="1">IF(Tabla33610673[[#This Row],[Equity]]&lt;Tabla33610673[[#This Row],[Equity Peak]],(Tabla33610673[[#This Row],[Equity Peak]]-Tabla33610673[[#This Row],[Equity]])/Tabla33610673[[#This Row],[Equity Peak]],"")</f>
        <v>4.2408821034775231E-3</v>
      </c>
      <c r="V478" s="209">
        <f t="shared" si="140"/>
        <v>-0.35</v>
      </c>
      <c r="W478" s="209">
        <f t="shared" si="141"/>
        <v>0</v>
      </c>
      <c r="X478" s="209">
        <f t="shared" si="142"/>
        <v>0</v>
      </c>
      <c r="Y478" s="209">
        <f t="shared" si="143"/>
        <v>0</v>
      </c>
      <c r="Z478" s="209">
        <f t="shared" si="144"/>
        <v>0</v>
      </c>
      <c r="AA478" s="205">
        <f t="shared" si="145"/>
        <v>0</v>
      </c>
      <c r="AB478" s="209">
        <f t="shared" si="146"/>
        <v>0</v>
      </c>
      <c r="AC478" s="205">
        <f t="shared" si="147"/>
        <v>0</v>
      </c>
      <c r="AD478" s="210">
        <f t="shared" si="148"/>
        <v>1.2555555555591127</v>
      </c>
      <c r="AE478" s="210">
        <f t="shared" si="149"/>
        <v>0</v>
      </c>
      <c r="AF478" s="210">
        <f t="shared" si="150"/>
        <v>1.2555555555591127</v>
      </c>
      <c r="AG478" s="210">
        <f t="shared" si="151"/>
        <v>0</v>
      </c>
    </row>
    <row r="479" spans="2:33" ht="15" customHeight="1" x14ac:dyDescent="0.3">
      <c r="B479" s="196" t="s">
        <v>5</v>
      </c>
      <c r="C479" s="197" t="s">
        <v>13</v>
      </c>
      <c r="D479" s="198" t="str">
        <f t="shared" si="133"/>
        <v>C</v>
      </c>
      <c r="E479" s="199">
        <v>44246.166666666664</v>
      </c>
      <c r="F479" s="200" t="s">
        <v>94</v>
      </c>
      <c r="G479" s="201">
        <v>6603.89</v>
      </c>
      <c r="H479" s="201">
        <v>6682.26</v>
      </c>
      <c r="I479" s="202">
        <f t="shared" si="134"/>
        <v>78.369999999999891</v>
      </c>
      <c r="J479" s="201">
        <v>6212.05</v>
      </c>
      <c r="K479" s="199">
        <v>44249.89166666667</v>
      </c>
      <c r="L479" s="201">
        <v>6627.59</v>
      </c>
      <c r="M479" s="203">
        <f t="shared" si="135"/>
        <v>-23.7</v>
      </c>
      <c r="N479" s="204">
        <f t="shared" si="136"/>
        <v>-0.3</v>
      </c>
      <c r="O479" s="205">
        <f t="shared" si="137"/>
        <v>0</v>
      </c>
      <c r="P479" s="206">
        <f t="shared" si="138"/>
        <v>0</v>
      </c>
      <c r="Q479" s="206">
        <f t="shared" si="139"/>
        <v>-0.3</v>
      </c>
      <c r="R4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152970</v>
      </c>
      <c r="T4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153270</v>
      </c>
      <c r="U479" s="208">
        <f ca="1">IF(Tabla33610673[[#This Row],[Equity]]&lt;Tabla33610673[[#This Row],[Equity Peak]],(Tabla33610673[[#This Row],[Equity Peak]]-Tabla33610673[[#This Row],[Equity]])/Tabla33610673[[#This Row],[Equity Peak]],"")</f>
        <v>1.9573302016050106E-3</v>
      </c>
      <c r="V479" s="209">
        <f t="shared" si="140"/>
        <v>0</v>
      </c>
      <c r="W479" s="209">
        <f t="shared" si="141"/>
        <v>0</v>
      </c>
      <c r="X479" s="209">
        <f t="shared" si="142"/>
        <v>0</v>
      </c>
      <c r="Y479" s="209">
        <f t="shared" si="143"/>
        <v>0</v>
      </c>
      <c r="Z479" s="209">
        <f t="shared" si="144"/>
        <v>-0.3</v>
      </c>
      <c r="AA479" s="205">
        <f t="shared" si="145"/>
        <v>0</v>
      </c>
      <c r="AB479" s="209">
        <f t="shared" si="146"/>
        <v>0</v>
      </c>
      <c r="AC479" s="205">
        <f t="shared" si="147"/>
        <v>0</v>
      </c>
      <c r="AD479" s="210">
        <f t="shared" si="148"/>
        <v>3.7250000000058208</v>
      </c>
      <c r="AE479" s="210">
        <f t="shared" si="149"/>
        <v>0</v>
      </c>
      <c r="AF479" s="210">
        <f t="shared" si="150"/>
        <v>3.7250000000058208</v>
      </c>
      <c r="AG479" s="210">
        <f t="shared" si="151"/>
        <v>0</v>
      </c>
    </row>
    <row r="480" spans="2:33" ht="15" customHeight="1" x14ac:dyDescent="0.3">
      <c r="B480" s="196" t="s">
        <v>7</v>
      </c>
      <c r="C480" s="197" t="s">
        <v>15</v>
      </c>
      <c r="D480" s="198" t="str">
        <f t="shared" si="133"/>
        <v>C</v>
      </c>
      <c r="E480" s="199">
        <v>44236.166666666664</v>
      </c>
      <c r="F480" s="200" t="s">
        <v>122</v>
      </c>
      <c r="G480" s="201">
        <v>0.77161000000000002</v>
      </c>
      <c r="H480" s="201">
        <v>0.76809000000000005</v>
      </c>
      <c r="I480" s="202">
        <f t="shared" si="134"/>
        <v>3.5199999999999676E-3</v>
      </c>
      <c r="J480" s="201">
        <v>0.79035999999999995</v>
      </c>
      <c r="K480" s="199">
        <v>44249.140277777777</v>
      </c>
      <c r="L480" s="201">
        <v>0.79035999999999995</v>
      </c>
      <c r="M480" s="203">
        <f t="shared" si="135"/>
        <v>1.8700000000000001E-2</v>
      </c>
      <c r="N480" s="204">
        <f t="shared" si="136"/>
        <v>5.31</v>
      </c>
      <c r="O480" s="205">
        <f t="shared" si="137"/>
        <v>0</v>
      </c>
      <c r="P480" s="206">
        <f t="shared" si="138"/>
        <v>5.31</v>
      </c>
      <c r="Q480" s="206">
        <f t="shared" si="139"/>
        <v>0</v>
      </c>
      <c r="R4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153270</v>
      </c>
      <c r="T4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153270</v>
      </c>
      <c r="U48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0" s="209">
        <f t="shared" si="140"/>
        <v>5.31</v>
      </c>
      <c r="W480" s="209">
        <f t="shared" si="141"/>
        <v>0</v>
      </c>
      <c r="X480" s="209">
        <f t="shared" si="142"/>
        <v>0</v>
      </c>
      <c r="Y480" s="209">
        <f t="shared" si="143"/>
        <v>0</v>
      </c>
      <c r="Z480" s="209">
        <f t="shared" si="144"/>
        <v>0</v>
      </c>
      <c r="AA480" s="205">
        <f t="shared" si="145"/>
        <v>0</v>
      </c>
      <c r="AB480" s="209">
        <f t="shared" si="146"/>
        <v>0</v>
      </c>
      <c r="AC480" s="205">
        <f t="shared" si="147"/>
        <v>0</v>
      </c>
      <c r="AD480" s="210">
        <f t="shared" si="148"/>
        <v>12.973611111112405</v>
      </c>
      <c r="AE480" s="210">
        <f t="shared" si="149"/>
        <v>12.973611111112405</v>
      </c>
      <c r="AF480" s="210">
        <f t="shared" si="150"/>
        <v>0</v>
      </c>
      <c r="AG480" s="210">
        <f t="shared" si="151"/>
        <v>0</v>
      </c>
    </row>
    <row r="481" spans="2:33" ht="15" customHeight="1" x14ac:dyDescent="0.3">
      <c r="B481" s="196" t="s">
        <v>7</v>
      </c>
      <c r="C481" s="197" t="s">
        <v>15</v>
      </c>
      <c r="D481" s="198" t="str">
        <f t="shared" si="133"/>
        <v>C</v>
      </c>
      <c r="E481" s="199">
        <v>44239.5</v>
      </c>
      <c r="F481" s="200" t="s">
        <v>114</v>
      </c>
      <c r="G481" s="201">
        <v>105.041</v>
      </c>
      <c r="H481" s="201">
        <v>104.599</v>
      </c>
      <c r="I481" s="202">
        <f t="shared" si="134"/>
        <v>0.44199999999999307</v>
      </c>
      <c r="J481" s="201">
        <v>107.105</v>
      </c>
      <c r="K481" s="199">
        <v>44246.29791666667</v>
      </c>
      <c r="L481" s="201">
        <v>105.57299999999999</v>
      </c>
      <c r="M481" s="203">
        <f t="shared" si="135"/>
        <v>0.53200000000000003</v>
      </c>
      <c r="N481" s="204">
        <f t="shared" si="136"/>
        <v>1.2</v>
      </c>
      <c r="O481" s="205">
        <f t="shared" si="137"/>
        <v>0</v>
      </c>
      <c r="P481" s="206">
        <f t="shared" si="138"/>
        <v>1.2</v>
      </c>
      <c r="Q481" s="206">
        <f t="shared" si="139"/>
        <v>0</v>
      </c>
      <c r="R4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147960</v>
      </c>
      <c r="T4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147960</v>
      </c>
      <c r="U48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1" s="209">
        <f t="shared" si="140"/>
        <v>1.2</v>
      </c>
      <c r="W481" s="209">
        <f t="shared" si="141"/>
        <v>0</v>
      </c>
      <c r="X481" s="209">
        <f t="shared" si="142"/>
        <v>0</v>
      </c>
      <c r="Y481" s="209">
        <f t="shared" si="143"/>
        <v>0</v>
      </c>
      <c r="Z481" s="209">
        <f t="shared" si="144"/>
        <v>0</v>
      </c>
      <c r="AA481" s="205">
        <f t="shared" si="145"/>
        <v>0</v>
      </c>
      <c r="AB481" s="209">
        <f t="shared" si="146"/>
        <v>0</v>
      </c>
      <c r="AC481" s="205">
        <f t="shared" si="147"/>
        <v>0</v>
      </c>
      <c r="AD481" s="210">
        <f t="shared" si="148"/>
        <v>6.7979166666700621</v>
      </c>
      <c r="AE481" s="210">
        <f t="shared" si="149"/>
        <v>6.7979166666700621</v>
      </c>
      <c r="AF481" s="210">
        <f t="shared" si="150"/>
        <v>0</v>
      </c>
      <c r="AG481" s="210">
        <f t="shared" si="151"/>
        <v>0</v>
      </c>
    </row>
    <row r="482" spans="2:33" ht="15" customHeight="1" x14ac:dyDescent="0.3">
      <c r="B482" s="196" t="s">
        <v>7</v>
      </c>
      <c r="C482" s="197" t="s">
        <v>13</v>
      </c>
      <c r="D482" s="198" t="str">
        <f t="shared" si="133"/>
        <v>C</v>
      </c>
      <c r="E482" s="199">
        <v>44244.833333333336</v>
      </c>
      <c r="F482" s="200" t="s">
        <v>121</v>
      </c>
      <c r="G482" s="201">
        <v>1.55382</v>
      </c>
      <c r="H482" s="201">
        <v>1.5587800000000001</v>
      </c>
      <c r="I482" s="202">
        <f t="shared" si="134"/>
        <v>4.9600000000000755E-3</v>
      </c>
      <c r="J482" s="201">
        <v>1.50088</v>
      </c>
      <c r="K482" s="199">
        <v>44245.711111111108</v>
      </c>
      <c r="L482" s="201">
        <v>1.5571299999999999</v>
      </c>
      <c r="M482" s="203">
        <f t="shared" si="135"/>
        <v>-3.3E-3</v>
      </c>
      <c r="N482" s="204">
        <f t="shared" si="136"/>
        <v>-0.67</v>
      </c>
      <c r="O482" s="205">
        <f t="shared" si="137"/>
        <v>0</v>
      </c>
      <c r="P482" s="206">
        <f t="shared" si="138"/>
        <v>0</v>
      </c>
      <c r="Q482" s="206">
        <f t="shared" si="139"/>
        <v>-0.67</v>
      </c>
      <c r="R4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146760</v>
      </c>
      <c r="T4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147430</v>
      </c>
      <c r="U482" s="208">
        <f ca="1">IF(Tabla33610673[[#This Row],[Equity]]&lt;Tabla33610673[[#This Row],[Equity Peak]],(Tabla33610673[[#This Row],[Equity Peak]]-Tabla33610673[[#This Row],[Equity]])/Tabla33610673[[#This Row],[Equity Peak]],"")</f>
        <v>4.5445296072712475E-3</v>
      </c>
      <c r="V482" s="209">
        <f t="shared" si="140"/>
        <v>-0.67</v>
      </c>
      <c r="W482" s="209">
        <f t="shared" si="141"/>
        <v>0</v>
      </c>
      <c r="X482" s="209">
        <f t="shared" si="142"/>
        <v>0</v>
      </c>
      <c r="Y482" s="209">
        <f t="shared" si="143"/>
        <v>0</v>
      </c>
      <c r="Z482" s="209">
        <f t="shared" si="144"/>
        <v>0</v>
      </c>
      <c r="AA482" s="205">
        <f t="shared" si="145"/>
        <v>0</v>
      </c>
      <c r="AB482" s="209">
        <f t="shared" si="146"/>
        <v>0</v>
      </c>
      <c r="AC482" s="205">
        <f t="shared" si="147"/>
        <v>0</v>
      </c>
      <c r="AD482" s="210">
        <f t="shared" si="148"/>
        <v>0.87777777777228039</v>
      </c>
      <c r="AE482" s="210">
        <f t="shared" si="149"/>
        <v>0</v>
      </c>
      <c r="AF482" s="210">
        <f t="shared" si="150"/>
        <v>0.87777777777228039</v>
      </c>
      <c r="AG482" s="210">
        <f t="shared" si="151"/>
        <v>0</v>
      </c>
    </row>
    <row r="483" spans="2:33" ht="15" customHeight="1" x14ac:dyDescent="0.3">
      <c r="B483" s="196" t="s">
        <v>19</v>
      </c>
      <c r="C483" s="197" t="s">
        <v>15</v>
      </c>
      <c r="D483" s="198" t="str">
        <f t="shared" si="133"/>
        <v>C</v>
      </c>
      <c r="E483" s="199">
        <v>44158.458333333336</v>
      </c>
      <c r="F483" s="200" t="s">
        <v>108</v>
      </c>
      <c r="G483" s="201">
        <v>43.338000000000001</v>
      </c>
      <c r="H483" s="201">
        <v>41.822000000000003</v>
      </c>
      <c r="I483" s="202">
        <f t="shared" si="134"/>
        <v>1.5159999999999982</v>
      </c>
      <c r="J483" s="201">
        <v>61.527000000000001</v>
      </c>
      <c r="K483" s="199">
        <v>44244.984027777777</v>
      </c>
      <c r="L483" s="201">
        <v>61.527000000000001</v>
      </c>
      <c r="M483" s="203">
        <f t="shared" si="135"/>
        <v>18.189</v>
      </c>
      <c r="N483" s="204">
        <f t="shared" si="136"/>
        <v>12</v>
      </c>
      <c r="O483" s="205">
        <f t="shared" si="137"/>
        <v>0</v>
      </c>
      <c r="P483" s="206">
        <f t="shared" si="138"/>
        <v>12</v>
      </c>
      <c r="Q483" s="206">
        <f t="shared" si="139"/>
        <v>0</v>
      </c>
      <c r="R4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147430</v>
      </c>
      <c r="T4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147430</v>
      </c>
      <c r="U48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3" s="209">
        <f t="shared" si="140"/>
        <v>0</v>
      </c>
      <c r="W483" s="209">
        <f t="shared" si="141"/>
        <v>0</v>
      </c>
      <c r="X483" s="209">
        <f t="shared" si="142"/>
        <v>12</v>
      </c>
      <c r="Y483" s="209">
        <f t="shared" si="143"/>
        <v>0</v>
      </c>
      <c r="Z483" s="209">
        <f t="shared" si="144"/>
        <v>0</v>
      </c>
      <c r="AA483" s="205">
        <f t="shared" si="145"/>
        <v>0</v>
      </c>
      <c r="AB483" s="209">
        <f t="shared" si="146"/>
        <v>0</v>
      </c>
      <c r="AC483" s="205">
        <f t="shared" si="147"/>
        <v>0</v>
      </c>
      <c r="AD483" s="210">
        <f t="shared" si="148"/>
        <v>86.525694444440887</v>
      </c>
      <c r="AE483" s="210">
        <f t="shared" si="149"/>
        <v>86.525694444440887</v>
      </c>
      <c r="AF483" s="210">
        <f t="shared" si="150"/>
        <v>0</v>
      </c>
      <c r="AG483" s="210">
        <f t="shared" si="151"/>
        <v>0</v>
      </c>
    </row>
    <row r="484" spans="2:33" ht="15" customHeight="1" x14ac:dyDescent="0.3">
      <c r="B484" s="196" t="s">
        <v>5</v>
      </c>
      <c r="C484" s="197" t="s">
        <v>15</v>
      </c>
      <c r="D484" s="198" t="str">
        <f t="shared" si="133"/>
        <v>C</v>
      </c>
      <c r="E484" s="199">
        <v>44239.833333333336</v>
      </c>
      <c r="F484" s="200" t="s">
        <v>94</v>
      </c>
      <c r="G484" s="201">
        <v>6587.33</v>
      </c>
      <c r="H484" s="201">
        <v>6525.6</v>
      </c>
      <c r="I484" s="202">
        <f t="shared" si="134"/>
        <v>61.729999999999563</v>
      </c>
      <c r="J484" s="201">
        <v>6895.97</v>
      </c>
      <c r="K484" s="199">
        <v>44244.692361111112</v>
      </c>
      <c r="L484" s="201">
        <v>6703.84</v>
      </c>
      <c r="M484" s="203">
        <f t="shared" si="135"/>
        <v>116.51</v>
      </c>
      <c r="N484" s="204">
        <f t="shared" si="136"/>
        <v>1.89</v>
      </c>
      <c r="O484" s="205">
        <f t="shared" si="137"/>
        <v>0</v>
      </c>
      <c r="P484" s="206">
        <f t="shared" si="138"/>
        <v>1.89</v>
      </c>
      <c r="Q484" s="206">
        <f t="shared" si="139"/>
        <v>0</v>
      </c>
      <c r="R4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135430</v>
      </c>
      <c r="T4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135430</v>
      </c>
      <c r="U48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4" s="209">
        <f t="shared" si="140"/>
        <v>0</v>
      </c>
      <c r="W484" s="209">
        <f t="shared" si="141"/>
        <v>0</v>
      </c>
      <c r="X484" s="209">
        <f t="shared" si="142"/>
        <v>0</v>
      </c>
      <c r="Y484" s="209">
        <f t="shared" si="143"/>
        <v>0</v>
      </c>
      <c r="Z484" s="209">
        <f t="shared" si="144"/>
        <v>1.89</v>
      </c>
      <c r="AA484" s="205">
        <f t="shared" si="145"/>
        <v>0</v>
      </c>
      <c r="AB484" s="209">
        <f t="shared" si="146"/>
        <v>0</v>
      </c>
      <c r="AC484" s="205">
        <f t="shared" si="147"/>
        <v>0</v>
      </c>
      <c r="AD484" s="210">
        <f t="shared" si="148"/>
        <v>4.859027777776646</v>
      </c>
      <c r="AE484" s="210">
        <f t="shared" si="149"/>
        <v>4.859027777776646</v>
      </c>
      <c r="AF484" s="210">
        <f t="shared" si="150"/>
        <v>0</v>
      </c>
      <c r="AG484" s="210">
        <f t="shared" si="151"/>
        <v>0</v>
      </c>
    </row>
    <row r="485" spans="2:33" ht="15" customHeight="1" x14ac:dyDescent="0.3">
      <c r="B485" s="196" t="s">
        <v>7</v>
      </c>
      <c r="C485" s="197" t="s">
        <v>15</v>
      </c>
      <c r="D485" s="198" t="str">
        <f t="shared" si="133"/>
        <v>C</v>
      </c>
      <c r="E485" s="199">
        <v>44230.666666666664</v>
      </c>
      <c r="F485" s="200" t="s">
        <v>123</v>
      </c>
      <c r="G485" s="201">
        <v>80.009</v>
      </c>
      <c r="H485" s="201">
        <v>79.64</v>
      </c>
      <c r="I485" s="202">
        <f t="shared" si="134"/>
        <v>0.36899999999999977</v>
      </c>
      <c r="J485" s="201">
        <v>86.406999999999996</v>
      </c>
      <c r="K485" s="199">
        <v>44244.688194444447</v>
      </c>
      <c r="L485" s="201">
        <v>81.781000000000006</v>
      </c>
      <c r="M485" s="203">
        <f t="shared" si="135"/>
        <v>1.772</v>
      </c>
      <c r="N485" s="204">
        <f t="shared" si="136"/>
        <v>4.8</v>
      </c>
      <c r="O485" s="205">
        <f t="shared" si="137"/>
        <v>0</v>
      </c>
      <c r="P485" s="206">
        <f t="shared" si="138"/>
        <v>4.8</v>
      </c>
      <c r="Q485" s="206">
        <f t="shared" si="139"/>
        <v>0</v>
      </c>
      <c r="R4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133540</v>
      </c>
      <c r="T4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133540</v>
      </c>
      <c r="U48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5" s="209">
        <f t="shared" si="140"/>
        <v>4.8</v>
      </c>
      <c r="W485" s="209">
        <f t="shared" si="141"/>
        <v>0</v>
      </c>
      <c r="X485" s="209">
        <f t="shared" si="142"/>
        <v>0</v>
      </c>
      <c r="Y485" s="209">
        <f t="shared" si="143"/>
        <v>0</v>
      </c>
      <c r="Z485" s="209">
        <f t="shared" si="144"/>
        <v>0</v>
      </c>
      <c r="AA485" s="205">
        <f t="shared" si="145"/>
        <v>0</v>
      </c>
      <c r="AB485" s="209">
        <f t="shared" si="146"/>
        <v>0</v>
      </c>
      <c r="AC485" s="205">
        <f t="shared" si="147"/>
        <v>0</v>
      </c>
      <c r="AD485" s="210">
        <f t="shared" si="148"/>
        <v>14.021527777782467</v>
      </c>
      <c r="AE485" s="210">
        <f t="shared" si="149"/>
        <v>14.021527777782467</v>
      </c>
      <c r="AF485" s="210">
        <f t="shared" si="150"/>
        <v>0</v>
      </c>
      <c r="AG485" s="210">
        <f t="shared" si="151"/>
        <v>0</v>
      </c>
    </row>
    <row r="486" spans="2:33" ht="15" customHeight="1" x14ac:dyDescent="0.3">
      <c r="B486" s="196" t="s">
        <v>7</v>
      </c>
      <c r="C486" s="197" t="s">
        <v>15</v>
      </c>
      <c r="D486" s="198" t="str">
        <f t="shared" si="133"/>
        <v>C</v>
      </c>
      <c r="E486" s="199">
        <v>44232.666666666664</v>
      </c>
      <c r="F486" s="200" t="s">
        <v>119</v>
      </c>
      <c r="G486" s="201">
        <v>126.873</v>
      </c>
      <c r="H486" s="201">
        <v>126.3</v>
      </c>
      <c r="I486" s="202">
        <f t="shared" si="134"/>
        <v>0.5730000000000075</v>
      </c>
      <c r="J486" s="201">
        <v>129.16399999999999</v>
      </c>
      <c r="K486" s="199">
        <v>44244.448611111111</v>
      </c>
      <c r="L486" s="201">
        <v>127.783</v>
      </c>
      <c r="M486" s="203">
        <f t="shared" si="135"/>
        <v>0.91</v>
      </c>
      <c r="N486" s="204">
        <f t="shared" si="136"/>
        <v>1.59</v>
      </c>
      <c r="O486" s="205">
        <f t="shared" si="137"/>
        <v>0</v>
      </c>
      <c r="P486" s="206">
        <f t="shared" si="138"/>
        <v>1.59</v>
      </c>
      <c r="Q486" s="206">
        <f t="shared" si="139"/>
        <v>0</v>
      </c>
      <c r="R4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128740</v>
      </c>
      <c r="T4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86" s="208">
        <f ca="1">IF(Tabla33610673[[#This Row],[Equity]]&lt;Tabla33610673[[#This Row],[Equity Peak]],(Tabla33610673[[#This Row],[Equity Peak]]-Tabla33610673[[#This Row],[Equity]])/Tabla33610673[[#This Row],[Equity Peak]],"")</f>
        <v>2.5804010594021945E-2</v>
      </c>
      <c r="V486" s="209">
        <f t="shared" si="140"/>
        <v>1.59</v>
      </c>
      <c r="W486" s="209">
        <f t="shared" si="141"/>
        <v>0</v>
      </c>
      <c r="X486" s="209">
        <f t="shared" si="142"/>
        <v>0</v>
      </c>
      <c r="Y486" s="209">
        <f t="shared" si="143"/>
        <v>0</v>
      </c>
      <c r="Z486" s="209">
        <f t="shared" si="144"/>
        <v>0</v>
      </c>
      <c r="AA486" s="205">
        <f t="shared" si="145"/>
        <v>0</v>
      </c>
      <c r="AB486" s="209">
        <f t="shared" si="146"/>
        <v>0</v>
      </c>
      <c r="AC486" s="205">
        <f t="shared" si="147"/>
        <v>0</v>
      </c>
      <c r="AD486" s="210">
        <f t="shared" si="148"/>
        <v>11.781944444446708</v>
      </c>
      <c r="AE486" s="210">
        <f t="shared" si="149"/>
        <v>11.781944444446708</v>
      </c>
      <c r="AF486" s="210">
        <f t="shared" si="150"/>
        <v>0</v>
      </c>
      <c r="AG486" s="210">
        <f t="shared" si="151"/>
        <v>0</v>
      </c>
    </row>
    <row r="487" spans="2:33" ht="15" customHeight="1" x14ac:dyDescent="0.3">
      <c r="B487" s="196" t="s">
        <v>5</v>
      </c>
      <c r="C487" s="197" t="s">
        <v>15</v>
      </c>
      <c r="D487" s="198" t="str">
        <f t="shared" si="133"/>
        <v>C</v>
      </c>
      <c r="E487" s="199">
        <v>44243.340277777781</v>
      </c>
      <c r="F487" s="200" t="s">
        <v>90</v>
      </c>
      <c r="G487" s="201">
        <v>6913.33</v>
      </c>
      <c r="H487" s="201">
        <v>6876.9</v>
      </c>
      <c r="I487" s="202">
        <f t="shared" si="134"/>
        <v>36.430000000000291</v>
      </c>
      <c r="J487" s="201">
        <v>7399.04</v>
      </c>
      <c r="K487" s="199">
        <v>44244.113888888889</v>
      </c>
      <c r="L487" s="201">
        <v>6876.9</v>
      </c>
      <c r="M487" s="203">
        <f t="shared" si="135"/>
        <v>-36.43</v>
      </c>
      <c r="N487" s="204">
        <f t="shared" si="136"/>
        <v>-1</v>
      </c>
      <c r="O487" s="205">
        <f t="shared" si="137"/>
        <v>0</v>
      </c>
      <c r="P487" s="206">
        <f t="shared" si="138"/>
        <v>0</v>
      </c>
      <c r="Q487" s="206">
        <f t="shared" si="139"/>
        <v>-1</v>
      </c>
      <c r="R4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127150</v>
      </c>
      <c r="T4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87" s="208">
        <f ca="1">IF(Tabla33610673[[#This Row],[Equity]]&lt;Tabla33610673[[#This Row],[Equity Peak]],(Tabla33610673[[#This Row],[Equity Peak]]-Tabla33610673[[#This Row],[Equity]])/Tabla33610673[[#This Row],[Equity Peak]],"")</f>
        <v>3.7835792659856225E-2</v>
      </c>
      <c r="V487" s="209">
        <f t="shared" si="140"/>
        <v>0</v>
      </c>
      <c r="W487" s="209">
        <f t="shared" si="141"/>
        <v>0</v>
      </c>
      <c r="X487" s="209">
        <f t="shared" si="142"/>
        <v>0</v>
      </c>
      <c r="Y487" s="209">
        <f t="shared" si="143"/>
        <v>0</v>
      </c>
      <c r="Z487" s="209">
        <f t="shared" si="144"/>
        <v>-1</v>
      </c>
      <c r="AA487" s="205">
        <f t="shared" si="145"/>
        <v>0</v>
      </c>
      <c r="AB487" s="209">
        <f t="shared" si="146"/>
        <v>0</v>
      </c>
      <c r="AC487" s="205">
        <f t="shared" si="147"/>
        <v>0</v>
      </c>
      <c r="AD487" s="210">
        <f t="shared" si="148"/>
        <v>0.77361111110803904</v>
      </c>
      <c r="AE487" s="210">
        <f t="shared" si="149"/>
        <v>0</v>
      </c>
      <c r="AF487" s="210">
        <f t="shared" si="150"/>
        <v>0.77361111110803904</v>
      </c>
      <c r="AG487" s="210">
        <f t="shared" si="151"/>
        <v>0</v>
      </c>
    </row>
    <row r="488" spans="2:33" ht="15" customHeight="1" x14ac:dyDescent="0.3">
      <c r="B488" s="196" t="s">
        <v>19</v>
      </c>
      <c r="C488" s="197" t="s">
        <v>13</v>
      </c>
      <c r="D488" s="198" t="str">
        <f t="shared" si="133"/>
        <v>C</v>
      </c>
      <c r="E488" s="199">
        <v>44239.041666666664</v>
      </c>
      <c r="F488" s="200" t="s">
        <v>88</v>
      </c>
      <c r="G488" s="201">
        <v>1826.07</v>
      </c>
      <c r="H488" s="201">
        <v>1849.04</v>
      </c>
      <c r="I488" s="202">
        <f t="shared" si="134"/>
        <v>22.970000000000027</v>
      </c>
      <c r="J488" s="201">
        <v>1679.09</v>
      </c>
      <c r="K488" s="199">
        <v>44243.724999999999</v>
      </c>
      <c r="L488" s="201">
        <v>1811.33</v>
      </c>
      <c r="M488" s="203">
        <f t="shared" si="135"/>
        <v>14.74</v>
      </c>
      <c r="N488" s="204">
        <f t="shared" si="136"/>
        <v>0.64</v>
      </c>
      <c r="O488" s="205">
        <f t="shared" si="137"/>
        <v>0</v>
      </c>
      <c r="P488" s="206">
        <f t="shared" si="138"/>
        <v>0.64</v>
      </c>
      <c r="Q488" s="206">
        <f t="shared" si="139"/>
        <v>0</v>
      </c>
      <c r="R4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128150</v>
      </c>
      <c r="T4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88" s="208">
        <f ca="1">IF(Tabla33610673[[#This Row],[Equity]]&lt;Tabla33610673[[#This Row],[Equity Peak]],(Tabla33610673[[#This Row],[Equity Peak]]-Tabla33610673[[#This Row],[Equity]])/Tabla33610673[[#This Row],[Equity Peak]],"")</f>
        <v>3.026863412788498E-2</v>
      </c>
      <c r="V488" s="209">
        <f t="shared" si="140"/>
        <v>0</v>
      </c>
      <c r="W488" s="209">
        <f t="shared" si="141"/>
        <v>0</v>
      </c>
      <c r="X488" s="209">
        <f t="shared" si="142"/>
        <v>0.64</v>
      </c>
      <c r="Y488" s="209">
        <f t="shared" si="143"/>
        <v>0</v>
      </c>
      <c r="Z488" s="209">
        <f t="shared" si="144"/>
        <v>0</v>
      </c>
      <c r="AA488" s="205">
        <f t="shared" si="145"/>
        <v>0</v>
      </c>
      <c r="AB488" s="209">
        <f t="shared" si="146"/>
        <v>0</v>
      </c>
      <c r="AC488" s="205">
        <f t="shared" si="147"/>
        <v>0</v>
      </c>
      <c r="AD488" s="210">
        <f t="shared" si="148"/>
        <v>4.6833333333343035</v>
      </c>
      <c r="AE488" s="210">
        <f t="shared" si="149"/>
        <v>4.6833333333343035</v>
      </c>
      <c r="AF488" s="210">
        <f t="shared" si="150"/>
        <v>0</v>
      </c>
      <c r="AG488" s="210">
        <f t="shared" si="151"/>
        <v>0</v>
      </c>
    </row>
    <row r="489" spans="2:33" ht="15" customHeight="1" x14ac:dyDescent="0.3">
      <c r="B489" s="196" t="s">
        <v>7</v>
      </c>
      <c r="C489" s="197" t="s">
        <v>13</v>
      </c>
      <c r="D489" s="198" t="str">
        <f t="shared" si="133"/>
        <v>C</v>
      </c>
      <c r="E489" s="199">
        <v>44242.333333333336</v>
      </c>
      <c r="F489" s="200" t="s">
        <v>121</v>
      </c>
      <c r="G489" s="201">
        <v>1.5589</v>
      </c>
      <c r="H489" s="201">
        <v>1.5633300000000001</v>
      </c>
      <c r="I489" s="202">
        <f t="shared" si="134"/>
        <v>4.430000000000156E-3</v>
      </c>
      <c r="J489" s="201">
        <v>1.51163</v>
      </c>
      <c r="K489" s="199">
        <v>44243.606944444444</v>
      </c>
      <c r="L489" s="201">
        <v>1.56124</v>
      </c>
      <c r="M489" s="203">
        <f t="shared" si="135"/>
        <v>-2.3E-3</v>
      </c>
      <c r="N489" s="204">
        <f t="shared" si="136"/>
        <v>-0.52</v>
      </c>
      <c r="O489" s="205">
        <f t="shared" si="137"/>
        <v>0</v>
      </c>
      <c r="P489" s="206">
        <f t="shared" si="138"/>
        <v>0</v>
      </c>
      <c r="Q489" s="206">
        <f t="shared" si="139"/>
        <v>-0.52</v>
      </c>
      <c r="R4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127510</v>
      </c>
      <c r="T4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89" s="208">
        <f ca="1">IF(Tabla33610673[[#This Row],[Equity]]&lt;Tabla33610673[[#This Row],[Equity Peak]],(Tabla33610673[[#This Row],[Equity Peak]]-Tabla33610673[[#This Row],[Equity]])/Tabla33610673[[#This Row],[Equity Peak]],"")</f>
        <v>3.5111615588346579E-2</v>
      </c>
      <c r="V489" s="209">
        <f t="shared" si="140"/>
        <v>-0.52</v>
      </c>
      <c r="W489" s="209">
        <f t="shared" si="141"/>
        <v>0</v>
      </c>
      <c r="X489" s="209">
        <f t="shared" si="142"/>
        <v>0</v>
      </c>
      <c r="Y489" s="209">
        <f t="shared" si="143"/>
        <v>0</v>
      </c>
      <c r="Z489" s="209">
        <f t="shared" si="144"/>
        <v>0</v>
      </c>
      <c r="AA489" s="205">
        <f t="shared" si="145"/>
        <v>0</v>
      </c>
      <c r="AB489" s="209">
        <f t="shared" si="146"/>
        <v>0</v>
      </c>
      <c r="AC489" s="205">
        <f t="shared" si="147"/>
        <v>0</v>
      </c>
      <c r="AD489" s="210">
        <f t="shared" si="148"/>
        <v>1.273611111108039</v>
      </c>
      <c r="AE489" s="210">
        <f t="shared" si="149"/>
        <v>0</v>
      </c>
      <c r="AF489" s="210">
        <f t="shared" si="150"/>
        <v>1.273611111108039</v>
      </c>
      <c r="AG489" s="210">
        <f t="shared" si="151"/>
        <v>0</v>
      </c>
    </row>
    <row r="490" spans="2:33" ht="15" customHeight="1" x14ac:dyDescent="0.3">
      <c r="B490" s="196" t="s">
        <v>7</v>
      </c>
      <c r="C490" s="197" t="s">
        <v>13</v>
      </c>
      <c r="D490" s="198" t="str">
        <f t="shared" si="133"/>
        <v>C</v>
      </c>
      <c r="E490" s="199">
        <v>44238.5</v>
      </c>
      <c r="F490" s="200" t="s">
        <v>117</v>
      </c>
      <c r="G490" s="201">
        <v>1.78626</v>
      </c>
      <c r="H490" s="201">
        <v>1.8004800000000001</v>
      </c>
      <c r="I490" s="202">
        <f t="shared" si="134"/>
        <v>1.4220000000000121E-2</v>
      </c>
      <c r="J490" s="201">
        <v>1.7388399999999999</v>
      </c>
      <c r="K490" s="199">
        <v>44239.683333333334</v>
      </c>
      <c r="L490" s="201">
        <v>1.7877700000000001</v>
      </c>
      <c r="M490" s="203">
        <f t="shared" si="135"/>
        <v>-1.5E-3</v>
      </c>
      <c r="N490" s="204">
        <f t="shared" si="136"/>
        <v>-0.11</v>
      </c>
      <c r="O490" s="205">
        <f t="shared" si="137"/>
        <v>0</v>
      </c>
      <c r="P490" s="206">
        <f t="shared" si="138"/>
        <v>0</v>
      </c>
      <c r="Q490" s="206">
        <f t="shared" si="139"/>
        <v>-0.11</v>
      </c>
      <c r="R4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128030</v>
      </c>
      <c r="T4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0" s="208">
        <f ca="1">IF(Tabla33610673[[#This Row],[Equity]]&lt;Tabla33610673[[#This Row],[Equity Peak]],(Tabla33610673[[#This Row],[Equity Peak]]-Tabla33610673[[#This Row],[Equity]])/Tabla33610673[[#This Row],[Equity Peak]],"")</f>
        <v>3.117669315172153E-2</v>
      </c>
      <c r="V490" s="209">
        <f t="shared" si="140"/>
        <v>-0.11</v>
      </c>
      <c r="W490" s="209">
        <f t="shared" si="141"/>
        <v>0</v>
      </c>
      <c r="X490" s="209">
        <f t="shared" si="142"/>
        <v>0</v>
      </c>
      <c r="Y490" s="209">
        <f t="shared" si="143"/>
        <v>0</v>
      </c>
      <c r="Z490" s="209">
        <f t="shared" si="144"/>
        <v>0</v>
      </c>
      <c r="AA490" s="205">
        <f t="shared" si="145"/>
        <v>0</v>
      </c>
      <c r="AB490" s="209">
        <f t="shared" si="146"/>
        <v>0</v>
      </c>
      <c r="AC490" s="205">
        <f t="shared" si="147"/>
        <v>0</v>
      </c>
      <c r="AD490" s="210">
        <f t="shared" si="148"/>
        <v>1.1833333333343035</v>
      </c>
      <c r="AE490" s="210">
        <f t="shared" si="149"/>
        <v>0</v>
      </c>
      <c r="AF490" s="210">
        <f t="shared" si="150"/>
        <v>1.1833333333343035</v>
      </c>
      <c r="AG490" s="210">
        <f t="shared" si="151"/>
        <v>0</v>
      </c>
    </row>
    <row r="491" spans="2:33" ht="15" customHeight="1" x14ac:dyDescent="0.3">
      <c r="B491" s="196" t="s">
        <v>7</v>
      </c>
      <c r="C491" s="197" t="s">
        <v>15</v>
      </c>
      <c r="D491" s="198" t="str">
        <f t="shared" si="133"/>
        <v>C</v>
      </c>
      <c r="E491" s="199">
        <v>44239.333333333336</v>
      </c>
      <c r="F491" s="200" t="s">
        <v>118</v>
      </c>
      <c r="G491" s="201">
        <v>1.2131400000000001</v>
      </c>
      <c r="H491" s="201">
        <v>1.2087699999999999</v>
      </c>
      <c r="I491" s="202">
        <f t="shared" si="134"/>
        <v>4.3700000000002071E-3</v>
      </c>
      <c r="J491" s="201">
        <v>1.24108</v>
      </c>
      <c r="K491" s="199">
        <v>44239.652083333334</v>
      </c>
      <c r="L491" s="201">
        <v>1.2087699999999999</v>
      </c>
      <c r="M491" s="203">
        <f t="shared" si="135"/>
        <v>-4.4000000000000003E-3</v>
      </c>
      <c r="N491" s="204">
        <f t="shared" si="136"/>
        <v>-1.01</v>
      </c>
      <c r="O491" s="205">
        <f t="shared" si="137"/>
        <v>0</v>
      </c>
      <c r="P491" s="206">
        <f t="shared" si="138"/>
        <v>0</v>
      </c>
      <c r="Q491" s="206">
        <f t="shared" si="139"/>
        <v>-1.01</v>
      </c>
      <c r="R4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128140</v>
      </c>
      <c r="T4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1" s="208">
        <f ca="1">IF(Tabla33610673[[#This Row],[Equity]]&lt;Tabla33610673[[#This Row],[Equity Peak]],(Tabla33610673[[#This Row],[Equity Peak]]-Tabla33610673[[#This Row],[Equity]])/Tabla33610673[[#This Row],[Equity Peak]],"")</f>
        <v>3.0344305713204692E-2</v>
      </c>
      <c r="V491" s="209">
        <f t="shared" si="140"/>
        <v>-1.01</v>
      </c>
      <c r="W491" s="209">
        <f t="shared" si="141"/>
        <v>0</v>
      </c>
      <c r="X491" s="209">
        <f t="shared" si="142"/>
        <v>0</v>
      </c>
      <c r="Y491" s="209">
        <f t="shared" si="143"/>
        <v>0</v>
      </c>
      <c r="Z491" s="209">
        <f t="shared" si="144"/>
        <v>0</v>
      </c>
      <c r="AA491" s="205">
        <f t="shared" si="145"/>
        <v>0</v>
      </c>
      <c r="AB491" s="209">
        <f t="shared" si="146"/>
        <v>0</v>
      </c>
      <c r="AC491" s="205">
        <f t="shared" si="147"/>
        <v>0</v>
      </c>
      <c r="AD491" s="210">
        <f t="shared" si="148"/>
        <v>0.31874999999854481</v>
      </c>
      <c r="AE491" s="210">
        <f t="shared" si="149"/>
        <v>0</v>
      </c>
      <c r="AF491" s="210">
        <f t="shared" si="150"/>
        <v>0.31874999999854481</v>
      </c>
      <c r="AG491" s="210">
        <f t="shared" si="151"/>
        <v>0</v>
      </c>
    </row>
    <row r="492" spans="2:33" ht="15" customHeight="1" x14ac:dyDescent="0.3">
      <c r="B492" s="196" t="s">
        <v>5</v>
      </c>
      <c r="C492" s="197" t="s">
        <v>13</v>
      </c>
      <c r="D492" s="198" t="str">
        <f t="shared" si="133"/>
        <v>C</v>
      </c>
      <c r="E492" s="199">
        <v>44237.833333333336</v>
      </c>
      <c r="F492" s="200" t="s">
        <v>94</v>
      </c>
      <c r="G492" s="201">
        <v>6516.43</v>
      </c>
      <c r="H492" s="201">
        <v>6579.41</v>
      </c>
      <c r="I492" s="202">
        <f t="shared" si="134"/>
        <v>62.979999999999563</v>
      </c>
      <c r="J492" s="201">
        <v>6201.52</v>
      </c>
      <c r="K492" s="199">
        <v>44238.450694444444</v>
      </c>
      <c r="L492" s="201">
        <v>6549.5</v>
      </c>
      <c r="M492" s="203">
        <f t="shared" si="135"/>
        <v>-33.07</v>
      </c>
      <c r="N492" s="204">
        <f t="shared" si="136"/>
        <v>-0.53</v>
      </c>
      <c r="O492" s="205">
        <f t="shared" si="137"/>
        <v>0</v>
      </c>
      <c r="P492" s="206">
        <f t="shared" si="138"/>
        <v>0</v>
      </c>
      <c r="Q492" s="206">
        <f t="shared" si="139"/>
        <v>-0.53</v>
      </c>
      <c r="R4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129150</v>
      </c>
      <c r="T4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2" s="208">
        <f ca="1">IF(Tabla33610673[[#This Row],[Equity]]&lt;Tabla33610673[[#This Row],[Equity Peak]],(Tabla33610673[[#This Row],[Equity Peak]]-Tabla33610673[[#This Row],[Equity]])/Tabla33610673[[#This Row],[Equity Peak]],"")</f>
        <v>2.2701475595913734E-2</v>
      </c>
      <c r="V492" s="209">
        <f t="shared" si="140"/>
        <v>0</v>
      </c>
      <c r="W492" s="209">
        <f t="shared" si="141"/>
        <v>0</v>
      </c>
      <c r="X492" s="209">
        <f t="shared" si="142"/>
        <v>0</v>
      </c>
      <c r="Y492" s="209">
        <f t="shared" si="143"/>
        <v>0</v>
      </c>
      <c r="Z492" s="209">
        <f t="shared" si="144"/>
        <v>-0.53</v>
      </c>
      <c r="AA492" s="205">
        <f t="shared" si="145"/>
        <v>0</v>
      </c>
      <c r="AB492" s="209">
        <f t="shared" si="146"/>
        <v>0</v>
      </c>
      <c r="AC492" s="205">
        <f t="shared" si="147"/>
        <v>0</v>
      </c>
      <c r="AD492" s="210">
        <f t="shared" si="148"/>
        <v>0.61736111110803904</v>
      </c>
      <c r="AE492" s="210">
        <f t="shared" si="149"/>
        <v>0</v>
      </c>
      <c r="AF492" s="210">
        <f t="shared" si="150"/>
        <v>0.61736111110803904</v>
      </c>
      <c r="AG492" s="210">
        <f t="shared" si="151"/>
        <v>0</v>
      </c>
    </row>
    <row r="493" spans="2:33" ht="15" customHeight="1" x14ac:dyDescent="0.3">
      <c r="B493" s="196" t="s">
        <v>5</v>
      </c>
      <c r="C493" s="197" t="s">
        <v>15</v>
      </c>
      <c r="D493" s="198" t="str">
        <f t="shared" si="133"/>
        <v>C</v>
      </c>
      <c r="E493" s="199">
        <v>44230.833333333336</v>
      </c>
      <c r="F493" s="200" t="s">
        <v>91</v>
      </c>
      <c r="G493" s="201">
        <v>13953.79</v>
      </c>
      <c r="H493" s="201">
        <v>13685.31</v>
      </c>
      <c r="I493" s="202">
        <f t="shared" si="134"/>
        <v>268.48000000000138</v>
      </c>
      <c r="J493" s="201">
        <v>15027.71</v>
      </c>
      <c r="K493" s="199">
        <v>44237.734027777777</v>
      </c>
      <c r="L493" s="201">
        <v>13900.2</v>
      </c>
      <c r="M493" s="203">
        <f t="shared" si="135"/>
        <v>-53.59</v>
      </c>
      <c r="N493" s="204">
        <f t="shared" si="136"/>
        <v>-0.2</v>
      </c>
      <c r="O493" s="205">
        <f t="shared" si="137"/>
        <v>0</v>
      </c>
      <c r="P493" s="206">
        <f t="shared" si="138"/>
        <v>0</v>
      </c>
      <c r="Q493" s="206">
        <f t="shared" si="139"/>
        <v>-0.2</v>
      </c>
      <c r="R4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129680</v>
      </c>
      <c r="T4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3" s="208">
        <f ca="1">IF(Tabla33610673[[#This Row],[Equity]]&lt;Tabla33610673[[#This Row],[Equity Peak]],(Tabla33610673[[#This Row],[Equity Peak]]-Tabla33610673[[#This Row],[Equity]])/Tabla33610673[[#This Row],[Equity Peak]],"")</f>
        <v>1.8690881573968976E-2</v>
      </c>
      <c r="V493" s="209">
        <f t="shared" si="140"/>
        <v>0</v>
      </c>
      <c r="W493" s="209">
        <f t="shared" si="141"/>
        <v>0</v>
      </c>
      <c r="X493" s="209">
        <f t="shared" si="142"/>
        <v>0</v>
      </c>
      <c r="Y493" s="209">
        <f t="shared" si="143"/>
        <v>0</v>
      </c>
      <c r="Z493" s="209">
        <f t="shared" si="144"/>
        <v>-0.2</v>
      </c>
      <c r="AA493" s="205">
        <f t="shared" si="145"/>
        <v>0</v>
      </c>
      <c r="AB493" s="209">
        <f t="shared" si="146"/>
        <v>0</v>
      </c>
      <c r="AC493" s="205">
        <f t="shared" si="147"/>
        <v>0</v>
      </c>
      <c r="AD493" s="210">
        <f t="shared" si="148"/>
        <v>6.9006944444408873</v>
      </c>
      <c r="AE493" s="210">
        <f t="shared" si="149"/>
        <v>0</v>
      </c>
      <c r="AF493" s="210">
        <f t="shared" si="150"/>
        <v>6.9006944444408873</v>
      </c>
      <c r="AG493" s="210">
        <f t="shared" si="151"/>
        <v>0</v>
      </c>
    </row>
    <row r="494" spans="2:33" ht="15" customHeight="1" x14ac:dyDescent="0.3">
      <c r="B494" s="196" t="s">
        <v>5</v>
      </c>
      <c r="C494" s="197" t="s">
        <v>15</v>
      </c>
      <c r="D494" s="198" t="str">
        <f t="shared" si="133"/>
        <v>C</v>
      </c>
      <c r="E494" s="199">
        <v>44229.166666666664</v>
      </c>
      <c r="F494" s="200" t="s">
        <v>92</v>
      </c>
      <c r="G494" s="201">
        <v>13344.05</v>
      </c>
      <c r="H494" s="201">
        <v>13066.2</v>
      </c>
      <c r="I494" s="202">
        <f t="shared" si="134"/>
        <v>277.84999999999854</v>
      </c>
      <c r="J494" s="201">
        <v>15196.38</v>
      </c>
      <c r="K494" s="199">
        <v>44237.724999999999</v>
      </c>
      <c r="L494" s="201">
        <v>13573.73</v>
      </c>
      <c r="M494" s="203">
        <f t="shared" si="135"/>
        <v>229.68</v>
      </c>
      <c r="N494" s="204">
        <f t="shared" si="136"/>
        <v>0.83</v>
      </c>
      <c r="O494" s="205">
        <f t="shared" si="137"/>
        <v>0</v>
      </c>
      <c r="P494" s="206">
        <f t="shared" si="138"/>
        <v>0.83</v>
      </c>
      <c r="Q494" s="206">
        <f t="shared" si="139"/>
        <v>0</v>
      </c>
      <c r="R4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129880</v>
      </c>
      <c r="T4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4" s="208">
        <f ca="1">IF(Tabla33610673[[#This Row],[Equity]]&lt;Tabla33610673[[#This Row],[Equity Peak]],(Tabla33610673[[#This Row],[Equity Peak]]-Tabla33610673[[#This Row],[Equity]])/Tabla33610673[[#This Row],[Equity Peak]],"")</f>
        <v>1.7177449867574725E-2</v>
      </c>
      <c r="V494" s="209">
        <f t="shared" si="140"/>
        <v>0</v>
      </c>
      <c r="W494" s="209">
        <f t="shared" si="141"/>
        <v>0</v>
      </c>
      <c r="X494" s="209">
        <f t="shared" si="142"/>
        <v>0</v>
      </c>
      <c r="Y494" s="209">
        <f t="shared" si="143"/>
        <v>0</v>
      </c>
      <c r="Z494" s="209">
        <f t="shared" si="144"/>
        <v>0.83</v>
      </c>
      <c r="AA494" s="205">
        <f t="shared" si="145"/>
        <v>0</v>
      </c>
      <c r="AB494" s="209">
        <f t="shared" si="146"/>
        <v>0</v>
      </c>
      <c r="AC494" s="205">
        <f t="shared" si="147"/>
        <v>0</v>
      </c>
      <c r="AD494" s="210">
        <f t="shared" si="148"/>
        <v>8.5583333333343035</v>
      </c>
      <c r="AE494" s="210">
        <f t="shared" si="149"/>
        <v>8.5583333333343035</v>
      </c>
      <c r="AF494" s="210">
        <f t="shared" si="150"/>
        <v>0</v>
      </c>
      <c r="AG494" s="210">
        <f t="shared" si="151"/>
        <v>0</v>
      </c>
    </row>
    <row r="495" spans="2:33" ht="15" customHeight="1" x14ac:dyDescent="0.3">
      <c r="B495" s="196" t="s">
        <v>5</v>
      </c>
      <c r="C495" s="197" t="s">
        <v>15</v>
      </c>
      <c r="D495" s="198" t="str">
        <f t="shared" si="133"/>
        <v>C</v>
      </c>
      <c r="E495" s="199">
        <v>44230.5</v>
      </c>
      <c r="F495" s="200" t="s">
        <v>93</v>
      </c>
      <c r="G495" s="201">
        <v>3838.04</v>
      </c>
      <c r="H495" s="201">
        <v>3802.73</v>
      </c>
      <c r="I495" s="202">
        <f t="shared" si="134"/>
        <v>35.309999999999945</v>
      </c>
      <c r="J495" s="201">
        <v>3932.21</v>
      </c>
      <c r="K495" s="199">
        <v>44237.652083333334</v>
      </c>
      <c r="L495" s="201">
        <v>3932.21</v>
      </c>
      <c r="M495" s="203">
        <f t="shared" si="135"/>
        <v>94.17</v>
      </c>
      <c r="N495" s="204">
        <f t="shared" si="136"/>
        <v>2.67</v>
      </c>
      <c r="O495" s="205">
        <f t="shared" si="137"/>
        <v>0</v>
      </c>
      <c r="P495" s="206">
        <f t="shared" si="138"/>
        <v>2.67</v>
      </c>
      <c r="Q495" s="206">
        <f t="shared" si="139"/>
        <v>0</v>
      </c>
      <c r="R4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129050</v>
      </c>
      <c r="T4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5" s="208">
        <f ca="1">IF(Tabla33610673[[#This Row],[Equity]]&lt;Tabla33610673[[#This Row],[Equity Peak]],(Tabla33610673[[#This Row],[Equity Peak]]-Tabla33610673[[#This Row],[Equity]])/Tabla33610673[[#This Row],[Equity Peak]],"")</f>
        <v>2.3458191449110859E-2</v>
      </c>
      <c r="V495" s="209">
        <f t="shared" si="140"/>
        <v>0</v>
      </c>
      <c r="W495" s="209">
        <f t="shared" si="141"/>
        <v>0</v>
      </c>
      <c r="X495" s="209">
        <f t="shared" si="142"/>
        <v>0</v>
      </c>
      <c r="Y495" s="209">
        <f t="shared" si="143"/>
        <v>0</v>
      </c>
      <c r="Z495" s="209">
        <f t="shared" si="144"/>
        <v>2.67</v>
      </c>
      <c r="AA495" s="205">
        <f t="shared" si="145"/>
        <v>0</v>
      </c>
      <c r="AB495" s="209">
        <f t="shared" si="146"/>
        <v>0</v>
      </c>
      <c r="AC495" s="205">
        <f t="shared" si="147"/>
        <v>0</v>
      </c>
      <c r="AD495" s="210">
        <f t="shared" si="148"/>
        <v>7.1520833333343035</v>
      </c>
      <c r="AE495" s="210">
        <f t="shared" si="149"/>
        <v>7.1520833333343035</v>
      </c>
      <c r="AF495" s="210">
        <f t="shared" si="150"/>
        <v>0</v>
      </c>
      <c r="AG495" s="210">
        <f t="shared" si="151"/>
        <v>0</v>
      </c>
    </row>
    <row r="496" spans="2:33" ht="15" customHeight="1" x14ac:dyDescent="0.3">
      <c r="B496" s="196" t="s">
        <v>7</v>
      </c>
      <c r="C496" s="197" t="s">
        <v>13</v>
      </c>
      <c r="D496" s="198" t="str">
        <f t="shared" si="133"/>
        <v>C</v>
      </c>
      <c r="E496" s="199">
        <v>44236.333333333336</v>
      </c>
      <c r="F496" s="200" t="s">
        <v>117</v>
      </c>
      <c r="G496" s="201">
        <v>1.78355</v>
      </c>
      <c r="H496" s="201">
        <v>1.7981499999999999</v>
      </c>
      <c r="I496" s="202">
        <f t="shared" si="134"/>
        <v>1.4599999999999946E-2</v>
      </c>
      <c r="J496" s="201">
        <v>1.73489</v>
      </c>
      <c r="K496" s="199">
        <v>44237.472916666666</v>
      </c>
      <c r="L496" s="201">
        <v>1.7891900000000001</v>
      </c>
      <c r="M496" s="203">
        <f t="shared" si="135"/>
        <v>-5.5999999999999999E-3</v>
      </c>
      <c r="N496" s="204">
        <f t="shared" si="136"/>
        <v>-0.38</v>
      </c>
      <c r="O496" s="205">
        <f t="shared" si="137"/>
        <v>0</v>
      </c>
      <c r="P496" s="206">
        <f t="shared" si="138"/>
        <v>0</v>
      </c>
      <c r="Q496" s="206">
        <f t="shared" si="139"/>
        <v>-0.38</v>
      </c>
      <c r="R4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126380</v>
      </c>
      <c r="T4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6" s="208">
        <f ca="1">IF(Tabla33610673[[#This Row],[Equity]]&lt;Tabla33610673[[#This Row],[Equity Peak]],(Tabla33610673[[#This Row],[Equity Peak]]-Tabla33610673[[#This Row],[Equity]])/Tabla33610673[[#This Row],[Equity Peak]],"")</f>
        <v>4.3662504729474083E-2</v>
      </c>
      <c r="V496" s="209">
        <f t="shared" si="140"/>
        <v>-0.38</v>
      </c>
      <c r="W496" s="209">
        <f t="shared" si="141"/>
        <v>0</v>
      </c>
      <c r="X496" s="209">
        <f t="shared" si="142"/>
        <v>0</v>
      </c>
      <c r="Y496" s="209">
        <f t="shared" si="143"/>
        <v>0</v>
      </c>
      <c r="Z496" s="209">
        <f t="shared" si="144"/>
        <v>0</v>
      </c>
      <c r="AA496" s="205">
        <f t="shared" si="145"/>
        <v>0</v>
      </c>
      <c r="AB496" s="209">
        <f t="shared" si="146"/>
        <v>0</v>
      </c>
      <c r="AC496" s="205">
        <f t="shared" si="147"/>
        <v>0</v>
      </c>
      <c r="AD496" s="210">
        <f t="shared" si="148"/>
        <v>1.1395833333299379</v>
      </c>
      <c r="AE496" s="210">
        <f t="shared" si="149"/>
        <v>0</v>
      </c>
      <c r="AF496" s="210">
        <f t="shared" si="150"/>
        <v>1.1395833333299379</v>
      </c>
      <c r="AG496" s="210">
        <f t="shared" si="151"/>
        <v>0</v>
      </c>
    </row>
    <row r="497" spans="2:33" ht="15" customHeight="1" x14ac:dyDescent="0.3">
      <c r="B497" s="196" t="s">
        <v>5</v>
      </c>
      <c r="C497" s="197" t="s">
        <v>15</v>
      </c>
      <c r="D497" s="198" t="str">
        <f t="shared" si="133"/>
        <v>C</v>
      </c>
      <c r="E497" s="199">
        <v>44237.166666666664</v>
      </c>
      <c r="F497" s="200" t="s">
        <v>94</v>
      </c>
      <c r="G497" s="201">
        <v>6570.04</v>
      </c>
      <c r="H497" s="201">
        <v>6514.51</v>
      </c>
      <c r="I497" s="202">
        <f t="shared" si="134"/>
        <v>55.529999999999745</v>
      </c>
      <c r="J497" s="201">
        <v>6847.7</v>
      </c>
      <c r="K497" s="199">
        <v>44237.443749999999</v>
      </c>
      <c r="L497" s="201">
        <v>6529.42</v>
      </c>
      <c r="M497" s="203">
        <f t="shared" si="135"/>
        <v>-40.619999999999997</v>
      </c>
      <c r="N497" s="204">
        <f t="shared" si="136"/>
        <v>-0.73</v>
      </c>
      <c r="O497" s="205">
        <f t="shared" si="137"/>
        <v>0</v>
      </c>
      <c r="P497" s="206">
        <f t="shared" si="138"/>
        <v>0</v>
      </c>
      <c r="Q497" s="206">
        <f t="shared" si="139"/>
        <v>-0.73</v>
      </c>
      <c r="R4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126760</v>
      </c>
      <c r="T4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7" s="208">
        <f ca="1">IF(Tabla33610673[[#This Row],[Equity]]&lt;Tabla33610673[[#This Row],[Equity Peak]],(Tabla33610673[[#This Row],[Equity Peak]]-Tabla33610673[[#This Row],[Equity]])/Tabla33610673[[#This Row],[Equity Peak]],"")</f>
        <v>4.0786984487325012E-2</v>
      </c>
      <c r="V497" s="209">
        <f t="shared" si="140"/>
        <v>0</v>
      </c>
      <c r="W497" s="209">
        <f t="shared" si="141"/>
        <v>0</v>
      </c>
      <c r="X497" s="209">
        <f t="shared" si="142"/>
        <v>0</v>
      </c>
      <c r="Y497" s="209">
        <f t="shared" si="143"/>
        <v>0</v>
      </c>
      <c r="Z497" s="209">
        <f t="shared" si="144"/>
        <v>-0.73</v>
      </c>
      <c r="AA497" s="205">
        <f t="shared" si="145"/>
        <v>0</v>
      </c>
      <c r="AB497" s="209">
        <f t="shared" si="146"/>
        <v>0</v>
      </c>
      <c r="AC497" s="205">
        <f t="shared" si="147"/>
        <v>0</v>
      </c>
      <c r="AD497" s="210">
        <f t="shared" si="148"/>
        <v>0.27708333333430346</v>
      </c>
      <c r="AE497" s="210">
        <f t="shared" si="149"/>
        <v>0</v>
      </c>
      <c r="AF497" s="210">
        <f t="shared" si="150"/>
        <v>0.27708333333430346</v>
      </c>
      <c r="AG497" s="210">
        <f t="shared" si="151"/>
        <v>0</v>
      </c>
    </row>
    <row r="498" spans="2:33" ht="15" customHeight="1" x14ac:dyDescent="0.3">
      <c r="B498" s="196" t="s">
        <v>5</v>
      </c>
      <c r="C498" s="197" t="s">
        <v>15</v>
      </c>
      <c r="D498" s="198" t="str">
        <f t="shared" si="133"/>
        <v>C</v>
      </c>
      <c r="E498" s="199">
        <v>44235.201388888891</v>
      </c>
      <c r="F498" s="200" t="s">
        <v>90</v>
      </c>
      <c r="G498" s="201">
        <v>6900.55</v>
      </c>
      <c r="H498" s="201">
        <v>6854.56</v>
      </c>
      <c r="I498" s="202">
        <f t="shared" si="134"/>
        <v>45.989999999999782</v>
      </c>
      <c r="J498" s="201">
        <v>7513.74</v>
      </c>
      <c r="K498" s="199">
        <v>44235.480555555558</v>
      </c>
      <c r="L498" s="201">
        <v>6854.56</v>
      </c>
      <c r="M498" s="203">
        <f t="shared" si="135"/>
        <v>-45.99</v>
      </c>
      <c r="N498" s="204">
        <f t="shared" si="136"/>
        <v>-1</v>
      </c>
      <c r="O498" s="205">
        <f t="shared" si="137"/>
        <v>0</v>
      </c>
      <c r="P498" s="206">
        <f t="shared" si="138"/>
        <v>0</v>
      </c>
      <c r="Q498" s="206">
        <f t="shared" si="139"/>
        <v>-1</v>
      </c>
      <c r="R4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127490</v>
      </c>
      <c r="T4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8" s="208">
        <f ca="1">IF(Tabla33610673[[#This Row],[Equity]]&lt;Tabla33610673[[#This Row],[Equity Peak]],(Tabla33610673[[#This Row],[Equity Peak]]-Tabla33610673[[#This Row],[Equity]])/Tabla33610673[[#This Row],[Equity Peak]],"")</f>
        <v>3.5262958758986003E-2</v>
      </c>
      <c r="V498" s="209">
        <f t="shared" si="140"/>
        <v>0</v>
      </c>
      <c r="W498" s="209">
        <f t="shared" si="141"/>
        <v>0</v>
      </c>
      <c r="X498" s="209">
        <f t="shared" si="142"/>
        <v>0</v>
      </c>
      <c r="Y498" s="209">
        <f t="shared" si="143"/>
        <v>0</v>
      </c>
      <c r="Z498" s="209">
        <f t="shared" si="144"/>
        <v>-1</v>
      </c>
      <c r="AA498" s="205">
        <f t="shared" si="145"/>
        <v>0</v>
      </c>
      <c r="AB498" s="209">
        <f t="shared" si="146"/>
        <v>0</v>
      </c>
      <c r="AC498" s="205">
        <f t="shared" si="147"/>
        <v>0</v>
      </c>
      <c r="AD498" s="210">
        <f t="shared" si="148"/>
        <v>0.27916666666715173</v>
      </c>
      <c r="AE498" s="210">
        <f t="shared" si="149"/>
        <v>0</v>
      </c>
      <c r="AF498" s="210">
        <f t="shared" si="150"/>
        <v>0.27916666666715173</v>
      </c>
      <c r="AG498" s="210">
        <f t="shared" si="151"/>
        <v>0</v>
      </c>
    </row>
    <row r="499" spans="2:33" ht="15" customHeight="1" x14ac:dyDescent="0.3">
      <c r="B499" s="196" t="s">
        <v>7</v>
      </c>
      <c r="C499" s="197" t="s">
        <v>13</v>
      </c>
      <c r="D499" s="198" t="str">
        <f t="shared" si="133"/>
        <v>C</v>
      </c>
      <c r="E499" s="199">
        <v>44231.666666666664</v>
      </c>
      <c r="F499" s="200" t="s">
        <v>119</v>
      </c>
      <c r="G499" s="201">
        <v>126.20099999999999</v>
      </c>
      <c r="H499" s="201">
        <v>126.72799999999999</v>
      </c>
      <c r="I499" s="202">
        <f t="shared" si="134"/>
        <v>0.52700000000000102</v>
      </c>
      <c r="J499" s="201">
        <v>124.092</v>
      </c>
      <c r="K499" s="199">
        <v>44232.59652777778</v>
      </c>
      <c r="L499" s="201">
        <v>126.64400000000001</v>
      </c>
      <c r="M499" s="203">
        <f t="shared" si="135"/>
        <v>-0.443</v>
      </c>
      <c r="N499" s="204">
        <f t="shared" si="136"/>
        <v>-0.84</v>
      </c>
      <c r="O499" s="205">
        <f t="shared" si="137"/>
        <v>0</v>
      </c>
      <c r="P499" s="206">
        <f t="shared" si="138"/>
        <v>0</v>
      </c>
      <c r="Q499" s="206">
        <f t="shared" si="139"/>
        <v>-0.84</v>
      </c>
      <c r="R4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128490</v>
      </c>
      <c r="T4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499" s="208">
        <f ca="1">IF(Tabla33610673[[#This Row],[Equity]]&lt;Tabla33610673[[#This Row],[Equity Peak]],(Tabla33610673[[#This Row],[Equity Peak]]-Tabla33610673[[#This Row],[Equity]])/Tabla33610673[[#This Row],[Equity Peak]],"")</f>
        <v>2.7695800227014757E-2</v>
      </c>
      <c r="V499" s="209">
        <f t="shared" si="140"/>
        <v>-0.84</v>
      </c>
      <c r="W499" s="209">
        <f t="shared" si="141"/>
        <v>0</v>
      </c>
      <c r="X499" s="209">
        <f t="shared" si="142"/>
        <v>0</v>
      </c>
      <c r="Y499" s="209">
        <f t="shared" si="143"/>
        <v>0</v>
      </c>
      <c r="Z499" s="209">
        <f t="shared" si="144"/>
        <v>0</v>
      </c>
      <c r="AA499" s="205">
        <f t="shared" si="145"/>
        <v>0</v>
      </c>
      <c r="AB499" s="209">
        <f t="shared" si="146"/>
        <v>0</v>
      </c>
      <c r="AC499" s="205">
        <f t="shared" si="147"/>
        <v>0</v>
      </c>
      <c r="AD499" s="210">
        <f t="shared" si="148"/>
        <v>0.929861111115315</v>
      </c>
      <c r="AE499" s="210">
        <f t="shared" si="149"/>
        <v>0</v>
      </c>
      <c r="AF499" s="210">
        <f t="shared" si="150"/>
        <v>0.929861111115315</v>
      </c>
      <c r="AG499" s="210">
        <f t="shared" si="151"/>
        <v>0</v>
      </c>
    </row>
    <row r="500" spans="2:33" ht="15" customHeight="1" x14ac:dyDescent="0.3">
      <c r="B500" s="196" t="s">
        <v>19</v>
      </c>
      <c r="C500" s="197" t="s">
        <v>13</v>
      </c>
      <c r="D500" s="198" t="str">
        <f t="shared" si="133"/>
        <v>C</v>
      </c>
      <c r="E500" s="199">
        <v>44229.708333333336</v>
      </c>
      <c r="F500" s="200" t="s">
        <v>88</v>
      </c>
      <c r="G500" s="201">
        <v>1834.19</v>
      </c>
      <c r="H500" s="201">
        <v>1867.83</v>
      </c>
      <c r="I500" s="202">
        <f t="shared" si="134"/>
        <v>33.639999999999873</v>
      </c>
      <c r="J500" s="201">
        <v>1618.86</v>
      </c>
      <c r="K500" s="199">
        <v>44232.431250000001</v>
      </c>
      <c r="L500" s="201">
        <v>1808.85</v>
      </c>
      <c r="M500" s="203">
        <f t="shared" si="135"/>
        <v>25.34</v>
      </c>
      <c r="N500" s="204">
        <f t="shared" si="136"/>
        <v>0.75</v>
      </c>
      <c r="O500" s="205">
        <f t="shared" si="137"/>
        <v>0</v>
      </c>
      <c r="P500" s="206">
        <f t="shared" si="138"/>
        <v>0.75</v>
      </c>
      <c r="Q500" s="206">
        <f t="shared" si="139"/>
        <v>0</v>
      </c>
      <c r="R5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129330</v>
      </c>
      <c r="T5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0" s="208">
        <f ca="1">IF(Tabla33610673[[#This Row],[Equity]]&lt;Tabla33610673[[#This Row],[Equity Peak]],(Tabla33610673[[#This Row],[Equity Peak]]-Tabla33610673[[#This Row],[Equity]])/Tabla33610673[[#This Row],[Equity Peak]],"")</f>
        <v>2.133938706015891E-2</v>
      </c>
      <c r="V500" s="209">
        <f t="shared" si="140"/>
        <v>0</v>
      </c>
      <c r="W500" s="209">
        <f t="shared" si="141"/>
        <v>0</v>
      </c>
      <c r="X500" s="209">
        <f t="shared" si="142"/>
        <v>0.75</v>
      </c>
      <c r="Y500" s="209">
        <f t="shared" si="143"/>
        <v>0</v>
      </c>
      <c r="Z500" s="209">
        <f t="shared" si="144"/>
        <v>0</v>
      </c>
      <c r="AA500" s="205">
        <f t="shared" si="145"/>
        <v>0</v>
      </c>
      <c r="AB500" s="209">
        <f t="shared" si="146"/>
        <v>0</v>
      </c>
      <c r="AC500" s="205">
        <f t="shared" si="147"/>
        <v>0</v>
      </c>
      <c r="AD500" s="210">
        <f t="shared" si="148"/>
        <v>2.7229166666656965</v>
      </c>
      <c r="AE500" s="210">
        <f t="shared" si="149"/>
        <v>2.7229166666656965</v>
      </c>
      <c r="AF500" s="210">
        <f t="shared" si="150"/>
        <v>0</v>
      </c>
      <c r="AG500" s="210">
        <f t="shared" si="151"/>
        <v>0</v>
      </c>
    </row>
    <row r="501" spans="2:33" ht="15" customHeight="1" x14ac:dyDescent="0.3">
      <c r="B501" s="196" t="s">
        <v>7</v>
      </c>
      <c r="C501" s="197" t="s">
        <v>13</v>
      </c>
      <c r="D501" s="198" t="str">
        <f t="shared" si="133"/>
        <v>C</v>
      </c>
      <c r="E501" s="199">
        <v>44231.166666666664</v>
      </c>
      <c r="F501" s="200" t="s">
        <v>121</v>
      </c>
      <c r="G501" s="201">
        <v>1.5750599999999999</v>
      </c>
      <c r="H501" s="201">
        <v>1.5811900000000001</v>
      </c>
      <c r="I501" s="202">
        <f t="shared" si="134"/>
        <v>6.1300000000001909E-3</v>
      </c>
      <c r="J501" s="201">
        <v>1.5096700000000001</v>
      </c>
      <c r="K501" s="199">
        <v>44231.745833333334</v>
      </c>
      <c r="L501" s="201">
        <v>1.57701</v>
      </c>
      <c r="M501" s="203">
        <f t="shared" si="135"/>
        <v>-2E-3</v>
      </c>
      <c r="N501" s="204">
        <f t="shared" si="136"/>
        <v>-0.33</v>
      </c>
      <c r="O501" s="205">
        <f t="shared" si="137"/>
        <v>0</v>
      </c>
      <c r="P501" s="206">
        <f t="shared" si="138"/>
        <v>0</v>
      </c>
      <c r="Q501" s="206">
        <f t="shared" si="139"/>
        <v>-0.33</v>
      </c>
      <c r="R5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128580</v>
      </c>
      <c r="T5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1" s="208">
        <f ca="1">IF(Tabla33610673[[#This Row],[Equity]]&lt;Tabla33610673[[#This Row],[Equity Peak]],(Tabla33610673[[#This Row],[Equity Peak]]-Tabla33610673[[#This Row],[Equity]])/Tabla33610673[[#This Row],[Equity Peak]],"")</f>
        <v>2.7014755959137344E-2</v>
      </c>
      <c r="V501" s="209">
        <f t="shared" si="140"/>
        <v>-0.33</v>
      </c>
      <c r="W501" s="209">
        <f t="shared" si="141"/>
        <v>0</v>
      </c>
      <c r="X501" s="209">
        <f t="shared" si="142"/>
        <v>0</v>
      </c>
      <c r="Y501" s="209">
        <f t="shared" si="143"/>
        <v>0</v>
      </c>
      <c r="Z501" s="209">
        <f t="shared" si="144"/>
        <v>0</v>
      </c>
      <c r="AA501" s="205">
        <f t="shared" si="145"/>
        <v>0</v>
      </c>
      <c r="AB501" s="209">
        <f t="shared" si="146"/>
        <v>0</v>
      </c>
      <c r="AC501" s="205">
        <f t="shared" si="147"/>
        <v>0</v>
      </c>
      <c r="AD501" s="210">
        <f t="shared" si="148"/>
        <v>0.57916666667006211</v>
      </c>
      <c r="AE501" s="210">
        <f t="shared" si="149"/>
        <v>0</v>
      </c>
      <c r="AF501" s="210">
        <f t="shared" si="150"/>
        <v>0.57916666667006211</v>
      </c>
      <c r="AG501" s="210">
        <f t="shared" si="151"/>
        <v>0</v>
      </c>
    </row>
    <row r="502" spans="2:33" ht="15" customHeight="1" x14ac:dyDescent="0.3">
      <c r="B502" s="196" t="s">
        <v>5</v>
      </c>
      <c r="C502" s="197" t="s">
        <v>15</v>
      </c>
      <c r="D502" s="198" t="str">
        <f t="shared" si="133"/>
        <v>C</v>
      </c>
      <c r="E502" s="199">
        <v>44229.840277777781</v>
      </c>
      <c r="F502" s="200" t="s">
        <v>90</v>
      </c>
      <c r="G502" s="201">
        <v>6814.32</v>
      </c>
      <c r="H502" s="201">
        <v>6739.86</v>
      </c>
      <c r="I502" s="202">
        <f t="shared" si="134"/>
        <v>74.460000000000036</v>
      </c>
      <c r="J502" s="201">
        <v>7807.18</v>
      </c>
      <c r="K502" s="199">
        <v>44231.247916666667</v>
      </c>
      <c r="L502" s="201">
        <v>6760.06</v>
      </c>
      <c r="M502" s="203">
        <f t="shared" si="135"/>
        <v>-54.26</v>
      </c>
      <c r="N502" s="204">
        <f t="shared" si="136"/>
        <v>-0.73</v>
      </c>
      <c r="O502" s="205">
        <f t="shared" si="137"/>
        <v>0</v>
      </c>
      <c r="P502" s="206">
        <f t="shared" si="138"/>
        <v>0</v>
      </c>
      <c r="Q502" s="206">
        <f t="shared" si="139"/>
        <v>-0.73</v>
      </c>
      <c r="R5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128910</v>
      </c>
      <c r="T5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2" s="208">
        <f ca="1">IF(Tabla33610673[[#This Row],[Equity]]&lt;Tabla33610673[[#This Row],[Equity Peak]],(Tabla33610673[[#This Row],[Equity Peak]]-Tabla33610673[[#This Row],[Equity]])/Tabla33610673[[#This Row],[Equity Peak]],"")</f>
        <v>2.4517593643586834E-2</v>
      </c>
      <c r="V502" s="209">
        <f t="shared" si="140"/>
        <v>0</v>
      </c>
      <c r="W502" s="209">
        <f t="shared" si="141"/>
        <v>0</v>
      </c>
      <c r="X502" s="209">
        <f t="shared" si="142"/>
        <v>0</v>
      </c>
      <c r="Y502" s="209">
        <f t="shared" si="143"/>
        <v>0</v>
      </c>
      <c r="Z502" s="209">
        <f t="shared" si="144"/>
        <v>-0.73</v>
      </c>
      <c r="AA502" s="205">
        <f t="shared" si="145"/>
        <v>0</v>
      </c>
      <c r="AB502" s="209">
        <f t="shared" si="146"/>
        <v>0</v>
      </c>
      <c r="AC502" s="205">
        <f t="shared" si="147"/>
        <v>0</v>
      </c>
      <c r="AD502" s="210">
        <f t="shared" si="148"/>
        <v>1.4076388888861402</v>
      </c>
      <c r="AE502" s="210">
        <f t="shared" si="149"/>
        <v>0</v>
      </c>
      <c r="AF502" s="210">
        <f t="shared" si="150"/>
        <v>1.4076388888861402</v>
      </c>
      <c r="AG502" s="210">
        <f t="shared" si="151"/>
        <v>0</v>
      </c>
    </row>
    <row r="503" spans="2:33" ht="15" customHeight="1" x14ac:dyDescent="0.3">
      <c r="B503" s="196" t="s">
        <v>7</v>
      </c>
      <c r="C503" s="197" t="s">
        <v>13</v>
      </c>
      <c r="D503" s="198" t="str">
        <f t="shared" si="133"/>
        <v>C</v>
      </c>
      <c r="E503" s="199">
        <v>44229.833333333336</v>
      </c>
      <c r="F503" s="200" t="s">
        <v>123</v>
      </c>
      <c r="G503" s="201">
        <v>79.716999999999999</v>
      </c>
      <c r="H503" s="201">
        <v>80.186999999999998</v>
      </c>
      <c r="I503" s="202">
        <f t="shared" si="134"/>
        <v>0.46999999999999886</v>
      </c>
      <c r="J503" s="201">
        <v>71.566000000000003</v>
      </c>
      <c r="K503" s="199">
        <v>44230.666666666664</v>
      </c>
      <c r="L503" s="201">
        <v>80.009</v>
      </c>
      <c r="M503" s="203">
        <f t="shared" si="135"/>
        <v>-0.29199999999999998</v>
      </c>
      <c r="N503" s="204">
        <f t="shared" si="136"/>
        <v>-0.62</v>
      </c>
      <c r="O503" s="205">
        <f t="shared" si="137"/>
        <v>0</v>
      </c>
      <c r="P503" s="206">
        <f t="shared" si="138"/>
        <v>0</v>
      </c>
      <c r="Q503" s="206">
        <f t="shared" si="139"/>
        <v>-0.62</v>
      </c>
      <c r="R5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129640</v>
      </c>
      <c r="T5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3" s="208">
        <f ca="1">IF(Tabla33610673[[#This Row],[Equity]]&lt;Tabla33610673[[#This Row],[Equity Peak]],(Tabla33610673[[#This Row],[Equity Peak]]-Tabla33610673[[#This Row],[Equity]])/Tabla33610673[[#This Row],[Equity Peak]],"")</f>
        <v>1.8993567915247825E-2</v>
      </c>
      <c r="V503" s="209">
        <f t="shared" si="140"/>
        <v>-0.62</v>
      </c>
      <c r="W503" s="209">
        <f t="shared" si="141"/>
        <v>0</v>
      </c>
      <c r="X503" s="209">
        <f t="shared" si="142"/>
        <v>0</v>
      </c>
      <c r="Y503" s="209">
        <f t="shared" si="143"/>
        <v>0</v>
      </c>
      <c r="Z503" s="209">
        <f t="shared" si="144"/>
        <v>0</v>
      </c>
      <c r="AA503" s="205">
        <f t="shared" si="145"/>
        <v>0</v>
      </c>
      <c r="AB503" s="209">
        <f t="shared" si="146"/>
        <v>0</v>
      </c>
      <c r="AC503" s="205">
        <f t="shared" si="147"/>
        <v>0</v>
      </c>
      <c r="AD503" s="210">
        <f t="shared" si="148"/>
        <v>0.83333333332848269</v>
      </c>
      <c r="AE503" s="210">
        <f t="shared" si="149"/>
        <v>0</v>
      </c>
      <c r="AF503" s="210">
        <f t="shared" si="150"/>
        <v>0.83333333332848269</v>
      </c>
      <c r="AG503" s="210">
        <f t="shared" si="151"/>
        <v>0</v>
      </c>
    </row>
    <row r="504" spans="2:33" ht="15" customHeight="1" x14ac:dyDescent="0.3">
      <c r="B504" s="196" t="s">
        <v>7</v>
      </c>
      <c r="C504" s="197" t="s">
        <v>15</v>
      </c>
      <c r="D504" s="198" t="str">
        <f t="shared" si="133"/>
        <v>C</v>
      </c>
      <c r="E504" s="199">
        <v>44225.5</v>
      </c>
      <c r="F504" s="200" t="s">
        <v>123</v>
      </c>
      <c r="G504" s="201">
        <v>80.179000000000002</v>
      </c>
      <c r="H504" s="201">
        <v>79.683999999999997</v>
      </c>
      <c r="I504" s="202">
        <f t="shared" si="134"/>
        <v>0.49500000000000455</v>
      </c>
      <c r="J504" s="201">
        <v>88.759</v>
      </c>
      <c r="K504" s="199">
        <v>44229.700694444444</v>
      </c>
      <c r="L504" s="201">
        <v>79.683999999999997</v>
      </c>
      <c r="M504" s="203">
        <f t="shared" si="135"/>
        <v>-0.495</v>
      </c>
      <c r="N504" s="204">
        <f t="shared" si="136"/>
        <v>-1</v>
      </c>
      <c r="O504" s="205">
        <f t="shared" si="137"/>
        <v>0</v>
      </c>
      <c r="P504" s="206">
        <f t="shared" si="138"/>
        <v>0</v>
      </c>
      <c r="Q504" s="206">
        <f t="shared" si="139"/>
        <v>-1</v>
      </c>
      <c r="R5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130260</v>
      </c>
      <c r="T5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4" s="208">
        <f ca="1">IF(Tabla33610673[[#This Row],[Equity]]&lt;Tabla33610673[[#This Row],[Equity Peak]],(Tabla33610673[[#This Row],[Equity Peak]]-Tabla33610673[[#This Row],[Equity]])/Tabla33610673[[#This Row],[Equity Peak]],"")</f>
        <v>1.4301929625425652E-2</v>
      </c>
      <c r="V504" s="209">
        <f t="shared" si="140"/>
        <v>-1</v>
      </c>
      <c r="W504" s="209">
        <f t="shared" si="141"/>
        <v>0</v>
      </c>
      <c r="X504" s="209">
        <f t="shared" si="142"/>
        <v>0</v>
      </c>
      <c r="Y504" s="209">
        <f t="shared" si="143"/>
        <v>0</v>
      </c>
      <c r="Z504" s="209">
        <f t="shared" si="144"/>
        <v>0</v>
      </c>
      <c r="AA504" s="205">
        <f t="shared" si="145"/>
        <v>0</v>
      </c>
      <c r="AB504" s="209">
        <f t="shared" si="146"/>
        <v>0</v>
      </c>
      <c r="AC504" s="205">
        <f t="shared" si="147"/>
        <v>0</v>
      </c>
      <c r="AD504" s="210">
        <f t="shared" si="148"/>
        <v>4.2006944444437977</v>
      </c>
      <c r="AE504" s="210">
        <f t="shared" si="149"/>
        <v>0</v>
      </c>
      <c r="AF504" s="210">
        <f t="shared" si="150"/>
        <v>4.2006944444437977</v>
      </c>
      <c r="AG504" s="210">
        <f t="shared" si="151"/>
        <v>0</v>
      </c>
    </row>
    <row r="505" spans="2:33" ht="15" customHeight="1" x14ac:dyDescent="0.3">
      <c r="B505" s="196" t="s">
        <v>19</v>
      </c>
      <c r="C505" s="197" t="s">
        <v>15</v>
      </c>
      <c r="D505" s="198" t="str">
        <f t="shared" si="133"/>
        <v>C</v>
      </c>
      <c r="E505" s="199">
        <v>44228.208333333336</v>
      </c>
      <c r="F505" s="200" t="s">
        <v>88</v>
      </c>
      <c r="G505" s="201">
        <v>1861.63</v>
      </c>
      <c r="H505" s="201">
        <v>1826.34</v>
      </c>
      <c r="I505" s="202">
        <f t="shared" si="134"/>
        <v>35.290000000000191</v>
      </c>
      <c r="J505" s="201">
        <v>2087.4899999999998</v>
      </c>
      <c r="K505" s="199">
        <v>44229.658333333333</v>
      </c>
      <c r="L505" s="201">
        <v>1830.16</v>
      </c>
      <c r="M505" s="203">
        <f t="shared" si="135"/>
        <v>-31.47</v>
      </c>
      <c r="N505" s="204">
        <f t="shared" si="136"/>
        <v>-0.89</v>
      </c>
      <c r="O505" s="205">
        <f t="shared" si="137"/>
        <v>0</v>
      </c>
      <c r="P505" s="206">
        <f t="shared" si="138"/>
        <v>0</v>
      </c>
      <c r="Q505" s="206">
        <f t="shared" si="139"/>
        <v>-0.89</v>
      </c>
      <c r="R5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131260</v>
      </c>
      <c r="T5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5" s="208">
        <f ca="1">IF(Tabla33610673[[#This Row],[Equity]]&lt;Tabla33610673[[#This Row],[Equity Peak]],(Tabla33610673[[#This Row],[Equity Peak]]-Tabla33610673[[#This Row],[Equity]])/Tabla33610673[[#This Row],[Equity Peak]],"")</f>
        <v>6.7347710934544079E-3</v>
      </c>
      <c r="V505" s="209">
        <f t="shared" si="140"/>
        <v>0</v>
      </c>
      <c r="W505" s="209">
        <f t="shared" si="141"/>
        <v>0</v>
      </c>
      <c r="X505" s="209">
        <f t="shared" si="142"/>
        <v>-0.89</v>
      </c>
      <c r="Y505" s="209">
        <f t="shared" si="143"/>
        <v>0</v>
      </c>
      <c r="Z505" s="209">
        <f t="shared" si="144"/>
        <v>0</v>
      </c>
      <c r="AA505" s="205">
        <f t="shared" si="145"/>
        <v>0</v>
      </c>
      <c r="AB505" s="209">
        <f t="shared" si="146"/>
        <v>0</v>
      </c>
      <c r="AC505" s="205">
        <f t="shared" si="147"/>
        <v>0</v>
      </c>
      <c r="AD505" s="210">
        <f t="shared" si="148"/>
        <v>1.4499999999970896</v>
      </c>
      <c r="AE505" s="210">
        <f t="shared" si="149"/>
        <v>0</v>
      </c>
      <c r="AF505" s="210">
        <f t="shared" si="150"/>
        <v>1.4499999999970896</v>
      </c>
      <c r="AG505" s="210">
        <f t="shared" si="151"/>
        <v>0</v>
      </c>
    </row>
    <row r="506" spans="2:33" ht="15" customHeight="1" x14ac:dyDescent="0.3">
      <c r="B506" s="196" t="s">
        <v>7</v>
      </c>
      <c r="C506" s="197" t="s">
        <v>15</v>
      </c>
      <c r="D506" s="198" t="str">
        <f t="shared" si="133"/>
        <v>C</v>
      </c>
      <c r="E506" s="199">
        <v>44224.333333333336</v>
      </c>
      <c r="F506" s="200" t="s">
        <v>119</v>
      </c>
      <c r="G506" s="201">
        <v>126.193</v>
      </c>
      <c r="H506" s="201">
        <v>125.617</v>
      </c>
      <c r="I506" s="202">
        <f t="shared" si="134"/>
        <v>0.57599999999999341</v>
      </c>
      <c r="J506" s="201">
        <v>128.495</v>
      </c>
      <c r="K506" s="199">
        <v>44229</v>
      </c>
      <c r="L506" s="201">
        <v>126.509</v>
      </c>
      <c r="M506" s="203">
        <f t="shared" si="135"/>
        <v>0.316</v>
      </c>
      <c r="N506" s="204">
        <f t="shared" si="136"/>
        <v>0.55000000000000004</v>
      </c>
      <c r="O506" s="205">
        <f t="shared" si="137"/>
        <v>0</v>
      </c>
      <c r="P506" s="206">
        <f t="shared" si="138"/>
        <v>0.55000000000000004</v>
      </c>
      <c r="Q506" s="206">
        <f t="shared" si="139"/>
        <v>0</v>
      </c>
      <c r="R5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132150</v>
      </c>
      <c r="T5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132150</v>
      </c>
      <c r="U50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06" s="209">
        <f t="shared" si="140"/>
        <v>0.55000000000000004</v>
      </c>
      <c r="W506" s="209">
        <f t="shared" si="141"/>
        <v>0</v>
      </c>
      <c r="X506" s="209">
        <f t="shared" si="142"/>
        <v>0</v>
      </c>
      <c r="Y506" s="209">
        <f t="shared" si="143"/>
        <v>0</v>
      </c>
      <c r="Z506" s="209">
        <f t="shared" si="144"/>
        <v>0</v>
      </c>
      <c r="AA506" s="205">
        <f t="shared" si="145"/>
        <v>0</v>
      </c>
      <c r="AB506" s="209">
        <f t="shared" si="146"/>
        <v>0</v>
      </c>
      <c r="AC506" s="205">
        <f t="shared" si="147"/>
        <v>0</v>
      </c>
      <c r="AD506" s="210">
        <f t="shared" si="148"/>
        <v>4.6666666666642413</v>
      </c>
      <c r="AE506" s="210">
        <f t="shared" si="149"/>
        <v>4.6666666666642413</v>
      </c>
      <c r="AF506" s="210">
        <f t="shared" si="150"/>
        <v>0</v>
      </c>
      <c r="AG506" s="210">
        <f t="shared" si="151"/>
        <v>0</v>
      </c>
    </row>
    <row r="507" spans="2:33" ht="15" customHeight="1" x14ac:dyDescent="0.3">
      <c r="B507" s="196" t="s">
        <v>19</v>
      </c>
      <c r="C507" s="197" t="s">
        <v>15</v>
      </c>
      <c r="D507" s="198" t="str">
        <f t="shared" si="133"/>
        <v>C</v>
      </c>
      <c r="E507" s="199">
        <v>44225.375</v>
      </c>
      <c r="F507" s="200" t="s">
        <v>89</v>
      </c>
      <c r="G507" s="201">
        <v>26.417999999999999</v>
      </c>
      <c r="H507" s="201">
        <v>25.437000000000001</v>
      </c>
      <c r="I507" s="202">
        <f t="shared" si="134"/>
        <v>0.9809999999999981</v>
      </c>
      <c r="J507" s="201">
        <v>31.125</v>
      </c>
      <c r="K507" s="199">
        <v>44228.744444444441</v>
      </c>
      <c r="L507" s="201">
        <v>28.481999999999999</v>
      </c>
      <c r="M507" s="203">
        <f t="shared" si="135"/>
        <v>2.0640000000000001</v>
      </c>
      <c r="N507" s="204">
        <f t="shared" si="136"/>
        <v>2.1</v>
      </c>
      <c r="O507" s="205">
        <f t="shared" si="137"/>
        <v>0</v>
      </c>
      <c r="P507" s="206">
        <f t="shared" si="138"/>
        <v>2.1</v>
      </c>
      <c r="Q507" s="206">
        <f t="shared" si="139"/>
        <v>0</v>
      </c>
      <c r="R5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131600</v>
      </c>
      <c r="T5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131600</v>
      </c>
      <c r="U50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07" s="209">
        <f t="shared" si="140"/>
        <v>0</v>
      </c>
      <c r="W507" s="209">
        <f t="shared" si="141"/>
        <v>0</v>
      </c>
      <c r="X507" s="209">
        <f t="shared" si="142"/>
        <v>2.1</v>
      </c>
      <c r="Y507" s="209">
        <f t="shared" si="143"/>
        <v>0</v>
      </c>
      <c r="Z507" s="209">
        <f t="shared" si="144"/>
        <v>0</v>
      </c>
      <c r="AA507" s="205">
        <f t="shared" si="145"/>
        <v>0</v>
      </c>
      <c r="AB507" s="209">
        <f t="shared" si="146"/>
        <v>0</v>
      </c>
      <c r="AC507" s="205">
        <f t="shared" si="147"/>
        <v>0</v>
      </c>
      <c r="AD507" s="210">
        <f t="shared" si="148"/>
        <v>3.3694444444408873</v>
      </c>
      <c r="AE507" s="210">
        <f t="shared" si="149"/>
        <v>3.3694444444408873</v>
      </c>
      <c r="AF507" s="210">
        <f t="shared" si="150"/>
        <v>0</v>
      </c>
      <c r="AG507" s="210">
        <f t="shared" si="151"/>
        <v>0</v>
      </c>
    </row>
    <row r="508" spans="2:33" ht="15" customHeight="1" x14ac:dyDescent="0.3">
      <c r="B508" s="196" t="s">
        <v>19</v>
      </c>
      <c r="C508" s="197" t="s">
        <v>13</v>
      </c>
      <c r="D508" s="198" t="str">
        <f t="shared" si="133"/>
        <v>C</v>
      </c>
      <c r="E508" s="199">
        <v>44228.041666666664</v>
      </c>
      <c r="F508" s="200" t="s">
        <v>88</v>
      </c>
      <c r="G508" s="201">
        <v>1864.38</v>
      </c>
      <c r="H508" s="201">
        <v>1899.7</v>
      </c>
      <c r="I508" s="202">
        <f t="shared" si="134"/>
        <v>35.319999999999936</v>
      </c>
      <c r="J508" s="201">
        <v>1638.32</v>
      </c>
      <c r="K508" s="199">
        <v>44228.208333333336</v>
      </c>
      <c r="L508" s="201">
        <v>1861.63</v>
      </c>
      <c r="M508" s="203">
        <f t="shared" si="135"/>
        <v>2.75</v>
      </c>
      <c r="N508" s="204">
        <f t="shared" si="136"/>
        <v>0.08</v>
      </c>
      <c r="O508" s="205">
        <f t="shared" si="137"/>
        <v>0</v>
      </c>
      <c r="P508" s="206">
        <f t="shared" si="138"/>
        <v>0.08</v>
      </c>
      <c r="Q508" s="206">
        <f t="shared" si="139"/>
        <v>0</v>
      </c>
      <c r="R5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129500</v>
      </c>
      <c r="T5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130840</v>
      </c>
      <c r="U508" s="208">
        <f ca="1">IF(Tabla33610673[[#This Row],[Equity]]&lt;Tabla33610673[[#This Row],[Equity Peak]],(Tabla33610673[[#This Row],[Equity Peak]]-Tabla33610673[[#This Row],[Equity]])/Tabla33610673[[#This Row],[Equity Peak]],"")</f>
        <v>1.0241516355854479E-2</v>
      </c>
      <c r="V508" s="209">
        <f t="shared" si="140"/>
        <v>0</v>
      </c>
      <c r="W508" s="209">
        <f t="shared" si="141"/>
        <v>0</v>
      </c>
      <c r="X508" s="209">
        <f t="shared" si="142"/>
        <v>0.08</v>
      </c>
      <c r="Y508" s="209">
        <f t="shared" si="143"/>
        <v>0</v>
      </c>
      <c r="Z508" s="209">
        <f t="shared" si="144"/>
        <v>0</v>
      </c>
      <c r="AA508" s="205">
        <f t="shared" si="145"/>
        <v>0</v>
      </c>
      <c r="AB508" s="209">
        <f t="shared" si="146"/>
        <v>0</v>
      </c>
      <c r="AC508" s="205">
        <f t="shared" si="147"/>
        <v>0</v>
      </c>
      <c r="AD508" s="210">
        <f t="shared" si="148"/>
        <v>0.16666666667151731</v>
      </c>
      <c r="AE508" s="210">
        <f t="shared" si="149"/>
        <v>0.16666666667151731</v>
      </c>
      <c r="AF508" s="210">
        <f t="shared" si="150"/>
        <v>0</v>
      </c>
      <c r="AG508" s="210">
        <f t="shared" si="151"/>
        <v>0</v>
      </c>
    </row>
    <row r="509" spans="2:33" ht="15" customHeight="1" x14ac:dyDescent="0.3">
      <c r="B509" s="196" t="s">
        <v>5</v>
      </c>
      <c r="C509" s="197" t="s">
        <v>13</v>
      </c>
      <c r="D509" s="198" t="str">
        <f t="shared" si="133"/>
        <v>C</v>
      </c>
      <c r="E509" s="199">
        <v>44225.840277777781</v>
      </c>
      <c r="F509" s="200" t="s">
        <v>90</v>
      </c>
      <c r="G509" s="201">
        <v>6555.66</v>
      </c>
      <c r="H509" s="201">
        <v>6641.87</v>
      </c>
      <c r="I509" s="202">
        <f t="shared" si="134"/>
        <v>86.210000000000036</v>
      </c>
      <c r="J509" s="201">
        <v>5406.17</v>
      </c>
      <c r="K509" s="199">
        <v>44228.176388888889</v>
      </c>
      <c r="L509" s="201">
        <v>6641.87</v>
      </c>
      <c r="M509" s="203">
        <f t="shared" si="135"/>
        <v>-86.21</v>
      </c>
      <c r="N509" s="204">
        <f t="shared" si="136"/>
        <v>-1</v>
      </c>
      <c r="O509" s="205">
        <f t="shared" si="137"/>
        <v>0</v>
      </c>
      <c r="P509" s="206">
        <f t="shared" si="138"/>
        <v>0</v>
      </c>
      <c r="Q509" s="206">
        <f t="shared" si="139"/>
        <v>-1</v>
      </c>
      <c r="R5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129420</v>
      </c>
      <c r="T5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130840</v>
      </c>
      <c r="U509" s="208">
        <f ca="1">IF(Tabla33610673[[#This Row],[Equity]]&lt;Tabla33610673[[#This Row],[Equity Peak]],(Tabla33610673[[#This Row],[Equity Peak]]-Tabla33610673[[#This Row],[Equity]])/Tabla33610673[[#This Row],[Equity Peak]],"")</f>
        <v>1.0852950168144299E-2</v>
      </c>
      <c r="V509" s="209">
        <f t="shared" si="140"/>
        <v>0</v>
      </c>
      <c r="W509" s="209">
        <f t="shared" si="141"/>
        <v>0</v>
      </c>
      <c r="X509" s="209">
        <f t="shared" si="142"/>
        <v>0</v>
      </c>
      <c r="Y509" s="209">
        <f t="shared" si="143"/>
        <v>0</v>
      </c>
      <c r="Z509" s="209">
        <f t="shared" si="144"/>
        <v>-1</v>
      </c>
      <c r="AA509" s="205">
        <f t="shared" si="145"/>
        <v>0</v>
      </c>
      <c r="AB509" s="209">
        <f t="shared" si="146"/>
        <v>0</v>
      </c>
      <c r="AC509" s="205">
        <f t="shared" si="147"/>
        <v>0</v>
      </c>
      <c r="AD509" s="210">
        <f t="shared" si="148"/>
        <v>2.336111111108039</v>
      </c>
      <c r="AE509" s="210">
        <f t="shared" si="149"/>
        <v>0</v>
      </c>
      <c r="AF509" s="210">
        <f t="shared" si="150"/>
        <v>2.336111111108039</v>
      </c>
      <c r="AG509" s="210">
        <f t="shared" si="151"/>
        <v>0</v>
      </c>
    </row>
    <row r="510" spans="2:33" ht="15" customHeight="1" x14ac:dyDescent="0.3">
      <c r="B510" s="196" t="s">
        <v>19</v>
      </c>
      <c r="C510" s="197" t="s">
        <v>15</v>
      </c>
      <c r="D510" s="198" t="str">
        <f t="shared" si="133"/>
        <v>C</v>
      </c>
      <c r="E510" s="199">
        <v>44225.708333333336</v>
      </c>
      <c r="F510" s="200" t="s">
        <v>88</v>
      </c>
      <c r="G510" s="201">
        <v>1865.25</v>
      </c>
      <c r="H510" s="201">
        <v>1831.08</v>
      </c>
      <c r="I510" s="202">
        <f t="shared" si="134"/>
        <v>34.170000000000073</v>
      </c>
      <c r="J510" s="201">
        <v>2083.96</v>
      </c>
      <c r="K510" s="199">
        <v>44228.041666666664</v>
      </c>
      <c r="L510" s="201">
        <v>1864.38</v>
      </c>
      <c r="M510" s="203">
        <f t="shared" si="135"/>
        <v>-0.87</v>
      </c>
      <c r="N510" s="204">
        <f t="shared" si="136"/>
        <v>-0.03</v>
      </c>
      <c r="O510" s="205">
        <f t="shared" si="137"/>
        <v>0</v>
      </c>
      <c r="P510" s="206">
        <f t="shared" si="138"/>
        <v>0</v>
      </c>
      <c r="Q510" s="206">
        <f t="shared" si="139"/>
        <v>-0.03</v>
      </c>
      <c r="R5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130420</v>
      </c>
      <c r="T5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130840</v>
      </c>
      <c r="U510" s="208">
        <f ca="1">IF(Tabla33610673[[#This Row],[Equity]]&lt;Tabla33610673[[#This Row],[Equity Peak]],(Tabla33610673[[#This Row],[Equity Peak]]-Tabla33610673[[#This Row],[Equity]])/Tabla33610673[[#This Row],[Equity Peak]],"")</f>
        <v>3.2100275145215532E-3</v>
      </c>
      <c r="V510" s="209">
        <f t="shared" si="140"/>
        <v>0</v>
      </c>
      <c r="W510" s="209">
        <f t="shared" si="141"/>
        <v>0</v>
      </c>
      <c r="X510" s="209">
        <f t="shared" si="142"/>
        <v>-0.03</v>
      </c>
      <c r="Y510" s="209">
        <f t="shared" si="143"/>
        <v>0</v>
      </c>
      <c r="Z510" s="209">
        <f t="shared" si="144"/>
        <v>0</v>
      </c>
      <c r="AA510" s="205">
        <f t="shared" si="145"/>
        <v>0</v>
      </c>
      <c r="AB510" s="209">
        <f t="shared" si="146"/>
        <v>0</v>
      </c>
      <c r="AC510" s="205">
        <f t="shared" si="147"/>
        <v>0</v>
      </c>
      <c r="AD510" s="210">
        <f t="shared" si="148"/>
        <v>2.3333333333284827</v>
      </c>
      <c r="AE510" s="210">
        <f t="shared" si="149"/>
        <v>0</v>
      </c>
      <c r="AF510" s="210">
        <f t="shared" si="150"/>
        <v>2.3333333333284827</v>
      </c>
      <c r="AG510" s="210">
        <f t="shared" si="151"/>
        <v>0</v>
      </c>
    </row>
    <row r="511" spans="2:33" ht="15" customHeight="1" x14ac:dyDescent="0.3">
      <c r="B511" s="196" t="s">
        <v>84</v>
      </c>
      <c r="C511" s="197" t="s">
        <v>15</v>
      </c>
      <c r="D511" s="198" t="str">
        <f t="shared" si="133"/>
        <v>C</v>
      </c>
      <c r="E511" s="199">
        <v>44225.5</v>
      </c>
      <c r="F511" s="200" t="s">
        <v>80</v>
      </c>
      <c r="G511" s="201">
        <v>36966.949999999997</v>
      </c>
      <c r="H511" s="201">
        <v>33821.019999999997</v>
      </c>
      <c r="I511" s="202">
        <f t="shared" si="134"/>
        <v>3145.9300000000003</v>
      </c>
      <c r="J511" s="201">
        <v>84155.88</v>
      </c>
      <c r="K511" s="199">
        <v>44225.775000000001</v>
      </c>
      <c r="L511" s="201">
        <v>35740.959999999999</v>
      </c>
      <c r="M511" s="203">
        <f t="shared" si="135"/>
        <v>-1225.99</v>
      </c>
      <c r="N511" s="204">
        <f t="shared" si="136"/>
        <v>-0.39</v>
      </c>
      <c r="O511" s="205">
        <f t="shared" si="137"/>
        <v>0</v>
      </c>
      <c r="P511" s="206">
        <f t="shared" si="138"/>
        <v>0</v>
      </c>
      <c r="Q511" s="206">
        <f t="shared" si="139"/>
        <v>-0.39</v>
      </c>
      <c r="R5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130450</v>
      </c>
      <c r="T5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130840</v>
      </c>
      <c r="U511" s="208">
        <f ca="1">IF(Tabla33610673[[#This Row],[Equity]]&lt;Tabla33610673[[#This Row],[Equity Peak]],(Tabla33610673[[#This Row],[Equity Peak]]-Tabla33610673[[#This Row],[Equity]])/Tabla33610673[[#This Row],[Equity Peak]],"")</f>
        <v>2.9807398349128707E-3</v>
      </c>
      <c r="V511" s="209">
        <f t="shared" si="140"/>
        <v>0</v>
      </c>
      <c r="W511" s="209">
        <f t="shared" si="141"/>
        <v>0</v>
      </c>
      <c r="X511" s="209">
        <f t="shared" si="142"/>
        <v>0</v>
      </c>
      <c r="Y511" s="209">
        <f t="shared" si="143"/>
        <v>0</v>
      </c>
      <c r="Z511" s="209">
        <f t="shared" si="144"/>
        <v>0</v>
      </c>
      <c r="AA511" s="205">
        <f t="shared" si="145"/>
        <v>0</v>
      </c>
      <c r="AB511" s="209">
        <f t="shared" si="146"/>
        <v>-0.39</v>
      </c>
      <c r="AC511" s="205">
        <f t="shared" si="147"/>
        <v>0</v>
      </c>
      <c r="AD511" s="210">
        <f t="shared" si="148"/>
        <v>0.27500000000145519</v>
      </c>
      <c r="AE511" s="210">
        <f t="shared" si="149"/>
        <v>0</v>
      </c>
      <c r="AF511" s="210">
        <f t="shared" si="150"/>
        <v>0.27500000000145519</v>
      </c>
      <c r="AG511" s="210">
        <f t="shared" si="151"/>
        <v>0</v>
      </c>
    </row>
    <row r="512" spans="2:33" ht="15" customHeight="1" x14ac:dyDescent="0.3">
      <c r="B512" s="196" t="s">
        <v>84</v>
      </c>
      <c r="C512" s="197" t="s">
        <v>15</v>
      </c>
      <c r="D512" s="198" t="str">
        <f t="shared" si="133"/>
        <v>C</v>
      </c>
      <c r="E512" s="199">
        <v>44179.333333333336</v>
      </c>
      <c r="F512" s="200" t="s">
        <v>80</v>
      </c>
      <c r="G512" s="201">
        <v>19076.04</v>
      </c>
      <c r="H512" s="201">
        <v>18364.669999999998</v>
      </c>
      <c r="I512" s="202">
        <f t="shared" si="134"/>
        <v>711.37000000000262</v>
      </c>
      <c r="J512" s="201">
        <v>29746.63</v>
      </c>
      <c r="K512" s="199">
        <v>44225.5</v>
      </c>
      <c r="L512" s="201">
        <v>36966.949999999997</v>
      </c>
      <c r="M512" s="203">
        <f t="shared" si="135"/>
        <v>17890.91</v>
      </c>
      <c r="N512" s="204">
        <f t="shared" si="136"/>
        <v>25.15</v>
      </c>
      <c r="O512" s="205">
        <f t="shared" si="137"/>
        <v>0</v>
      </c>
      <c r="P512" s="206">
        <f t="shared" si="138"/>
        <v>25.15</v>
      </c>
      <c r="Q512" s="206">
        <f t="shared" si="139"/>
        <v>0</v>
      </c>
      <c r="R5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130840</v>
      </c>
      <c r="T5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130840</v>
      </c>
      <c r="U51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12" s="209">
        <f t="shared" si="140"/>
        <v>0</v>
      </c>
      <c r="W512" s="209">
        <f t="shared" si="141"/>
        <v>0</v>
      </c>
      <c r="X512" s="209">
        <f t="shared" si="142"/>
        <v>0</v>
      </c>
      <c r="Y512" s="209">
        <f t="shared" si="143"/>
        <v>0</v>
      </c>
      <c r="Z512" s="209">
        <f t="shared" si="144"/>
        <v>0</v>
      </c>
      <c r="AA512" s="205">
        <f t="shared" si="145"/>
        <v>0</v>
      </c>
      <c r="AB512" s="209">
        <f t="shared" si="146"/>
        <v>25.15</v>
      </c>
      <c r="AC512" s="205">
        <f t="shared" si="147"/>
        <v>0</v>
      </c>
      <c r="AD512" s="210">
        <f t="shared" si="148"/>
        <v>46.166666666664241</v>
      </c>
      <c r="AE512" s="210">
        <f t="shared" si="149"/>
        <v>46.166666666664241</v>
      </c>
      <c r="AF512" s="210">
        <f t="shared" si="150"/>
        <v>0</v>
      </c>
      <c r="AG512" s="210">
        <f t="shared" si="151"/>
        <v>0</v>
      </c>
    </row>
    <row r="513" spans="2:33" ht="15" customHeight="1" x14ac:dyDescent="0.3">
      <c r="B513" s="196" t="s">
        <v>7</v>
      </c>
      <c r="C513" s="197" t="s">
        <v>15</v>
      </c>
      <c r="D513" s="198" t="str">
        <f t="shared" si="133"/>
        <v>C</v>
      </c>
      <c r="E513" s="199">
        <v>44224.017361111109</v>
      </c>
      <c r="F513" s="200" t="s">
        <v>121</v>
      </c>
      <c r="G513" s="201">
        <v>1.5813200000000001</v>
      </c>
      <c r="H513" s="201">
        <v>1.57439</v>
      </c>
      <c r="I513" s="202">
        <f t="shared" si="134"/>
        <v>6.9300000000001027E-3</v>
      </c>
      <c r="J513" s="201">
        <v>1.65527</v>
      </c>
      <c r="K513" s="199">
        <v>44224.744444444441</v>
      </c>
      <c r="L513" s="201">
        <v>1.5813999999999999</v>
      </c>
      <c r="M513" s="203">
        <f t="shared" si="135"/>
        <v>1E-4</v>
      </c>
      <c r="N513" s="204">
        <f t="shared" si="136"/>
        <v>0.01</v>
      </c>
      <c r="O513" s="205">
        <f t="shared" si="137"/>
        <v>0</v>
      </c>
      <c r="P513" s="206">
        <f t="shared" si="138"/>
        <v>0.01</v>
      </c>
      <c r="Q513" s="206">
        <f t="shared" si="139"/>
        <v>0</v>
      </c>
      <c r="R5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105690</v>
      </c>
      <c r="T5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3" s="208">
        <f ca="1">IF(Tabla33610673[[#This Row],[Equity]]&lt;Tabla33610673[[#This Row],[Equity Peak]],(Tabla33610673[[#This Row],[Equity Peak]]-Tabla33610673[[#This Row],[Equity]])/Tabla33610673[[#This Row],[Equity Peak]],"")</f>
        <v>6.8810572687224666E-2</v>
      </c>
      <c r="V513" s="209">
        <f t="shared" si="140"/>
        <v>0.01</v>
      </c>
      <c r="W513" s="209">
        <f t="shared" si="141"/>
        <v>0</v>
      </c>
      <c r="X513" s="209">
        <f t="shared" si="142"/>
        <v>0</v>
      </c>
      <c r="Y513" s="209">
        <f t="shared" si="143"/>
        <v>0</v>
      </c>
      <c r="Z513" s="209">
        <f t="shared" si="144"/>
        <v>0</v>
      </c>
      <c r="AA513" s="205">
        <f t="shared" si="145"/>
        <v>0</v>
      </c>
      <c r="AB513" s="209">
        <f t="shared" si="146"/>
        <v>0</v>
      </c>
      <c r="AC513" s="205">
        <f t="shared" si="147"/>
        <v>0</v>
      </c>
      <c r="AD513" s="210">
        <f t="shared" si="148"/>
        <v>0.72708333333139308</v>
      </c>
      <c r="AE513" s="210">
        <f t="shared" si="149"/>
        <v>0.72708333333139308</v>
      </c>
      <c r="AF513" s="210">
        <f t="shared" si="150"/>
        <v>0</v>
      </c>
      <c r="AG513" s="210">
        <f t="shared" si="151"/>
        <v>0</v>
      </c>
    </row>
    <row r="514" spans="2:33" ht="15" customHeight="1" x14ac:dyDescent="0.3">
      <c r="B514" s="196" t="s">
        <v>7</v>
      </c>
      <c r="C514" s="197" t="s">
        <v>13</v>
      </c>
      <c r="D514" s="198" t="str">
        <f t="shared" si="133"/>
        <v>C</v>
      </c>
      <c r="E514" s="199">
        <v>44224.333333333336</v>
      </c>
      <c r="F514" s="200" t="s">
        <v>123</v>
      </c>
      <c r="G514" s="201">
        <v>79.600999999999999</v>
      </c>
      <c r="H514" s="201">
        <v>80.043999999999997</v>
      </c>
      <c r="I514" s="202">
        <f t="shared" si="134"/>
        <v>0.44299999999999784</v>
      </c>
      <c r="J514" s="201">
        <v>71.927000000000007</v>
      </c>
      <c r="K514" s="199">
        <v>44224.714583333334</v>
      </c>
      <c r="L514" s="201">
        <v>80.043999999999997</v>
      </c>
      <c r="M514" s="203">
        <f t="shared" si="135"/>
        <v>-0.443</v>
      </c>
      <c r="N514" s="204">
        <f t="shared" si="136"/>
        <v>-1</v>
      </c>
      <c r="O514" s="205">
        <f t="shared" si="137"/>
        <v>0</v>
      </c>
      <c r="P514" s="206">
        <f t="shared" si="138"/>
        <v>0</v>
      </c>
      <c r="Q514" s="206">
        <f t="shared" si="139"/>
        <v>-1</v>
      </c>
      <c r="R5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105680</v>
      </c>
      <c r="T5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4" s="208">
        <f ca="1">IF(Tabla33610673[[#This Row],[Equity]]&lt;Tabla33610673[[#This Row],[Equity Peak]],(Tabla33610673[[#This Row],[Equity Peak]]-Tabla33610673[[#This Row],[Equity]])/Tabla33610673[[#This Row],[Equity Peak]],"")</f>
        <v>6.8898678414096914E-2</v>
      </c>
      <c r="V514" s="209">
        <f t="shared" si="140"/>
        <v>-1</v>
      </c>
      <c r="W514" s="209">
        <f t="shared" si="141"/>
        <v>0</v>
      </c>
      <c r="X514" s="209">
        <f t="shared" si="142"/>
        <v>0</v>
      </c>
      <c r="Y514" s="209">
        <f t="shared" si="143"/>
        <v>0</v>
      </c>
      <c r="Z514" s="209">
        <f t="shared" si="144"/>
        <v>0</v>
      </c>
      <c r="AA514" s="205">
        <f t="shared" si="145"/>
        <v>0</v>
      </c>
      <c r="AB514" s="209">
        <f t="shared" si="146"/>
        <v>0</v>
      </c>
      <c r="AC514" s="205">
        <f t="shared" si="147"/>
        <v>0</v>
      </c>
      <c r="AD514" s="210">
        <f t="shared" si="148"/>
        <v>0.38124999999854481</v>
      </c>
      <c r="AE514" s="210">
        <f t="shared" si="149"/>
        <v>0</v>
      </c>
      <c r="AF514" s="210">
        <f t="shared" si="150"/>
        <v>0.38124999999854481</v>
      </c>
      <c r="AG514" s="210">
        <f t="shared" si="151"/>
        <v>0</v>
      </c>
    </row>
    <row r="515" spans="2:33" ht="15" customHeight="1" x14ac:dyDescent="0.3">
      <c r="B515" s="196" t="s">
        <v>19</v>
      </c>
      <c r="C515" s="197" t="s">
        <v>13</v>
      </c>
      <c r="D515" s="198" t="str">
        <f t="shared" si="133"/>
        <v>C</v>
      </c>
      <c r="E515" s="199">
        <v>44218.708333333336</v>
      </c>
      <c r="F515" s="200" t="s">
        <v>88</v>
      </c>
      <c r="G515" s="201">
        <v>1850.52</v>
      </c>
      <c r="H515" s="201">
        <v>1877.25</v>
      </c>
      <c r="I515" s="202">
        <f t="shared" si="134"/>
        <v>26.730000000000018</v>
      </c>
      <c r="J515" s="201">
        <v>1679.42</v>
      </c>
      <c r="K515" s="199">
        <v>44224.67291666667</v>
      </c>
      <c r="L515" s="201">
        <v>1859.76</v>
      </c>
      <c r="M515" s="203">
        <f t="shared" si="135"/>
        <v>-9.24</v>
      </c>
      <c r="N515" s="204">
        <f t="shared" si="136"/>
        <v>-0.35</v>
      </c>
      <c r="O515" s="205">
        <f t="shared" si="137"/>
        <v>0</v>
      </c>
      <c r="P515" s="206">
        <f t="shared" si="138"/>
        <v>0</v>
      </c>
      <c r="Q515" s="206">
        <f t="shared" si="139"/>
        <v>-0.35</v>
      </c>
      <c r="R5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106680</v>
      </c>
      <c r="T5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5" s="208">
        <f ca="1">IF(Tabla33610673[[#This Row],[Equity]]&lt;Tabla33610673[[#This Row],[Equity Peak]],(Tabla33610673[[#This Row],[Equity Peak]]-Tabla33610673[[#This Row],[Equity]])/Tabla33610673[[#This Row],[Equity Peak]],"")</f>
        <v>6.0088105726872246E-2</v>
      </c>
      <c r="V515" s="209">
        <f t="shared" si="140"/>
        <v>0</v>
      </c>
      <c r="W515" s="209">
        <f t="shared" si="141"/>
        <v>0</v>
      </c>
      <c r="X515" s="209">
        <f t="shared" si="142"/>
        <v>-0.35</v>
      </c>
      <c r="Y515" s="209">
        <f t="shared" si="143"/>
        <v>0</v>
      </c>
      <c r="Z515" s="209">
        <f t="shared" si="144"/>
        <v>0</v>
      </c>
      <c r="AA515" s="205">
        <f t="shared" si="145"/>
        <v>0</v>
      </c>
      <c r="AB515" s="209">
        <f t="shared" si="146"/>
        <v>0</v>
      </c>
      <c r="AC515" s="205">
        <f t="shared" si="147"/>
        <v>0</v>
      </c>
      <c r="AD515" s="210">
        <f t="shared" si="148"/>
        <v>5.9645833333343035</v>
      </c>
      <c r="AE515" s="210">
        <f t="shared" si="149"/>
        <v>0</v>
      </c>
      <c r="AF515" s="210">
        <f t="shared" si="150"/>
        <v>5.9645833333343035</v>
      </c>
      <c r="AG515" s="210">
        <f t="shared" si="151"/>
        <v>0</v>
      </c>
    </row>
    <row r="516" spans="2:33" ht="15" customHeight="1" x14ac:dyDescent="0.3">
      <c r="B516" s="196" t="s">
        <v>7</v>
      </c>
      <c r="C516" s="197" t="s">
        <v>13</v>
      </c>
      <c r="D516" s="198" t="str">
        <f t="shared" si="133"/>
        <v>C</v>
      </c>
      <c r="E516" s="199">
        <v>44221.833333333336</v>
      </c>
      <c r="F516" s="200" t="s">
        <v>119</v>
      </c>
      <c r="G516" s="201">
        <v>126.04300000000001</v>
      </c>
      <c r="H516" s="201">
        <v>126.755</v>
      </c>
      <c r="I516" s="202">
        <f t="shared" si="134"/>
        <v>0.71199999999998909</v>
      </c>
      <c r="J516" s="201">
        <v>123.196</v>
      </c>
      <c r="K516" s="199">
        <v>44224.333333333336</v>
      </c>
      <c r="L516" s="201">
        <v>126.193</v>
      </c>
      <c r="M516" s="203">
        <f t="shared" si="135"/>
        <v>-0.15</v>
      </c>
      <c r="N516" s="204">
        <f t="shared" si="136"/>
        <v>-0.21</v>
      </c>
      <c r="O516" s="205">
        <f t="shared" si="137"/>
        <v>0</v>
      </c>
      <c r="P516" s="206">
        <f t="shared" si="138"/>
        <v>0</v>
      </c>
      <c r="Q516" s="206">
        <f t="shared" si="139"/>
        <v>-0.21</v>
      </c>
      <c r="R5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107030</v>
      </c>
      <c r="T5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6" s="208">
        <f ca="1">IF(Tabla33610673[[#This Row],[Equity]]&lt;Tabla33610673[[#This Row],[Equity Peak]],(Tabla33610673[[#This Row],[Equity Peak]]-Tabla33610673[[#This Row],[Equity]])/Tabla33610673[[#This Row],[Equity Peak]],"")</f>
        <v>5.700440528634361E-2</v>
      </c>
      <c r="V516" s="209">
        <f t="shared" si="140"/>
        <v>-0.21</v>
      </c>
      <c r="W516" s="209">
        <f t="shared" si="141"/>
        <v>0</v>
      </c>
      <c r="X516" s="209">
        <f t="shared" si="142"/>
        <v>0</v>
      </c>
      <c r="Y516" s="209">
        <f t="shared" si="143"/>
        <v>0</v>
      </c>
      <c r="Z516" s="209">
        <f t="shared" si="144"/>
        <v>0</v>
      </c>
      <c r="AA516" s="205">
        <f t="shared" si="145"/>
        <v>0</v>
      </c>
      <c r="AB516" s="209">
        <f t="shared" si="146"/>
        <v>0</v>
      </c>
      <c r="AC516" s="205">
        <f t="shared" si="147"/>
        <v>0</v>
      </c>
      <c r="AD516" s="210">
        <f t="shared" si="148"/>
        <v>2.5</v>
      </c>
      <c r="AE516" s="210">
        <f t="shared" si="149"/>
        <v>0</v>
      </c>
      <c r="AF516" s="210">
        <f t="shared" si="150"/>
        <v>2.5</v>
      </c>
      <c r="AG516" s="210">
        <f t="shared" si="151"/>
        <v>0</v>
      </c>
    </row>
    <row r="517" spans="2:33" ht="15" customHeight="1" x14ac:dyDescent="0.3">
      <c r="B517" s="196" t="s">
        <v>7</v>
      </c>
      <c r="C517" s="197" t="s">
        <v>15</v>
      </c>
      <c r="D517" s="198" t="str">
        <f t="shared" si="133"/>
        <v>C</v>
      </c>
      <c r="E517" s="199">
        <v>44223.017361111109</v>
      </c>
      <c r="F517" s="200" t="s">
        <v>122</v>
      </c>
      <c r="G517" s="201">
        <v>0.77385999999999999</v>
      </c>
      <c r="H517" s="201">
        <v>0.76985000000000003</v>
      </c>
      <c r="I517" s="202">
        <f t="shared" si="134"/>
        <v>4.009999999999958E-3</v>
      </c>
      <c r="J517" s="201">
        <v>0.79522999999999999</v>
      </c>
      <c r="K517" s="199">
        <v>44223.594444444447</v>
      </c>
      <c r="L517" s="201">
        <v>0.76985000000000003</v>
      </c>
      <c r="M517" s="203">
        <f t="shared" si="135"/>
        <v>-4.0000000000000001E-3</v>
      </c>
      <c r="N517" s="204">
        <f t="shared" si="136"/>
        <v>-1</v>
      </c>
      <c r="O517" s="205">
        <f t="shared" si="137"/>
        <v>0</v>
      </c>
      <c r="P517" s="206">
        <f t="shared" si="138"/>
        <v>0</v>
      </c>
      <c r="Q517" s="206">
        <f t="shared" si="139"/>
        <v>-1</v>
      </c>
      <c r="R5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107240</v>
      </c>
      <c r="T5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7" s="208">
        <f ca="1">IF(Tabla33610673[[#This Row],[Equity]]&lt;Tabla33610673[[#This Row],[Equity Peak]],(Tabla33610673[[#This Row],[Equity Peak]]-Tabla33610673[[#This Row],[Equity]])/Tabla33610673[[#This Row],[Equity Peak]],"")</f>
        <v>5.5154185022026431E-2</v>
      </c>
      <c r="V517" s="209">
        <f t="shared" si="140"/>
        <v>-1</v>
      </c>
      <c r="W517" s="209">
        <f t="shared" si="141"/>
        <v>0</v>
      </c>
      <c r="X517" s="209">
        <f t="shared" si="142"/>
        <v>0</v>
      </c>
      <c r="Y517" s="209">
        <f t="shared" si="143"/>
        <v>0</v>
      </c>
      <c r="Z517" s="209">
        <f t="shared" si="144"/>
        <v>0</v>
      </c>
      <c r="AA517" s="205">
        <f t="shared" si="145"/>
        <v>0</v>
      </c>
      <c r="AB517" s="209">
        <f t="shared" si="146"/>
        <v>0</v>
      </c>
      <c r="AC517" s="205">
        <f t="shared" si="147"/>
        <v>0</v>
      </c>
      <c r="AD517" s="210">
        <f t="shared" si="148"/>
        <v>0.57708333333721384</v>
      </c>
      <c r="AE517" s="210">
        <f t="shared" si="149"/>
        <v>0</v>
      </c>
      <c r="AF517" s="210">
        <f t="shared" si="150"/>
        <v>0.57708333333721384</v>
      </c>
      <c r="AG517" s="210">
        <f t="shared" si="151"/>
        <v>0</v>
      </c>
    </row>
    <row r="518" spans="2:33" ht="15" customHeight="1" x14ac:dyDescent="0.3">
      <c r="B518" s="196" t="s">
        <v>7</v>
      </c>
      <c r="C518" s="197" t="s">
        <v>13</v>
      </c>
      <c r="D518" s="198" t="str">
        <f t="shared" si="133"/>
        <v>C</v>
      </c>
      <c r="E518" s="199">
        <v>44223.017361111109</v>
      </c>
      <c r="F518" s="200" t="s">
        <v>114</v>
      </c>
      <c r="G518" s="201">
        <v>103.622</v>
      </c>
      <c r="H518" s="201">
        <v>104.024</v>
      </c>
      <c r="I518" s="202">
        <f t="shared" si="134"/>
        <v>0.40200000000000102</v>
      </c>
      <c r="J518" s="201">
        <v>101.745</v>
      </c>
      <c r="K518" s="199">
        <v>44223.502083333333</v>
      </c>
      <c r="L518" s="201">
        <v>103.80200000000001</v>
      </c>
      <c r="M518" s="203">
        <f t="shared" si="135"/>
        <v>-0.18</v>
      </c>
      <c r="N518" s="204">
        <f t="shared" si="136"/>
        <v>-0.45</v>
      </c>
      <c r="O518" s="205">
        <f t="shared" si="137"/>
        <v>0</v>
      </c>
      <c r="P518" s="206">
        <f t="shared" si="138"/>
        <v>0</v>
      </c>
      <c r="Q518" s="206">
        <f t="shared" si="139"/>
        <v>-0.45</v>
      </c>
      <c r="R5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108240</v>
      </c>
      <c r="T5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8" s="208">
        <f ca="1">IF(Tabla33610673[[#This Row],[Equity]]&lt;Tabla33610673[[#This Row],[Equity Peak]],(Tabla33610673[[#This Row],[Equity Peak]]-Tabla33610673[[#This Row],[Equity]])/Tabla33610673[[#This Row],[Equity Peak]],"")</f>
        <v>4.6343612334801762E-2</v>
      </c>
      <c r="V518" s="209">
        <f t="shared" si="140"/>
        <v>-0.45</v>
      </c>
      <c r="W518" s="209">
        <f t="shared" si="141"/>
        <v>0</v>
      </c>
      <c r="X518" s="209">
        <f t="shared" si="142"/>
        <v>0</v>
      </c>
      <c r="Y518" s="209">
        <f t="shared" si="143"/>
        <v>0</v>
      </c>
      <c r="Z518" s="209">
        <f t="shared" si="144"/>
        <v>0</v>
      </c>
      <c r="AA518" s="205">
        <f t="shared" si="145"/>
        <v>0</v>
      </c>
      <c r="AB518" s="209">
        <f t="shared" si="146"/>
        <v>0</v>
      </c>
      <c r="AC518" s="205">
        <f t="shared" si="147"/>
        <v>0</v>
      </c>
      <c r="AD518" s="210">
        <f t="shared" si="148"/>
        <v>0.48472222222335404</v>
      </c>
      <c r="AE518" s="210">
        <f t="shared" si="149"/>
        <v>0</v>
      </c>
      <c r="AF518" s="210">
        <f t="shared" si="150"/>
        <v>0.48472222222335404</v>
      </c>
      <c r="AG518" s="210">
        <f t="shared" si="151"/>
        <v>0</v>
      </c>
    </row>
    <row r="519" spans="2:33" ht="15" customHeight="1" x14ac:dyDescent="0.3">
      <c r="B519" s="196" t="s">
        <v>5</v>
      </c>
      <c r="C519" s="197" t="s">
        <v>13</v>
      </c>
      <c r="D519" s="198" t="str">
        <f t="shared" si="133"/>
        <v>C</v>
      </c>
      <c r="E519" s="199">
        <v>44218.017361111109</v>
      </c>
      <c r="F519" s="200" t="s">
        <v>94</v>
      </c>
      <c r="G519" s="201">
        <v>6727.04</v>
      </c>
      <c r="H519" s="201">
        <v>6788.95</v>
      </c>
      <c r="I519" s="202">
        <f t="shared" si="134"/>
        <v>61.909999999999854</v>
      </c>
      <c r="J519" s="201">
        <v>6417.48</v>
      </c>
      <c r="K519" s="199">
        <v>44222.589583333334</v>
      </c>
      <c r="L519" s="201">
        <v>6697.89</v>
      </c>
      <c r="M519" s="203">
        <f t="shared" si="135"/>
        <v>29.15</v>
      </c>
      <c r="N519" s="204">
        <f t="shared" si="136"/>
        <v>0.47</v>
      </c>
      <c r="O519" s="205">
        <f t="shared" si="137"/>
        <v>0</v>
      </c>
      <c r="P519" s="206">
        <f t="shared" si="138"/>
        <v>0.47</v>
      </c>
      <c r="Q519" s="206">
        <f t="shared" si="139"/>
        <v>0</v>
      </c>
      <c r="R5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108690</v>
      </c>
      <c r="T5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19" s="208">
        <f ca="1">IF(Tabla33610673[[#This Row],[Equity]]&lt;Tabla33610673[[#This Row],[Equity Peak]],(Tabla33610673[[#This Row],[Equity Peak]]-Tabla33610673[[#This Row],[Equity]])/Tabla33610673[[#This Row],[Equity Peak]],"")</f>
        <v>4.237885462555066E-2</v>
      </c>
      <c r="V519" s="209">
        <f t="shared" si="140"/>
        <v>0</v>
      </c>
      <c r="W519" s="209">
        <f t="shared" si="141"/>
        <v>0</v>
      </c>
      <c r="X519" s="209">
        <f t="shared" si="142"/>
        <v>0</v>
      </c>
      <c r="Y519" s="209">
        <f t="shared" si="143"/>
        <v>0</v>
      </c>
      <c r="Z519" s="209">
        <f t="shared" si="144"/>
        <v>0.47</v>
      </c>
      <c r="AA519" s="205">
        <f t="shared" si="145"/>
        <v>0</v>
      </c>
      <c r="AB519" s="209">
        <f t="shared" si="146"/>
        <v>0</v>
      </c>
      <c r="AC519" s="205">
        <f t="shared" si="147"/>
        <v>0</v>
      </c>
      <c r="AD519" s="210">
        <f t="shared" si="148"/>
        <v>4.5722222222248092</v>
      </c>
      <c r="AE519" s="210">
        <f t="shared" si="149"/>
        <v>4.5722222222248092</v>
      </c>
      <c r="AF519" s="210">
        <f t="shared" si="150"/>
        <v>0</v>
      </c>
      <c r="AG519" s="210">
        <f t="shared" si="151"/>
        <v>0</v>
      </c>
    </row>
    <row r="520" spans="2:33" ht="15" customHeight="1" x14ac:dyDescent="0.3">
      <c r="B520" s="196" t="s">
        <v>7</v>
      </c>
      <c r="C520" s="197" t="s">
        <v>15</v>
      </c>
      <c r="D520" s="198" t="str">
        <f t="shared" si="133"/>
        <v>C</v>
      </c>
      <c r="E520" s="199">
        <v>44221.166666666664</v>
      </c>
      <c r="F520" s="200" t="s">
        <v>119</v>
      </c>
      <c r="G520" s="201">
        <v>126.324</v>
      </c>
      <c r="H520" s="201">
        <v>125.608</v>
      </c>
      <c r="I520" s="202">
        <f t="shared" si="134"/>
        <v>0.71599999999999397</v>
      </c>
      <c r="J520" s="201">
        <v>129.18799999999999</v>
      </c>
      <c r="K520" s="199">
        <v>44221.833333333336</v>
      </c>
      <c r="L520" s="201">
        <v>126.04300000000001</v>
      </c>
      <c r="M520" s="203">
        <f t="shared" si="135"/>
        <v>-0.28100000000000003</v>
      </c>
      <c r="N520" s="204">
        <f t="shared" si="136"/>
        <v>-0.39</v>
      </c>
      <c r="O520" s="205">
        <f t="shared" si="137"/>
        <v>0</v>
      </c>
      <c r="P520" s="206">
        <f t="shared" si="138"/>
        <v>0</v>
      </c>
      <c r="Q520" s="206">
        <f t="shared" si="139"/>
        <v>-0.39</v>
      </c>
      <c r="R5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108220</v>
      </c>
      <c r="T5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0" s="208">
        <f ca="1">IF(Tabla33610673[[#This Row],[Equity]]&lt;Tabla33610673[[#This Row],[Equity Peak]],(Tabla33610673[[#This Row],[Equity Peak]]-Tabla33610673[[#This Row],[Equity]])/Tabla33610673[[#This Row],[Equity Peak]],"")</f>
        <v>4.6519823788546258E-2</v>
      </c>
      <c r="V520" s="209">
        <f t="shared" si="140"/>
        <v>-0.39</v>
      </c>
      <c r="W520" s="209">
        <f t="shared" si="141"/>
        <v>0</v>
      </c>
      <c r="X520" s="209">
        <f t="shared" si="142"/>
        <v>0</v>
      </c>
      <c r="Y520" s="209">
        <f t="shared" si="143"/>
        <v>0</v>
      </c>
      <c r="Z520" s="209">
        <f t="shared" si="144"/>
        <v>0</v>
      </c>
      <c r="AA520" s="205">
        <f t="shared" si="145"/>
        <v>0</v>
      </c>
      <c r="AB520" s="209">
        <f t="shared" si="146"/>
        <v>0</v>
      </c>
      <c r="AC520" s="205">
        <f t="shared" si="147"/>
        <v>0</v>
      </c>
      <c r="AD520" s="210">
        <f t="shared" si="148"/>
        <v>0.66666666667151731</v>
      </c>
      <c r="AE520" s="210">
        <f t="shared" si="149"/>
        <v>0</v>
      </c>
      <c r="AF520" s="210">
        <f t="shared" si="150"/>
        <v>0.66666666667151731</v>
      </c>
      <c r="AG520" s="210">
        <f t="shared" si="151"/>
        <v>0</v>
      </c>
    </row>
    <row r="521" spans="2:33" ht="15" customHeight="1" x14ac:dyDescent="0.3">
      <c r="B521" s="196" t="s">
        <v>5</v>
      </c>
      <c r="C521" s="197" t="s">
        <v>15</v>
      </c>
      <c r="D521" s="198" t="str">
        <f t="shared" si="133"/>
        <v>C</v>
      </c>
      <c r="E521" s="199">
        <v>44203.833333333336</v>
      </c>
      <c r="F521" s="200" t="s">
        <v>92</v>
      </c>
      <c r="G521" s="201">
        <v>12904.7</v>
      </c>
      <c r="H521" s="201">
        <v>12623.91</v>
      </c>
      <c r="I521" s="202">
        <f t="shared" si="134"/>
        <v>280.79000000000087</v>
      </c>
      <c r="J521" s="201">
        <v>14776.6</v>
      </c>
      <c r="K521" s="199">
        <v>44221.745833333334</v>
      </c>
      <c r="L521" s="201">
        <v>13371.02</v>
      </c>
      <c r="M521" s="203">
        <f t="shared" si="135"/>
        <v>466.32</v>
      </c>
      <c r="N521" s="204">
        <f t="shared" si="136"/>
        <v>1.66</v>
      </c>
      <c r="O521" s="205">
        <f t="shared" si="137"/>
        <v>0</v>
      </c>
      <c r="P521" s="206">
        <f t="shared" si="138"/>
        <v>1.66</v>
      </c>
      <c r="Q521" s="206">
        <f t="shared" si="139"/>
        <v>0</v>
      </c>
      <c r="R5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108610</v>
      </c>
      <c r="T5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1" s="208">
        <f ca="1">IF(Tabla33610673[[#This Row],[Equity]]&lt;Tabla33610673[[#This Row],[Equity Peak]],(Tabla33610673[[#This Row],[Equity Peak]]-Tabla33610673[[#This Row],[Equity]])/Tabla33610673[[#This Row],[Equity Peak]],"")</f>
        <v>4.3083700440528637E-2</v>
      </c>
      <c r="V521" s="209">
        <f t="shared" si="140"/>
        <v>0</v>
      </c>
      <c r="W521" s="209">
        <f t="shared" si="141"/>
        <v>0</v>
      </c>
      <c r="X521" s="209">
        <f t="shared" si="142"/>
        <v>0</v>
      </c>
      <c r="Y521" s="209">
        <f t="shared" si="143"/>
        <v>0</v>
      </c>
      <c r="Z521" s="209">
        <f t="shared" si="144"/>
        <v>1.66</v>
      </c>
      <c r="AA521" s="205">
        <f t="shared" si="145"/>
        <v>0</v>
      </c>
      <c r="AB521" s="209">
        <f t="shared" si="146"/>
        <v>0</v>
      </c>
      <c r="AC521" s="205">
        <f t="shared" si="147"/>
        <v>0</v>
      </c>
      <c r="AD521" s="210">
        <f t="shared" si="148"/>
        <v>17.912499999998545</v>
      </c>
      <c r="AE521" s="210">
        <f t="shared" si="149"/>
        <v>17.912499999998545</v>
      </c>
      <c r="AF521" s="210">
        <f t="shared" si="150"/>
        <v>0</v>
      </c>
      <c r="AG521" s="210">
        <f t="shared" si="151"/>
        <v>0</v>
      </c>
    </row>
    <row r="522" spans="2:33" ht="15" customHeight="1" x14ac:dyDescent="0.3">
      <c r="B522" s="196" t="s">
        <v>7</v>
      </c>
      <c r="C522" s="197" t="s">
        <v>13</v>
      </c>
      <c r="D522" s="198" t="str">
        <f t="shared" si="133"/>
        <v>C</v>
      </c>
      <c r="E522" s="199">
        <v>44221.017361111109</v>
      </c>
      <c r="F522" s="200" t="s">
        <v>119</v>
      </c>
      <c r="G522" s="201">
        <v>126.29</v>
      </c>
      <c r="H522" s="201">
        <v>126.98399999999999</v>
      </c>
      <c r="I522" s="202">
        <f t="shared" si="134"/>
        <v>0.6939999999999884</v>
      </c>
      <c r="J522" s="201">
        <v>123.514</v>
      </c>
      <c r="K522" s="199">
        <v>44221.166666666664</v>
      </c>
      <c r="L522" s="201">
        <v>126.324</v>
      </c>
      <c r="M522" s="203">
        <f t="shared" si="135"/>
        <v>-3.4000000000000002E-2</v>
      </c>
      <c r="N522" s="204">
        <f t="shared" si="136"/>
        <v>-0.05</v>
      </c>
      <c r="O522" s="205">
        <f t="shared" si="137"/>
        <v>0</v>
      </c>
      <c r="P522" s="206">
        <f t="shared" si="138"/>
        <v>0</v>
      </c>
      <c r="Q522" s="206">
        <f t="shared" si="139"/>
        <v>-0.05</v>
      </c>
      <c r="R5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106950</v>
      </c>
      <c r="T5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2" s="208">
        <f ca="1">IF(Tabla33610673[[#This Row],[Equity]]&lt;Tabla33610673[[#This Row],[Equity Peak]],(Tabla33610673[[#This Row],[Equity Peak]]-Tabla33610673[[#This Row],[Equity]])/Tabla33610673[[#This Row],[Equity Peak]],"")</f>
        <v>5.7709251101321586E-2</v>
      </c>
      <c r="V522" s="209">
        <f t="shared" si="140"/>
        <v>-0.05</v>
      </c>
      <c r="W522" s="209">
        <f t="shared" si="141"/>
        <v>0</v>
      </c>
      <c r="X522" s="209">
        <f t="shared" si="142"/>
        <v>0</v>
      </c>
      <c r="Y522" s="209">
        <f t="shared" si="143"/>
        <v>0</v>
      </c>
      <c r="Z522" s="209">
        <f t="shared" si="144"/>
        <v>0</v>
      </c>
      <c r="AA522" s="205">
        <f t="shared" si="145"/>
        <v>0</v>
      </c>
      <c r="AB522" s="209">
        <f t="shared" si="146"/>
        <v>0</v>
      </c>
      <c r="AC522" s="205">
        <f t="shared" si="147"/>
        <v>0</v>
      </c>
      <c r="AD522" s="210">
        <f t="shared" si="148"/>
        <v>0.14930555555474712</v>
      </c>
      <c r="AE522" s="210">
        <f t="shared" si="149"/>
        <v>0</v>
      </c>
      <c r="AF522" s="210">
        <f t="shared" si="150"/>
        <v>0.14930555555474712</v>
      </c>
      <c r="AG522" s="210">
        <f t="shared" si="151"/>
        <v>0</v>
      </c>
    </row>
    <row r="523" spans="2:33" ht="15" customHeight="1" x14ac:dyDescent="0.3">
      <c r="B523" s="196" t="s">
        <v>7</v>
      </c>
      <c r="C523" s="197" t="s">
        <v>15</v>
      </c>
      <c r="D523" s="198" t="str">
        <f t="shared" si="133"/>
        <v>C</v>
      </c>
      <c r="E523" s="199">
        <v>44218.666666666664</v>
      </c>
      <c r="F523" s="200" t="s">
        <v>119</v>
      </c>
      <c r="G523" s="201">
        <v>126.32899999999999</v>
      </c>
      <c r="H523" s="201">
        <v>125.631</v>
      </c>
      <c r="I523" s="202">
        <f t="shared" si="134"/>
        <v>0.69799999999999329</v>
      </c>
      <c r="J523" s="201">
        <v>129.119</v>
      </c>
      <c r="K523" s="199">
        <v>44221.017361111109</v>
      </c>
      <c r="L523" s="201">
        <v>126.29</v>
      </c>
      <c r="M523" s="203">
        <f t="shared" si="135"/>
        <v>-3.9E-2</v>
      </c>
      <c r="N523" s="204">
        <f t="shared" si="136"/>
        <v>-0.06</v>
      </c>
      <c r="O523" s="205">
        <f t="shared" si="137"/>
        <v>0</v>
      </c>
      <c r="P523" s="206">
        <f t="shared" si="138"/>
        <v>0</v>
      </c>
      <c r="Q523" s="206">
        <f t="shared" si="139"/>
        <v>-0.06</v>
      </c>
      <c r="R5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107000</v>
      </c>
      <c r="T5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3" s="208">
        <f ca="1">IF(Tabla33610673[[#This Row],[Equity]]&lt;Tabla33610673[[#This Row],[Equity Peak]],(Tabla33610673[[#This Row],[Equity Peak]]-Tabla33610673[[#This Row],[Equity]])/Tabla33610673[[#This Row],[Equity Peak]],"")</f>
        <v>5.7268722466960353E-2</v>
      </c>
      <c r="V523" s="209">
        <f t="shared" si="140"/>
        <v>-0.06</v>
      </c>
      <c r="W523" s="209">
        <f t="shared" si="141"/>
        <v>0</v>
      </c>
      <c r="X523" s="209">
        <f t="shared" si="142"/>
        <v>0</v>
      </c>
      <c r="Y523" s="209">
        <f t="shared" si="143"/>
        <v>0</v>
      </c>
      <c r="Z523" s="209">
        <f t="shared" si="144"/>
        <v>0</v>
      </c>
      <c r="AA523" s="205">
        <f t="shared" si="145"/>
        <v>0</v>
      </c>
      <c r="AB523" s="209">
        <f t="shared" si="146"/>
        <v>0</v>
      </c>
      <c r="AC523" s="205">
        <f t="shared" si="147"/>
        <v>0</v>
      </c>
      <c r="AD523" s="210">
        <f t="shared" si="148"/>
        <v>2.3506944444452529</v>
      </c>
      <c r="AE523" s="210">
        <f t="shared" si="149"/>
        <v>0</v>
      </c>
      <c r="AF523" s="210">
        <f t="shared" si="150"/>
        <v>2.3506944444452529</v>
      </c>
      <c r="AG523" s="210">
        <f t="shared" si="151"/>
        <v>0</v>
      </c>
    </row>
    <row r="524" spans="2:33" ht="15" customHeight="1" x14ac:dyDescent="0.3">
      <c r="B524" s="196" t="s">
        <v>7</v>
      </c>
      <c r="C524" s="197" t="s">
        <v>15</v>
      </c>
      <c r="D524" s="198" t="str">
        <f t="shared" si="133"/>
        <v>C</v>
      </c>
      <c r="E524" s="199">
        <v>44216.833333333336</v>
      </c>
      <c r="F524" s="200" t="s">
        <v>122</v>
      </c>
      <c r="G524" s="201">
        <v>0.77363000000000004</v>
      </c>
      <c r="H524" s="201">
        <v>0.77039999999999997</v>
      </c>
      <c r="I524" s="202">
        <f t="shared" si="134"/>
        <v>3.2300000000000662E-3</v>
      </c>
      <c r="J524" s="201">
        <v>0.79083000000000003</v>
      </c>
      <c r="K524" s="199">
        <v>44218.558333333334</v>
      </c>
      <c r="L524" s="201">
        <v>0.77087000000000006</v>
      </c>
      <c r="M524" s="203">
        <f t="shared" si="135"/>
        <v>-2.8E-3</v>
      </c>
      <c r="N524" s="204">
        <f t="shared" si="136"/>
        <v>-0.87</v>
      </c>
      <c r="O524" s="205">
        <f t="shared" si="137"/>
        <v>0</v>
      </c>
      <c r="P524" s="206">
        <f t="shared" si="138"/>
        <v>0</v>
      </c>
      <c r="Q524" s="206">
        <f t="shared" si="139"/>
        <v>-0.87</v>
      </c>
      <c r="R5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107060</v>
      </c>
      <c r="T5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4" s="208">
        <f ca="1">IF(Tabla33610673[[#This Row],[Equity]]&lt;Tabla33610673[[#This Row],[Equity Peak]],(Tabla33610673[[#This Row],[Equity Peak]]-Tabla33610673[[#This Row],[Equity]])/Tabla33610673[[#This Row],[Equity Peak]],"")</f>
        <v>5.6740088105726873E-2</v>
      </c>
      <c r="V524" s="209">
        <f t="shared" si="140"/>
        <v>-0.87</v>
      </c>
      <c r="W524" s="209">
        <f t="shared" si="141"/>
        <v>0</v>
      </c>
      <c r="X524" s="209">
        <f t="shared" si="142"/>
        <v>0</v>
      </c>
      <c r="Y524" s="209">
        <f t="shared" si="143"/>
        <v>0</v>
      </c>
      <c r="Z524" s="209">
        <f t="shared" si="144"/>
        <v>0</v>
      </c>
      <c r="AA524" s="205">
        <f t="shared" si="145"/>
        <v>0</v>
      </c>
      <c r="AB524" s="209">
        <f t="shared" si="146"/>
        <v>0</v>
      </c>
      <c r="AC524" s="205">
        <f t="shared" si="147"/>
        <v>0</v>
      </c>
      <c r="AD524" s="210">
        <f t="shared" si="148"/>
        <v>1.7249999999985448</v>
      </c>
      <c r="AE524" s="210">
        <f t="shared" si="149"/>
        <v>0</v>
      </c>
      <c r="AF524" s="210">
        <f t="shared" si="150"/>
        <v>1.7249999999985448</v>
      </c>
      <c r="AG524" s="210">
        <f t="shared" si="151"/>
        <v>0</v>
      </c>
    </row>
    <row r="525" spans="2:33" ht="15" customHeight="1" x14ac:dyDescent="0.3">
      <c r="B525" s="196" t="s">
        <v>19</v>
      </c>
      <c r="C525" s="197" t="s">
        <v>15</v>
      </c>
      <c r="D525" s="198" t="str">
        <f t="shared" si="133"/>
        <v>C</v>
      </c>
      <c r="E525" s="199">
        <v>44217.041666666664</v>
      </c>
      <c r="F525" s="200" t="s">
        <v>88</v>
      </c>
      <c r="G525" s="201">
        <v>1871.56</v>
      </c>
      <c r="H525" s="201">
        <v>1846.75</v>
      </c>
      <c r="I525" s="202">
        <f t="shared" si="134"/>
        <v>24.809999999999945</v>
      </c>
      <c r="J525" s="201">
        <v>2030.36</v>
      </c>
      <c r="K525" s="199">
        <v>44218.552083333336</v>
      </c>
      <c r="L525" s="201">
        <v>1850.06</v>
      </c>
      <c r="M525" s="203">
        <f t="shared" si="135"/>
        <v>-21.5</v>
      </c>
      <c r="N525" s="204">
        <f t="shared" si="136"/>
        <v>-0.87</v>
      </c>
      <c r="O525" s="205">
        <f t="shared" si="137"/>
        <v>0</v>
      </c>
      <c r="P525" s="206">
        <f t="shared" si="138"/>
        <v>0</v>
      </c>
      <c r="Q525" s="206">
        <f t="shared" si="139"/>
        <v>-0.87</v>
      </c>
      <c r="R5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107930</v>
      </c>
      <c r="T5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5" s="208">
        <f ca="1">IF(Tabla33610673[[#This Row],[Equity]]&lt;Tabla33610673[[#This Row],[Equity Peak]],(Tabla33610673[[#This Row],[Equity Peak]]-Tabla33610673[[#This Row],[Equity]])/Tabla33610673[[#This Row],[Equity Peak]],"")</f>
        <v>4.9074889867841406E-2</v>
      </c>
      <c r="V525" s="209">
        <f t="shared" si="140"/>
        <v>0</v>
      </c>
      <c r="W525" s="209">
        <f t="shared" si="141"/>
        <v>0</v>
      </c>
      <c r="X525" s="209">
        <f t="shared" si="142"/>
        <v>-0.87</v>
      </c>
      <c r="Y525" s="209">
        <f t="shared" si="143"/>
        <v>0</v>
      </c>
      <c r="Z525" s="209">
        <f t="shared" si="144"/>
        <v>0</v>
      </c>
      <c r="AA525" s="205">
        <f t="shared" si="145"/>
        <v>0</v>
      </c>
      <c r="AB525" s="209">
        <f t="shared" si="146"/>
        <v>0</v>
      </c>
      <c r="AC525" s="205">
        <f t="shared" si="147"/>
        <v>0</v>
      </c>
      <c r="AD525" s="210">
        <f t="shared" si="148"/>
        <v>1.5104166666715173</v>
      </c>
      <c r="AE525" s="210">
        <f t="shared" si="149"/>
        <v>0</v>
      </c>
      <c r="AF525" s="210">
        <f t="shared" si="150"/>
        <v>1.5104166666715173</v>
      </c>
      <c r="AG525" s="210">
        <f t="shared" si="151"/>
        <v>0</v>
      </c>
    </row>
    <row r="526" spans="2:33" ht="15" customHeight="1" x14ac:dyDescent="0.3">
      <c r="B526" s="196" t="s">
        <v>7</v>
      </c>
      <c r="C526" s="197" t="s">
        <v>15</v>
      </c>
      <c r="D526" s="198" t="str">
        <f t="shared" si="133"/>
        <v>C</v>
      </c>
      <c r="E526" s="199">
        <v>44217.5</v>
      </c>
      <c r="F526" s="200" t="s">
        <v>115</v>
      </c>
      <c r="G526" s="201">
        <v>1.37334</v>
      </c>
      <c r="H526" s="201">
        <v>1.3653999999999999</v>
      </c>
      <c r="I526" s="202">
        <f t="shared" si="134"/>
        <v>7.9400000000000581E-3</v>
      </c>
      <c r="J526" s="201">
        <v>1.40509</v>
      </c>
      <c r="K526" s="199">
        <v>44218.484722222223</v>
      </c>
      <c r="L526" s="201">
        <v>1.3653999999999999</v>
      </c>
      <c r="M526" s="203">
        <f t="shared" si="135"/>
        <v>-7.9000000000000008E-3</v>
      </c>
      <c r="N526" s="204">
        <f t="shared" si="136"/>
        <v>-0.99</v>
      </c>
      <c r="O526" s="205">
        <f t="shared" si="137"/>
        <v>0</v>
      </c>
      <c r="P526" s="206">
        <f t="shared" si="138"/>
        <v>0</v>
      </c>
      <c r="Q526" s="206">
        <f t="shared" si="139"/>
        <v>-0.99</v>
      </c>
      <c r="R5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108800</v>
      </c>
      <c r="T5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6" s="208">
        <f ca="1">IF(Tabla33610673[[#This Row],[Equity]]&lt;Tabla33610673[[#This Row],[Equity Peak]],(Tabla33610673[[#This Row],[Equity Peak]]-Tabla33610673[[#This Row],[Equity]])/Tabla33610673[[#This Row],[Equity Peak]],"")</f>
        <v>4.1409691629955947E-2</v>
      </c>
      <c r="V526" s="209">
        <f t="shared" si="140"/>
        <v>-0.99</v>
      </c>
      <c r="W526" s="209">
        <f t="shared" si="141"/>
        <v>0</v>
      </c>
      <c r="X526" s="209">
        <f t="shared" si="142"/>
        <v>0</v>
      </c>
      <c r="Y526" s="209">
        <f t="shared" si="143"/>
        <v>0</v>
      </c>
      <c r="Z526" s="209">
        <f t="shared" si="144"/>
        <v>0</v>
      </c>
      <c r="AA526" s="205">
        <f t="shared" si="145"/>
        <v>0</v>
      </c>
      <c r="AB526" s="209">
        <f t="shared" si="146"/>
        <v>0</v>
      </c>
      <c r="AC526" s="205">
        <f t="shared" si="147"/>
        <v>0</v>
      </c>
      <c r="AD526" s="210">
        <f t="shared" si="148"/>
        <v>0.98472222222335404</v>
      </c>
      <c r="AE526" s="210">
        <f t="shared" si="149"/>
        <v>0</v>
      </c>
      <c r="AF526" s="210">
        <f t="shared" si="150"/>
        <v>0.98472222222335404</v>
      </c>
      <c r="AG526" s="210">
        <f t="shared" si="151"/>
        <v>0</v>
      </c>
    </row>
    <row r="527" spans="2:33" ht="15" customHeight="1" x14ac:dyDescent="0.3">
      <c r="B527" s="196" t="s">
        <v>5</v>
      </c>
      <c r="C527" s="197" t="s">
        <v>15</v>
      </c>
      <c r="D527" s="198" t="str">
        <f t="shared" si="133"/>
        <v>C</v>
      </c>
      <c r="E527" s="199">
        <v>44216.833333333336</v>
      </c>
      <c r="F527" s="200" t="s">
        <v>93</v>
      </c>
      <c r="G527" s="201">
        <v>3849.45</v>
      </c>
      <c r="H527" s="201">
        <v>3830.03</v>
      </c>
      <c r="I527" s="202">
        <f t="shared" si="134"/>
        <v>19.419999999999618</v>
      </c>
      <c r="J527" s="201">
        <v>3901.22</v>
      </c>
      <c r="K527" s="199">
        <v>44218.431944444441</v>
      </c>
      <c r="L527" s="201">
        <v>3830.03</v>
      </c>
      <c r="M527" s="203">
        <f t="shared" si="135"/>
        <v>-19.420000000000002</v>
      </c>
      <c r="N527" s="204">
        <f t="shared" si="136"/>
        <v>-1</v>
      </c>
      <c r="O527" s="205">
        <f t="shared" si="137"/>
        <v>0</v>
      </c>
      <c r="P527" s="206">
        <f t="shared" si="138"/>
        <v>0</v>
      </c>
      <c r="Q527" s="206">
        <f t="shared" si="139"/>
        <v>-1</v>
      </c>
      <c r="R5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109790</v>
      </c>
      <c r="T5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7" s="208">
        <f ca="1">IF(Tabla33610673[[#This Row],[Equity]]&lt;Tabla33610673[[#This Row],[Equity Peak]],(Tabla33610673[[#This Row],[Equity Peak]]-Tabla33610673[[#This Row],[Equity]])/Tabla33610673[[#This Row],[Equity Peak]],"")</f>
        <v>3.2687224669603526E-2</v>
      </c>
      <c r="V527" s="209">
        <f t="shared" si="140"/>
        <v>0</v>
      </c>
      <c r="W527" s="209">
        <f t="shared" si="141"/>
        <v>0</v>
      </c>
      <c r="X527" s="209">
        <f t="shared" si="142"/>
        <v>0</v>
      </c>
      <c r="Y527" s="209">
        <f t="shared" si="143"/>
        <v>0</v>
      </c>
      <c r="Z527" s="209">
        <f t="shared" si="144"/>
        <v>-1</v>
      </c>
      <c r="AA527" s="205">
        <f t="shared" si="145"/>
        <v>0</v>
      </c>
      <c r="AB527" s="209">
        <f t="shared" si="146"/>
        <v>0</v>
      </c>
      <c r="AC527" s="205">
        <f t="shared" si="147"/>
        <v>0</v>
      </c>
      <c r="AD527" s="210">
        <f t="shared" si="148"/>
        <v>1.5986111111051287</v>
      </c>
      <c r="AE527" s="210">
        <f t="shared" si="149"/>
        <v>0</v>
      </c>
      <c r="AF527" s="210">
        <f t="shared" si="150"/>
        <v>1.5986111111051287</v>
      </c>
      <c r="AG527" s="210">
        <f t="shared" si="151"/>
        <v>0</v>
      </c>
    </row>
    <row r="528" spans="2:33" ht="15" customHeight="1" x14ac:dyDescent="0.3">
      <c r="B528" s="196" t="s">
        <v>5</v>
      </c>
      <c r="C528" s="197" t="s">
        <v>15</v>
      </c>
      <c r="D528" s="198" t="str">
        <f t="shared" si="133"/>
        <v>C</v>
      </c>
      <c r="E528" s="199">
        <v>44217.333333333336</v>
      </c>
      <c r="F528" s="200" t="s">
        <v>95</v>
      </c>
      <c r="G528" s="201">
        <v>31261.599999999999</v>
      </c>
      <c r="H528" s="201">
        <v>30983.3</v>
      </c>
      <c r="I528" s="202">
        <f t="shared" si="134"/>
        <v>278.29999999999927</v>
      </c>
      <c r="J528" s="201">
        <v>32374.79</v>
      </c>
      <c r="K528" s="199">
        <v>44218.429861111108</v>
      </c>
      <c r="L528" s="201">
        <v>30983.3</v>
      </c>
      <c r="M528" s="203">
        <f t="shared" si="135"/>
        <v>-278.3</v>
      </c>
      <c r="N528" s="204">
        <f t="shared" si="136"/>
        <v>-1</v>
      </c>
      <c r="O528" s="205">
        <f t="shared" si="137"/>
        <v>0</v>
      </c>
      <c r="P528" s="206">
        <f t="shared" si="138"/>
        <v>0</v>
      </c>
      <c r="Q528" s="206">
        <f t="shared" si="139"/>
        <v>-1</v>
      </c>
      <c r="R5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110790</v>
      </c>
      <c r="T5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8" s="208">
        <f ca="1">IF(Tabla33610673[[#This Row],[Equity]]&lt;Tabla33610673[[#This Row],[Equity Peak]],(Tabla33610673[[#This Row],[Equity Peak]]-Tabla33610673[[#This Row],[Equity]])/Tabla33610673[[#This Row],[Equity Peak]],"")</f>
        <v>2.3876651982378854E-2</v>
      </c>
      <c r="V528" s="209">
        <f t="shared" si="140"/>
        <v>0</v>
      </c>
      <c r="W528" s="209">
        <f t="shared" si="141"/>
        <v>0</v>
      </c>
      <c r="X528" s="209">
        <f t="shared" si="142"/>
        <v>0</v>
      </c>
      <c r="Y528" s="209">
        <f t="shared" si="143"/>
        <v>0</v>
      </c>
      <c r="Z528" s="209">
        <f t="shared" si="144"/>
        <v>-1</v>
      </c>
      <c r="AA528" s="205">
        <f t="shared" si="145"/>
        <v>0</v>
      </c>
      <c r="AB528" s="209">
        <f t="shared" si="146"/>
        <v>0</v>
      </c>
      <c r="AC528" s="205">
        <f t="shared" si="147"/>
        <v>0</v>
      </c>
      <c r="AD528" s="210">
        <f t="shared" si="148"/>
        <v>1.0965277777722804</v>
      </c>
      <c r="AE528" s="210">
        <f t="shared" si="149"/>
        <v>0</v>
      </c>
      <c r="AF528" s="210">
        <f t="shared" si="150"/>
        <v>1.0965277777722804</v>
      </c>
      <c r="AG528" s="210">
        <f t="shared" si="151"/>
        <v>0</v>
      </c>
    </row>
    <row r="529" spans="2:33" ht="15" customHeight="1" x14ac:dyDescent="0.3">
      <c r="B529" s="196" t="s">
        <v>5</v>
      </c>
      <c r="C529" s="197" t="s">
        <v>15</v>
      </c>
      <c r="D529" s="198" t="str">
        <f t="shared" ref="D529:D592" si="152">IF(E529&lt;&gt;"",IF(K529&lt;&gt;"","C","O"),"")</f>
        <v>C</v>
      </c>
      <c r="E529" s="199">
        <v>44216.201388888891</v>
      </c>
      <c r="F529" s="200" t="s">
        <v>90</v>
      </c>
      <c r="G529" s="201">
        <v>6784.3</v>
      </c>
      <c r="H529" s="201">
        <v>6749.03</v>
      </c>
      <c r="I529" s="202">
        <f t="shared" ref="I529:I592" si="153">ABS(G529-H529)</f>
        <v>35.270000000000437</v>
      </c>
      <c r="J529" s="201">
        <v>7254.59</v>
      </c>
      <c r="K529" s="199">
        <v>44218.417361111111</v>
      </c>
      <c r="L529" s="201">
        <v>6783.14</v>
      </c>
      <c r="M529" s="203">
        <f t="shared" ref="M529:M592" si="154">ROUND(IF(C529="L",(L529-G529),(G529-L529)),4)</f>
        <v>-1.1599999999999999</v>
      </c>
      <c r="N529" s="204">
        <f t="shared" ref="N529:N592" si="155">IFERROR(ROUND((M529/I529),2),"")</f>
        <v>-0.03</v>
      </c>
      <c r="O529" s="205">
        <f t="shared" ref="O529:O592" si="156">IF(D529="O",IF(N529&lt;0,N529,0),0)</f>
        <v>0</v>
      </c>
      <c r="P529" s="206">
        <f t="shared" ref="P529:P551" si="157">IF(N529&gt;= 0,N529,0)</f>
        <v>0</v>
      </c>
      <c r="Q529" s="206">
        <f t="shared" ref="Q529:Q551" si="158">IF(N529&lt;0,N529,0)</f>
        <v>-0.03</v>
      </c>
      <c r="R5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111790</v>
      </c>
      <c r="T5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29" s="208">
        <f ca="1">IF(Tabla33610673[[#This Row],[Equity]]&lt;Tabla33610673[[#This Row],[Equity Peak]],(Tabla33610673[[#This Row],[Equity Peak]]-Tabla33610673[[#This Row],[Equity]])/Tabla33610673[[#This Row],[Equity Peak]],"")</f>
        <v>1.5066079295154185E-2</v>
      </c>
      <c r="V529" s="209">
        <f t="shared" ref="V529:V551" si="159">IF(B529="FX",N529,0)</f>
        <v>0</v>
      </c>
      <c r="W529" s="209">
        <f t="shared" ref="W529:W592" si="160">IF(D529="O",IF(V529&lt;0,V529,0),0)</f>
        <v>0</v>
      </c>
      <c r="X529" s="209">
        <f t="shared" ref="X529:X551" si="161">IF(B529="COM",N529,0)</f>
        <v>0</v>
      </c>
      <c r="Y529" s="209">
        <f t="shared" ref="Y529:Y592" si="162">IF(D529="O",IF(X529&lt;0,X529,0),0)</f>
        <v>0</v>
      </c>
      <c r="Z529" s="209">
        <f t="shared" ref="Z529:Z551" si="163">IF(B529="IND",N529,0)</f>
        <v>-0.03</v>
      </c>
      <c r="AA529" s="205">
        <f t="shared" ref="AA529:AA592" si="164">IF(D529="O",IF(Z529&lt;0,Z529,0),0)</f>
        <v>0</v>
      </c>
      <c r="AB529" s="209">
        <f t="shared" ref="AB529:AB551" si="165">IF(B529="CRYPTO",N529,0)</f>
        <v>0</v>
      </c>
      <c r="AC529" s="205">
        <f t="shared" ref="AC529:AC592" si="166">IF(D529="O",IF(AB529&lt;0,AB529,0),0)</f>
        <v>0</v>
      </c>
      <c r="AD529" s="210">
        <f t="shared" ref="AD529:AD551" si="167">IF(K529&lt;&gt;"",K529-E529,0)</f>
        <v>2.2159722222204437</v>
      </c>
      <c r="AE529" s="210">
        <f t="shared" ref="AE529:AE592" si="168">IF(N529&gt;0,AD529,0)</f>
        <v>0</v>
      </c>
      <c r="AF529" s="210">
        <f t="shared" ref="AF529:AF551" si="169">IF(N529&lt;0,AD529,0)</f>
        <v>2.2159722222204437</v>
      </c>
      <c r="AG529" s="210">
        <f t="shared" ref="AG529:AG551" si="170">IF(N529=0,AD529,0)</f>
        <v>0</v>
      </c>
    </row>
    <row r="530" spans="2:33" ht="15" customHeight="1" x14ac:dyDescent="0.3">
      <c r="B530" s="196" t="s">
        <v>7</v>
      </c>
      <c r="C530" s="197" t="s">
        <v>13</v>
      </c>
      <c r="D530" s="198" t="str">
        <f t="shared" si="152"/>
        <v>C</v>
      </c>
      <c r="E530" s="199">
        <v>44217.017361111109</v>
      </c>
      <c r="F530" s="200" t="s">
        <v>114</v>
      </c>
      <c r="G530" s="201">
        <v>103.54600000000001</v>
      </c>
      <c r="H530" s="201">
        <v>103.998</v>
      </c>
      <c r="I530" s="202">
        <f t="shared" si="153"/>
        <v>0.45199999999999818</v>
      </c>
      <c r="J530" s="201">
        <v>101.435</v>
      </c>
      <c r="K530" s="199">
        <v>44217.67083333333</v>
      </c>
      <c r="L530" s="201">
        <v>103.61199999999999</v>
      </c>
      <c r="M530" s="203">
        <f t="shared" si="154"/>
        <v>-6.6000000000000003E-2</v>
      </c>
      <c r="N530" s="204">
        <f t="shared" si="155"/>
        <v>-0.15</v>
      </c>
      <c r="O530" s="205">
        <f t="shared" si="156"/>
        <v>0</v>
      </c>
      <c r="P530" s="206">
        <f t="shared" si="157"/>
        <v>0</v>
      </c>
      <c r="Q530" s="206">
        <f t="shared" si="158"/>
        <v>-0.15</v>
      </c>
      <c r="R5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111820</v>
      </c>
      <c r="T5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30" s="208">
        <f ca="1">IF(Tabla33610673[[#This Row],[Equity]]&lt;Tabla33610673[[#This Row],[Equity Peak]],(Tabla33610673[[#This Row],[Equity Peak]]-Tabla33610673[[#This Row],[Equity]])/Tabla33610673[[#This Row],[Equity Peak]],"")</f>
        <v>1.4801762114537445E-2</v>
      </c>
      <c r="V530" s="209">
        <f t="shared" si="159"/>
        <v>-0.15</v>
      </c>
      <c r="W530" s="209">
        <f t="shared" si="160"/>
        <v>0</v>
      </c>
      <c r="X530" s="209">
        <f t="shared" si="161"/>
        <v>0</v>
      </c>
      <c r="Y530" s="209">
        <f t="shared" si="162"/>
        <v>0</v>
      </c>
      <c r="Z530" s="209">
        <f t="shared" si="163"/>
        <v>0</v>
      </c>
      <c r="AA530" s="205">
        <f t="shared" si="164"/>
        <v>0</v>
      </c>
      <c r="AB530" s="209">
        <f t="shared" si="165"/>
        <v>0</v>
      </c>
      <c r="AC530" s="205">
        <f t="shared" si="166"/>
        <v>0</v>
      </c>
      <c r="AD530" s="210">
        <f t="shared" si="167"/>
        <v>0.65347222222044365</v>
      </c>
      <c r="AE530" s="210">
        <f t="shared" si="168"/>
        <v>0</v>
      </c>
      <c r="AF530" s="210">
        <f t="shared" si="169"/>
        <v>0.65347222222044365</v>
      </c>
      <c r="AG530" s="210">
        <f t="shared" si="170"/>
        <v>0</v>
      </c>
    </row>
    <row r="531" spans="2:33" ht="15" customHeight="1" x14ac:dyDescent="0.3">
      <c r="B531" s="196" t="s">
        <v>19</v>
      </c>
      <c r="C531" s="197" t="s">
        <v>13</v>
      </c>
      <c r="D531" s="198" t="str">
        <f t="shared" si="152"/>
        <v>C</v>
      </c>
      <c r="E531" s="199">
        <v>44208.041666666664</v>
      </c>
      <c r="F531" s="200" t="s">
        <v>89</v>
      </c>
      <c r="G531" s="201">
        <v>24.908000000000001</v>
      </c>
      <c r="H531" s="201">
        <v>25.978000000000002</v>
      </c>
      <c r="I531" s="202">
        <f t="shared" si="153"/>
        <v>1.0700000000000003</v>
      </c>
      <c r="J531" s="201">
        <v>19.771000000000001</v>
      </c>
      <c r="K531" s="199">
        <v>44217.224999999999</v>
      </c>
      <c r="L531" s="201">
        <v>25.978000000000002</v>
      </c>
      <c r="M531" s="203">
        <f t="shared" si="154"/>
        <v>-1.07</v>
      </c>
      <c r="N531" s="204">
        <f t="shared" si="155"/>
        <v>-1</v>
      </c>
      <c r="O531" s="205">
        <f t="shared" si="156"/>
        <v>0</v>
      </c>
      <c r="P531" s="206">
        <f t="shared" si="157"/>
        <v>0</v>
      </c>
      <c r="Q531" s="206">
        <f t="shared" si="158"/>
        <v>-1</v>
      </c>
      <c r="R5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111970</v>
      </c>
      <c r="T5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31" s="208">
        <f ca="1">IF(Tabla33610673[[#This Row],[Equity]]&lt;Tabla33610673[[#This Row],[Equity Peak]],(Tabla33610673[[#This Row],[Equity Peak]]-Tabla33610673[[#This Row],[Equity]])/Tabla33610673[[#This Row],[Equity Peak]],"")</f>
        <v>1.3480176211453745E-2</v>
      </c>
      <c r="V531" s="209">
        <f t="shared" si="159"/>
        <v>0</v>
      </c>
      <c r="W531" s="209">
        <f t="shared" si="160"/>
        <v>0</v>
      </c>
      <c r="X531" s="209">
        <f t="shared" si="161"/>
        <v>-1</v>
      </c>
      <c r="Y531" s="209">
        <f t="shared" si="162"/>
        <v>0</v>
      </c>
      <c r="Z531" s="209">
        <f t="shared" si="163"/>
        <v>0</v>
      </c>
      <c r="AA531" s="205">
        <f t="shared" si="164"/>
        <v>0</v>
      </c>
      <c r="AB531" s="209">
        <f t="shared" si="165"/>
        <v>0</v>
      </c>
      <c r="AC531" s="205">
        <f t="shared" si="166"/>
        <v>0</v>
      </c>
      <c r="AD531" s="210">
        <f t="shared" si="167"/>
        <v>9.1833333333343035</v>
      </c>
      <c r="AE531" s="210">
        <f t="shared" si="168"/>
        <v>0</v>
      </c>
      <c r="AF531" s="210">
        <f t="shared" si="169"/>
        <v>9.1833333333343035</v>
      </c>
      <c r="AG531" s="210">
        <f t="shared" si="170"/>
        <v>0</v>
      </c>
    </row>
    <row r="532" spans="2:33" ht="15" customHeight="1" x14ac:dyDescent="0.3">
      <c r="B532" s="196" t="s">
        <v>5</v>
      </c>
      <c r="C532" s="197" t="s">
        <v>13</v>
      </c>
      <c r="D532" s="198" t="str">
        <f t="shared" si="152"/>
        <v>C</v>
      </c>
      <c r="E532" s="199">
        <v>44214.208333333336</v>
      </c>
      <c r="F532" s="200" t="s">
        <v>94</v>
      </c>
      <c r="G532" s="201">
        <v>6723.49</v>
      </c>
      <c r="H532" s="201">
        <v>6794.69</v>
      </c>
      <c r="I532" s="202">
        <f t="shared" si="153"/>
        <v>71.199999999999818</v>
      </c>
      <c r="J532" s="201">
        <v>6367.48</v>
      </c>
      <c r="K532" s="199">
        <v>44216.948611111111</v>
      </c>
      <c r="L532" s="201">
        <v>6760.94</v>
      </c>
      <c r="M532" s="203">
        <f t="shared" si="154"/>
        <v>-37.450000000000003</v>
      </c>
      <c r="N532" s="204">
        <f t="shared" si="155"/>
        <v>-0.53</v>
      </c>
      <c r="O532" s="205">
        <f t="shared" si="156"/>
        <v>0</v>
      </c>
      <c r="P532" s="206">
        <f t="shared" si="157"/>
        <v>0</v>
      </c>
      <c r="Q532" s="206">
        <f t="shared" si="158"/>
        <v>-0.53</v>
      </c>
      <c r="R5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112970</v>
      </c>
      <c r="T5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32" s="208">
        <f ca="1">IF(Tabla33610673[[#This Row],[Equity]]&lt;Tabla33610673[[#This Row],[Equity Peak]],(Tabla33610673[[#This Row],[Equity Peak]]-Tabla33610673[[#This Row],[Equity]])/Tabla33610673[[#This Row],[Equity Peak]],"")</f>
        <v>4.6696035242290747E-3</v>
      </c>
      <c r="V532" s="209">
        <f t="shared" si="159"/>
        <v>0</v>
      </c>
      <c r="W532" s="209">
        <f t="shared" si="160"/>
        <v>0</v>
      </c>
      <c r="X532" s="209">
        <f t="shared" si="161"/>
        <v>0</v>
      </c>
      <c r="Y532" s="209">
        <f t="shared" si="162"/>
        <v>0</v>
      </c>
      <c r="Z532" s="209">
        <f t="shared" si="163"/>
        <v>-0.53</v>
      </c>
      <c r="AA532" s="205">
        <f t="shared" si="164"/>
        <v>0</v>
      </c>
      <c r="AB532" s="209">
        <f t="shared" si="165"/>
        <v>0</v>
      </c>
      <c r="AC532" s="205">
        <f t="shared" si="166"/>
        <v>0</v>
      </c>
      <c r="AD532" s="210">
        <f t="shared" si="167"/>
        <v>2.7402777777751908</v>
      </c>
      <c r="AE532" s="210">
        <f t="shared" si="168"/>
        <v>0</v>
      </c>
      <c r="AF532" s="210">
        <f t="shared" si="169"/>
        <v>2.7402777777751908</v>
      </c>
      <c r="AG532" s="210">
        <f t="shared" si="170"/>
        <v>0</v>
      </c>
    </row>
    <row r="533" spans="2:33" ht="15" customHeight="1" x14ac:dyDescent="0.3">
      <c r="B533" s="196" t="s">
        <v>84</v>
      </c>
      <c r="C533" s="197" t="s">
        <v>15</v>
      </c>
      <c r="D533" s="198" t="str">
        <f t="shared" si="152"/>
        <v>C</v>
      </c>
      <c r="E533" s="199">
        <v>44196.017361111109</v>
      </c>
      <c r="F533" s="200" t="s">
        <v>82</v>
      </c>
      <c r="G533" s="201">
        <v>753.04</v>
      </c>
      <c r="H533" s="201">
        <v>720.31</v>
      </c>
      <c r="I533" s="202">
        <f t="shared" si="153"/>
        <v>32.730000000000018</v>
      </c>
      <c r="J533" s="201">
        <v>1364.08</v>
      </c>
      <c r="K533" s="199">
        <v>44215.411111111112</v>
      </c>
      <c r="L533" s="201">
        <v>1364.08</v>
      </c>
      <c r="M533" s="203">
        <f t="shared" si="154"/>
        <v>611.04</v>
      </c>
      <c r="N533" s="204">
        <f t="shared" si="155"/>
        <v>18.670000000000002</v>
      </c>
      <c r="O533" s="205">
        <f t="shared" si="156"/>
        <v>0</v>
      </c>
      <c r="P533" s="206">
        <f t="shared" si="157"/>
        <v>18.670000000000002</v>
      </c>
      <c r="Q533" s="206">
        <f t="shared" si="158"/>
        <v>0</v>
      </c>
      <c r="R5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113500</v>
      </c>
      <c r="T5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113500</v>
      </c>
      <c r="U53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33" s="209">
        <f t="shared" si="159"/>
        <v>0</v>
      </c>
      <c r="W533" s="209">
        <f t="shared" si="160"/>
        <v>0</v>
      </c>
      <c r="X533" s="209">
        <f t="shared" si="161"/>
        <v>0</v>
      </c>
      <c r="Y533" s="209">
        <f t="shared" si="162"/>
        <v>0</v>
      </c>
      <c r="Z533" s="209">
        <f t="shared" si="163"/>
        <v>0</v>
      </c>
      <c r="AA533" s="205">
        <f t="shared" si="164"/>
        <v>0</v>
      </c>
      <c r="AB533" s="209">
        <f t="shared" si="165"/>
        <v>18.670000000000002</v>
      </c>
      <c r="AC533" s="205">
        <f t="shared" si="166"/>
        <v>0</v>
      </c>
      <c r="AD533" s="210">
        <f t="shared" si="167"/>
        <v>19.39375000000291</v>
      </c>
      <c r="AE533" s="210">
        <f t="shared" si="168"/>
        <v>19.39375000000291</v>
      </c>
      <c r="AF533" s="210">
        <f t="shared" si="169"/>
        <v>0</v>
      </c>
      <c r="AG533" s="210">
        <f t="shared" si="170"/>
        <v>0</v>
      </c>
    </row>
    <row r="534" spans="2:33" ht="15" customHeight="1" x14ac:dyDescent="0.3">
      <c r="B534" s="196" t="s">
        <v>7</v>
      </c>
      <c r="C534" s="197" t="s">
        <v>13</v>
      </c>
      <c r="D534" s="198" t="str">
        <f t="shared" si="152"/>
        <v>C</v>
      </c>
      <c r="E534" s="199">
        <v>44210.666666666664</v>
      </c>
      <c r="F534" s="200" t="s">
        <v>119</v>
      </c>
      <c r="G534" s="201">
        <v>126.124</v>
      </c>
      <c r="H534" s="201">
        <v>126.71299999999999</v>
      </c>
      <c r="I534" s="202">
        <f t="shared" si="153"/>
        <v>0.58899999999999864</v>
      </c>
      <c r="J534" s="201">
        <v>123.767</v>
      </c>
      <c r="K534" s="199">
        <v>44215.181944444441</v>
      </c>
      <c r="L534" s="201">
        <v>125.673</v>
      </c>
      <c r="M534" s="203">
        <f t="shared" si="154"/>
        <v>0.45100000000000001</v>
      </c>
      <c r="N534" s="204">
        <f t="shared" si="155"/>
        <v>0.77</v>
      </c>
      <c r="O534" s="205">
        <f t="shared" si="156"/>
        <v>0</v>
      </c>
      <c r="P534" s="206">
        <f t="shared" si="157"/>
        <v>0.77</v>
      </c>
      <c r="Q534" s="206">
        <f t="shared" si="158"/>
        <v>0</v>
      </c>
      <c r="R5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94830</v>
      </c>
      <c r="T5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34" s="208">
        <f ca="1">IF(Tabla33610673[[#This Row],[Equity]]&lt;Tabla33610673[[#This Row],[Equity Peak]],(Tabla33610673[[#This Row],[Equity Peak]]-Tabla33610673[[#This Row],[Equity]])/Tabla33610673[[#This Row],[Equity Peak]],"")</f>
        <v>5.1700000000000003E-2</v>
      </c>
      <c r="V534" s="209">
        <f t="shared" si="159"/>
        <v>0.77</v>
      </c>
      <c r="W534" s="209">
        <f t="shared" si="160"/>
        <v>0</v>
      </c>
      <c r="X534" s="209">
        <f t="shared" si="161"/>
        <v>0</v>
      </c>
      <c r="Y534" s="209">
        <f t="shared" si="162"/>
        <v>0</v>
      </c>
      <c r="Z534" s="209">
        <f t="shared" si="163"/>
        <v>0</v>
      </c>
      <c r="AA534" s="205">
        <f t="shared" si="164"/>
        <v>0</v>
      </c>
      <c r="AB534" s="209">
        <f t="shared" si="165"/>
        <v>0</v>
      </c>
      <c r="AC534" s="205">
        <f t="shared" si="166"/>
        <v>0</v>
      </c>
      <c r="AD534" s="210">
        <f t="shared" si="167"/>
        <v>4.515277777776646</v>
      </c>
      <c r="AE534" s="210">
        <f t="shared" si="168"/>
        <v>4.515277777776646</v>
      </c>
      <c r="AF534" s="210">
        <f t="shared" si="169"/>
        <v>0</v>
      </c>
      <c r="AG534" s="210">
        <f t="shared" si="170"/>
        <v>0</v>
      </c>
    </row>
    <row r="535" spans="2:33" ht="15" customHeight="1" x14ac:dyDescent="0.3">
      <c r="B535" s="196" t="s">
        <v>7</v>
      </c>
      <c r="C535" s="197" t="s">
        <v>15</v>
      </c>
      <c r="D535" s="198" t="str">
        <f t="shared" si="152"/>
        <v>C</v>
      </c>
      <c r="E535" s="199">
        <v>44209.017361111109</v>
      </c>
      <c r="F535" s="200" t="s">
        <v>115</v>
      </c>
      <c r="G535" s="201">
        <v>1.3655299999999999</v>
      </c>
      <c r="H535" s="201">
        <v>1.35372</v>
      </c>
      <c r="I535" s="202">
        <f t="shared" si="153"/>
        <v>1.1809999999999876E-2</v>
      </c>
      <c r="J535" s="201">
        <v>1.41276</v>
      </c>
      <c r="K535" s="199">
        <v>44214.427083333336</v>
      </c>
      <c r="L535" s="201">
        <v>1.35504</v>
      </c>
      <c r="M535" s="203">
        <f t="shared" si="154"/>
        <v>-1.0500000000000001E-2</v>
      </c>
      <c r="N535" s="204">
        <f t="shared" si="155"/>
        <v>-0.89</v>
      </c>
      <c r="O535" s="205">
        <f t="shared" si="156"/>
        <v>0</v>
      </c>
      <c r="P535" s="206">
        <f t="shared" si="157"/>
        <v>0</v>
      </c>
      <c r="Q535" s="206">
        <f t="shared" si="158"/>
        <v>-0.89</v>
      </c>
      <c r="R5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94060</v>
      </c>
      <c r="T5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35" s="208">
        <f ca="1">IF(Tabla33610673[[#This Row],[Equity]]&lt;Tabla33610673[[#This Row],[Equity Peak]],(Tabla33610673[[#This Row],[Equity Peak]]-Tabla33610673[[#This Row],[Equity]])/Tabla33610673[[#This Row],[Equity Peak]],"")</f>
        <v>5.9400000000000001E-2</v>
      </c>
      <c r="V535" s="209">
        <f t="shared" si="159"/>
        <v>-0.89</v>
      </c>
      <c r="W535" s="209">
        <f t="shared" si="160"/>
        <v>0</v>
      </c>
      <c r="X535" s="209">
        <f t="shared" si="161"/>
        <v>0</v>
      </c>
      <c r="Y535" s="209">
        <f t="shared" si="162"/>
        <v>0</v>
      </c>
      <c r="Z535" s="209">
        <f t="shared" si="163"/>
        <v>0</v>
      </c>
      <c r="AA535" s="205">
        <f t="shared" si="164"/>
        <v>0</v>
      </c>
      <c r="AB535" s="209">
        <f t="shared" si="165"/>
        <v>0</v>
      </c>
      <c r="AC535" s="205">
        <f t="shared" si="166"/>
        <v>0</v>
      </c>
      <c r="AD535" s="210">
        <f t="shared" si="167"/>
        <v>5.4097222222262644</v>
      </c>
      <c r="AE535" s="210">
        <f t="shared" si="168"/>
        <v>0</v>
      </c>
      <c r="AF535" s="210">
        <f t="shared" si="169"/>
        <v>5.4097222222262644</v>
      </c>
      <c r="AG535" s="210">
        <f t="shared" si="170"/>
        <v>0</v>
      </c>
    </row>
    <row r="536" spans="2:33" ht="15" customHeight="1" x14ac:dyDescent="0.3">
      <c r="B536" s="196" t="s">
        <v>5</v>
      </c>
      <c r="C536" s="197" t="s">
        <v>15</v>
      </c>
      <c r="D536" s="198" t="str">
        <f t="shared" si="152"/>
        <v>C</v>
      </c>
      <c r="E536" s="199">
        <v>44193.541666666664</v>
      </c>
      <c r="F536" s="200" t="s">
        <v>91</v>
      </c>
      <c r="G536" s="201">
        <v>13798.25</v>
      </c>
      <c r="H536" s="201">
        <v>13480.94</v>
      </c>
      <c r="I536" s="202">
        <f t="shared" si="153"/>
        <v>317.30999999999949</v>
      </c>
      <c r="J536" s="201">
        <v>15067.47</v>
      </c>
      <c r="K536" s="199">
        <v>44211.714583333334</v>
      </c>
      <c r="L536" s="201">
        <v>13748.75</v>
      </c>
      <c r="M536" s="203">
        <f t="shared" si="154"/>
        <v>-49.5</v>
      </c>
      <c r="N536" s="204">
        <f t="shared" si="155"/>
        <v>-0.16</v>
      </c>
      <c r="O536" s="205">
        <f t="shared" si="156"/>
        <v>0</v>
      </c>
      <c r="P536" s="206">
        <f t="shared" si="157"/>
        <v>0</v>
      </c>
      <c r="Q536" s="206">
        <f t="shared" si="158"/>
        <v>-0.16</v>
      </c>
      <c r="R5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94950</v>
      </c>
      <c r="T5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36" s="208">
        <f ca="1">IF(Tabla33610673[[#This Row],[Equity]]&lt;Tabla33610673[[#This Row],[Equity Peak]],(Tabla33610673[[#This Row],[Equity Peak]]-Tabla33610673[[#This Row],[Equity]])/Tabla33610673[[#This Row],[Equity Peak]],"")</f>
        <v>5.0500000000000003E-2</v>
      </c>
      <c r="V536" s="209">
        <f t="shared" si="159"/>
        <v>0</v>
      </c>
      <c r="W536" s="209">
        <f t="shared" si="160"/>
        <v>0</v>
      </c>
      <c r="X536" s="209">
        <f t="shared" si="161"/>
        <v>0</v>
      </c>
      <c r="Y536" s="209">
        <f t="shared" si="162"/>
        <v>0</v>
      </c>
      <c r="Z536" s="209">
        <f t="shared" si="163"/>
        <v>-0.16</v>
      </c>
      <c r="AA536" s="205">
        <f t="shared" si="164"/>
        <v>0</v>
      </c>
      <c r="AB536" s="209">
        <f t="shared" si="165"/>
        <v>0</v>
      </c>
      <c r="AC536" s="205">
        <f t="shared" si="166"/>
        <v>0</v>
      </c>
      <c r="AD536" s="210">
        <f t="shared" si="167"/>
        <v>18.172916666670062</v>
      </c>
      <c r="AE536" s="210">
        <f t="shared" si="168"/>
        <v>0</v>
      </c>
      <c r="AF536" s="210">
        <f t="shared" si="169"/>
        <v>18.172916666670062</v>
      </c>
      <c r="AG536" s="210">
        <f t="shared" si="170"/>
        <v>0</v>
      </c>
    </row>
    <row r="537" spans="2:33" ht="15" customHeight="1" x14ac:dyDescent="0.3">
      <c r="B537" s="196" t="s">
        <v>5</v>
      </c>
      <c r="C537" s="197" t="s">
        <v>15</v>
      </c>
      <c r="D537" s="198" t="str">
        <f t="shared" si="152"/>
        <v>C</v>
      </c>
      <c r="E537" s="199">
        <v>44202.833333333336</v>
      </c>
      <c r="F537" s="200" t="s">
        <v>95</v>
      </c>
      <c r="G537" s="201">
        <v>30987.9</v>
      </c>
      <c r="H537" s="201">
        <v>30701.91</v>
      </c>
      <c r="I537" s="202">
        <f t="shared" si="153"/>
        <v>285.9900000000016</v>
      </c>
      <c r="J537" s="201">
        <v>32131.86</v>
      </c>
      <c r="K537" s="199">
        <v>44211.714583333334</v>
      </c>
      <c r="L537" s="201">
        <v>30701.91</v>
      </c>
      <c r="M537" s="203">
        <f t="shared" si="154"/>
        <v>-285.99</v>
      </c>
      <c r="N537" s="204">
        <f t="shared" si="155"/>
        <v>-1</v>
      </c>
      <c r="O537" s="205">
        <f t="shared" si="156"/>
        <v>0</v>
      </c>
      <c r="P537" s="206">
        <f t="shared" si="157"/>
        <v>0</v>
      </c>
      <c r="Q537" s="206">
        <f t="shared" si="158"/>
        <v>-1</v>
      </c>
      <c r="R5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95110</v>
      </c>
      <c r="T5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37" s="208">
        <f ca="1">IF(Tabla33610673[[#This Row],[Equity]]&lt;Tabla33610673[[#This Row],[Equity Peak]],(Tabla33610673[[#This Row],[Equity Peak]]-Tabla33610673[[#This Row],[Equity]])/Tabla33610673[[#This Row],[Equity Peak]],"")</f>
        <v>4.8899999999999999E-2</v>
      </c>
      <c r="V537" s="209">
        <f t="shared" si="159"/>
        <v>0</v>
      </c>
      <c r="W537" s="209">
        <f t="shared" si="160"/>
        <v>0</v>
      </c>
      <c r="X537" s="209">
        <f t="shared" si="161"/>
        <v>0</v>
      </c>
      <c r="Y537" s="209">
        <f t="shared" si="162"/>
        <v>0</v>
      </c>
      <c r="Z537" s="209">
        <f t="shared" si="163"/>
        <v>-1</v>
      </c>
      <c r="AA537" s="205">
        <f t="shared" si="164"/>
        <v>0</v>
      </c>
      <c r="AB537" s="209">
        <f t="shared" si="165"/>
        <v>0</v>
      </c>
      <c r="AC537" s="205">
        <f t="shared" si="166"/>
        <v>0</v>
      </c>
      <c r="AD537" s="210">
        <f t="shared" si="167"/>
        <v>8.8812499999985448</v>
      </c>
      <c r="AE537" s="210">
        <f t="shared" si="168"/>
        <v>0</v>
      </c>
      <c r="AF537" s="210">
        <f t="shared" si="169"/>
        <v>8.8812499999985448</v>
      </c>
      <c r="AG537" s="210">
        <f t="shared" si="170"/>
        <v>0</v>
      </c>
    </row>
    <row r="538" spans="2:33" ht="15" customHeight="1" x14ac:dyDescent="0.3">
      <c r="B538" s="196" t="s">
        <v>5</v>
      </c>
      <c r="C538" s="197" t="s">
        <v>15</v>
      </c>
      <c r="D538" s="198" t="str">
        <f t="shared" si="152"/>
        <v>C</v>
      </c>
      <c r="E538" s="199">
        <v>44203.833333333336</v>
      </c>
      <c r="F538" s="200" t="s">
        <v>93</v>
      </c>
      <c r="G538" s="201">
        <v>3802.57</v>
      </c>
      <c r="H538" s="201">
        <v>3754.69</v>
      </c>
      <c r="I538" s="202">
        <f t="shared" si="153"/>
        <v>47.880000000000109</v>
      </c>
      <c r="J538" s="201">
        <v>3930.26</v>
      </c>
      <c r="K538" s="199">
        <v>44211.713194444441</v>
      </c>
      <c r="L538" s="201">
        <v>3768.28</v>
      </c>
      <c r="M538" s="203">
        <f t="shared" si="154"/>
        <v>-34.29</v>
      </c>
      <c r="N538" s="204">
        <f t="shared" si="155"/>
        <v>-0.72</v>
      </c>
      <c r="O538" s="205">
        <f t="shared" si="156"/>
        <v>0</v>
      </c>
      <c r="P538" s="206">
        <f t="shared" si="157"/>
        <v>0</v>
      </c>
      <c r="Q538" s="206">
        <f t="shared" si="158"/>
        <v>-0.72</v>
      </c>
      <c r="R5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96110</v>
      </c>
      <c r="T5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38" s="208">
        <f ca="1">IF(Tabla33610673[[#This Row],[Equity]]&lt;Tabla33610673[[#This Row],[Equity Peak]],(Tabla33610673[[#This Row],[Equity Peak]]-Tabla33610673[[#This Row],[Equity]])/Tabla33610673[[#This Row],[Equity Peak]],"")</f>
        <v>3.8899999999999997E-2</v>
      </c>
      <c r="V538" s="209">
        <f t="shared" si="159"/>
        <v>0</v>
      </c>
      <c r="W538" s="209">
        <f t="shared" si="160"/>
        <v>0</v>
      </c>
      <c r="X538" s="209">
        <f t="shared" si="161"/>
        <v>0</v>
      </c>
      <c r="Y538" s="209">
        <f t="shared" si="162"/>
        <v>0</v>
      </c>
      <c r="Z538" s="209">
        <f t="shared" si="163"/>
        <v>-0.72</v>
      </c>
      <c r="AA538" s="205">
        <f t="shared" si="164"/>
        <v>0</v>
      </c>
      <c r="AB538" s="209">
        <f t="shared" si="165"/>
        <v>0</v>
      </c>
      <c r="AC538" s="205">
        <f t="shared" si="166"/>
        <v>0</v>
      </c>
      <c r="AD538" s="210">
        <f t="shared" si="167"/>
        <v>7.8798611111051287</v>
      </c>
      <c r="AE538" s="210">
        <f t="shared" si="168"/>
        <v>0</v>
      </c>
      <c r="AF538" s="210">
        <f t="shared" si="169"/>
        <v>7.8798611111051287</v>
      </c>
      <c r="AG538" s="210">
        <f t="shared" si="170"/>
        <v>0</v>
      </c>
    </row>
    <row r="539" spans="2:33" ht="15" customHeight="1" x14ac:dyDescent="0.3">
      <c r="B539" s="196" t="s">
        <v>7</v>
      </c>
      <c r="C539" s="197" t="s">
        <v>15</v>
      </c>
      <c r="D539" s="198" t="str">
        <f t="shared" si="152"/>
        <v>C</v>
      </c>
      <c r="E539" s="199">
        <v>44210.5</v>
      </c>
      <c r="F539" s="200" t="s">
        <v>119</v>
      </c>
      <c r="G539" s="201">
        <v>126.509</v>
      </c>
      <c r="H539" s="201">
        <v>125.973</v>
      </c>
      <c r="I539" s="202">
        <f t="shared" si="153"/>
        <v>0.53600000000000136</v>
      </c>
      <c r="J539" s="201">
        <v>128.65100000000001</v>
      </c>
      <c r="K539" s="199">
        <v>44210.666666666664</v>
      </c>
      <c r="L539" s="201">
        <v>126.124</v>
      </c>
      <c r="M539" s="203">
        <f t="shared" si="154"/>
        <v>-0.38500000000000001</v>
      </c>
      <c r="N539" s="204">
        <f t="shared" si="155"/>
        <v>-0.72</v>
      </c>
      <c r="O539" s="205">
        <f t="shared" si="156"/>
        <v>0</v>
      </c>
      <c r="P539" s="206">
        <f t="shared" si="157"/>
        <v>0</v>
      </c>
      <c r="Q539" s="206">
        <f t="shared" si="158"/>
        <v>-0.72</v>
      </c>
      <c r="R5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96830</v>
      </c>
      <c r="T5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39" s="208">
        <f ca="1">IF(Tabla33610673[[#This Row],[Equity]]&lt;Tabla33610673[[#This Row],[Equity Peak]],(Tabla33610673[[#This Row],[Equity Peak]]-Tabla33610673[[#This Row],[Equity]])/Tabla33610673[[#This Row],[Equity Peak]],"")</f>
        <v>3.1699999999999999E-2</v>
      </c>
      <c r="V539" s="209">
        <f t="shared" si="159"/>
        <v>-0.72</v>
      </c>
      <c r="W539" s="209">
        <f t="shared" si="160"/>
        <v>0</v>
      </c>
      <c r="X539" s="209">
        <f t="shared" si="161"/>
        <v>0</v>
      </c>
      <c r="Y539" s="209">
        <f t="shared" si="162"/>
        <v>0</v>
      </c>
      <c r="Z539" s="209">
        <f t="shared" si="163"/>
        <v>0</v>
      </c>
      <c r="AA539" s="205">
        <f t="shared" si="164"/>
        <v>0</v>
      </c>
      <c r="AB539" s="209">
        <f t="shared" si="165"/>
        <v>0</v>
      </c>
      <c r="AC539" s="205">
        <f t="shared" si="166"/>
        <v>0</v>
      </c>
      <c r="AD539" s="210">
        <f t="shared" si="167"/>
        <v>0.16666666666424135</v>
      </c>
      <c r="AE539" s="210">
        <f t="shared" si="168"/>
        <v>0</v>
      </c>
      <c r="AF539" s="210">
        <f t="shared" si="169"/>
        <v>0.16666666666424135</v>
      </c>
      <c r="AG539" s="210">
        <f t="shared" si="170"/>
        <v>0</v>
      </c>
    </row>
    <row r="540" spans="2:33" ht="15" customHeight="1" x14ac:dyDescent="0.3">
      <c r="B540" s="196" t="s">
        <v>7</v>
      </c>
      <c r="C540" s="197" t="s">
        <v>13</v>
      </c>
      <c r="D540" s="198" t="str">
        <f t="shared" si="152"/>
        <v>C</v>
      </c>
      <c r="E540" s="199">
        <v>44210.017361111109</v>
      </c>
      <c r="F540" s="200" t="s">
        <v>119</v>
      </c>
      <c r="G540" s="201">
        <v>126.29300000000001</v>
      </c>
      <c r="H540" s="201">
        <v>126.81399999999999</v>
      </c>
      <c r="I540" s="202">
        <f t="shared" si="153"/>
        <v>0.52099999999998658</v>
      </c>
      <c r="J540" s="201">
        <v>124.209</v>
      </c>
      <c r="K540" s="199">
        <v>44210.5</v>
      </c>
      <c r="L540" s="201">
        <v>126.509</v>
      </c>
      <c r="M540" s="203">
        <f t="shared" si="154"/>
        <v>-0.216</v>
      </c>
      <c r="N540" s="204">
        <f t="shared" si="155"/>
        <v>-0.41</v>
      </c>
      <c r="O540" s="205">
        <f t="shared" si="156"/>
        <v>0</v>
      </c>
      <c r="P540" s="206">
        <f t="shared" si="157"/>
        <v>0</v>
      </c>
      <c r="Q540" s="206">
        <f t="shared" si="158"/>
        <v>-0.41</v>
      </c>
      <c r="R5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97550</v>
      </c>
      <c r="T5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0" s="208">
        <f ca="1">IF(Tabla33610673[[#This Row],[Equity]]&lt;Tabla33610673[[#This Row],[Equity Peak]],(Tabla33610673[[#This Row],[Equity Peak]]-Tabla33610673[[#This Row],[Equity]])/Tabla33610673[[#This Row],[Equity Peak]],"")</f>
        <v>2.4500000000000001E-2</v>
      </c>
      <c r="V540" s="209">
        <f t="shared" si="159"/>
        <v>-0.41</v>
      </c>
      <c r="W540" s="209">
        <f t="shared" si="160"/>
        <v>0</v>
      </c>
      <c r="X540" s="209">
        <f t="shared" si="161"/>
        <v>0</v>
      </c>
      <c r="Y540" s="209">
        <f t="shared" si="162"/>
        <v>0</v>
      </c>
      <c r="Z540" s="209">
        <f t="shared" si="163"/>
        <v>0</v>
      </c>
      <c r="AA540" s="205">
        <f t="shared" si="164"/>
        <v>0</v>
      </c>
      <c r="AB540" s="209">
        <f t="shared" si="165"/>
        <v>0</v>
      </c>
      <c r="AC540" s="205">
        <f t="shared" si="166"/>
        <v>0</v>
      </c>
      <c r="AD540" s="210">
        <f t="shared" si="167"/>
        <v>0.48263888889050577</v>
      </c>
      <c r="AE540" s="210">
        <f t="shared" si="168"/>
        <v>0</v>
      </c>
      <c r="AF540" s="210">
        <f t="shared" si="169"/>
        <v>0.48263888889050577</v>
      </c>
      <c r="AG540" s="210">
        <f t="shared" si="170"/>
        <v>0</v>
      </c>
    </row>
    <row r="541" spans="2:33" ht="15" customHeight="1" x14ac:dyDescent="0.3">
      <c r="B541" s="196" t="s">
        <v>5</v>
      </c>
      <c r="C541" s="197" t="s">
        <v>15</v>
      </c>
      <c r="D541" s="198" t="str">
        <f t="shared" si="152"/>
        <v>C</v>
      </c>
      <c r="E541" s="199">
        <v>44202.5</v>
      </c>
      <c r="F541" s="200" t="s">
        <v>94</v>
      </c>
      <c r="G541" s="201">
        <v>6701.84</v>
      </c>
      <c r="H541" s="201">
        <v>6579.02</v>
      </c>
      <c r="I541" s="202">
        <f t="shared" si="153"/>
        <v>122.81999999999971</v>
      </c>
      <c r="J541" s="201">
        <v>7315.93</v>
      </c>
      <c r="K541" s="199">
        <v>44207.67291666667</v>
      </c>
      <c r="L541" s="201">
        <v>6782.79</v>
      </c>
      <c r="M541" s="203">
        <f t="shared" si="154"/>
        <v>80.95</v>
      </c>
      <c r="N541" s="204">
        <f t="shared" si="155"/>
        <v>0.66</v>
      </c>
      <c r="O541" s="205">
        <f t="shared" si="156"/>
        <v>0</v>
      </c>
      <c r="P541" s="206">
        <f t="shared" si="157"/>
        <v>0.66</v>
      </c>
      <c r="Q541" s="206">
        <f t="shared" si="158"/>
        <v>0</v>
      </c>
      <c r="R5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97960</v>
      </c>
      <c r="T5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1" s="208">
        <f ca="1">IF(Tabla33610673[[#This Row],[Equity]]&lt;Tabla33610673[[#This Row],[Equity Peak]],(Tabla33610673[[#This Row],[Equity Peak]]-Tabla33610673[[#This Row],[Equity]])/Tabla33610673[[#This Row],[Equity Peak]],"")</f>
        <v>2.0400000000000001E-2</v>
      </c>
      <c r="V541" s="209">
        <f t="shared" si="159"/>
        <v>0</v>
      </c>
      <c r="W541" s="209">
        <f t="shared" si="160"/>
        <v>0</v>
      </c>
      <c r="X541" s="209">
        <f t="shared" si="161"/>
        <v>0</v>
      </c>
      <c r="Y541" s="209">
        <f t="shared" si="162"/>
        <v>0</v>
      </c>
      <c r="Z541" s="209">
        <f t="shared" si="163"/>
        <v>0.66</v>
      </c>
      <c r="AA541" s="205">
        <f t="shared" si="164"/>
        <v>0</v>
      </c>
      <c r="AB541" s="209">
        <f t="shared" si="165"/>
        <v>0</v>
      </c>
      <c r="AC541" s="205">
        <f t="shared" si="166"/>
        <v>0</v>
      </c>
      <c r="AD541" s="210">
        <f t="shared" si="167"/>
        <v>5.1729166666700621</v>
      </c>
      <c r="AE541" s="210">
        <f t="shared" si="168"/>
        <v>5.1729166666700621</v>
      </c>
      <c r="AF541" s="210">
        <f t="shared" si="169"/>
        <v>0</v>
      </c>
      <c r="AG541" s="210">
        <f t="shared" si="170"/>
        <v>0</v>
      </c>
    </row>
    <row r="542" spans="2:33" ht="15" customHeight="1" x14ac:dyDescent="0.3">
      <c r="B542" s="196" t="s">
        <v>7</v>
      </c>
      <c r="C542" s="197" t="s">
        <v>15</v>
      </c>
      <c r="D542" s="198" t="str">
        <f t="shared" si="152"/>
        <v>C</v>
      </c>
      <c r="E542" s="199">
        <v>44203.833333333336</v>
      </c>
      <c r="F542" s="200" t="s">
        <v>119</v>
      </c>
      <c r="G542" s="201">
        <v>127.431</v>
      </c>
      <c r="H542" s="201">
        <v>126.663</v>
      </c>
      <c r="I542" s="202">
        <f t="shared" si="153"/>
        <v>0.76800000000000068</v>
      </c>
      <c r="J542" s="201">
        <v>130.50200000000001</v>
      </c>
      <c r="K542" s="199">
        <v>44207.492361111108</v>
      </c>
      <c r="L542" s="201">
        <v>126.663</v>
      </c>
      <c r="M542" s="203">
        <f t="shared" si="154"/>
        <v>-0.76800000000000002</v>
      </c>
      <c r="N542" s="204">
        <f t="shared" si="155"/>
        <v>-1</v>
      </c>
      <c r="O542" s="205">
        <f t="shared" si="156"/>
        <v>0</v>
      </c>
      <c r="P542" s="206">
        <f t="shared" si="157"/>
        <v>0</v>
      </c>
      <c r="Q542" s="206">
        <f t="shared" si="158"/>
        <v>-1</v>
      </c>
      <c r="R5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97300</v>
      </c>
      <c r="T5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2" s="208">
        <f ca="1">IF(Tabla33610673[[#This Row],[Equity]]&lt;Tabla33610673[[#This Row],[Equity Peak]],(Tabla33610673[[#This Row],[Equity Peak]]-Tabla33610673[[#This Row],[Equity]])/Tabla33610673[[#This Row],[Equity Peak]],"")</f>
        <v>2.7E-2</v>
      </c>
      <c r="V542" s="209">
        <f t="shared" si="159"/>
        <v>-1</v>
      </c>
      <c r="W542" s="209">
        <f t="shared" si="160"/>
        <v>0</v>
      </c>
      <c r="X542" s="209">
        <f t="shared" si="161"/>
        <v>0</v>
      </c>
      <c r="Y542" s="209">
        <f t="shared" si="162"/>
        <v>0</v>
      </c>
      <c r="Z542" s="209">
        <f t="shared" si="163"/>
        <v>0</v>
      </c>
      <c r="AA542" s="205">
        <f t="shared" si="164"/>
        <v>0</v>
      </c>
      <c r="AB542" s="209">
        <f t="shared" si="165"/>
        <v>0</v>
      </c>
      <c r="AC542" s="205">
        <f t="shared" si="166"/>
        <v>0</v>
      </c>
      <c r="AD542" s="210">
        <f t="shared" si="167"/>
        <v>3.6590277777722804</v>
      </c>
      <c r="AE542" s="210">
        <f t="shared" si="168"/>
        <v>0</v>
      </c>
      <c r="AF542" s="210">
        <f t="shared" si="169"/>
        <v>3.6590277777722804</v>
      </c>
      <c r="AG542" s="210">
        <f t="shared" si="170"/>
        <v>0</v>
      </c>
    </row>
    <row r="543" spans="2:33" ht="15" customHeight="1" x14ac:dyDescent="0.3">
      <c r="B543" s="196" t="s">
        <v>7</v>
      </c>
      <c r="C543" s="197" t="s">
        <v>15</v>
      </c>
      <c r="D543" s="198" t="str">
        <f t="shared" si="152"/>
        <v>C</v>
      </c>
      <c r="E543" s="199">
        <v>44188.833333333336</v>
      </c>
      <c r="F543" s="200" t="s">
        <v>115</v>
      </c>
      <c r="G543" s="201">
        <v>1.3482700000000001</v>
      </c>
      <c r="H543" s="201">
        <v>1.3287599999999999</v>
      </c>
      <c r="I543" s="202">
        <f t="shared" si="153"/>
        <v>1.9510000000000138E-2</v>
      </c>
      <c r="J543" s="201">
        <v>1.42631</v>
      </c>
      <c r="K543" s="199">
        <v>44207.07916666667</v>
      </c>
      <c r="L543" s="201">
        <v>1.3512299999999999</v>
      </c>
      <c r="M543" s="203">
        <f t="shared" si="154"/>
        <v>3.0000000000000001E-3</v>
      </c>
      <c r="N543" s="204">
        <f t="shared" si="155"/>
        <v>0.15</v>
      </c>
      <c r="O543" s="205">
        <f t="shared" si="156"/>
        <v>0</v>
      </c>
      <c r="P543" s="206">
        <f t="shared" si="157"/>
        <v>0.15</v>
      </c>
      <c r="Q543" s="206">
        <f t="shared" si="158"/>
        <v>0</v>
      </c>
      <c r="R5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98300</v>
      </c>
      <c r="T5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3" s="208">
        <f ca="1">IF(Tabla33610673[[#This Row],[Equity]]&lt;Tabla33610673[[#This Row],[Equity Peak]],(Tabla33610673[[#This Row],[Equity Peak]]-Tabla33610673[[#This Row],[Equity]])/Tabla33610673[[#This Row],[Equity Peak]],"")</f>
        <v>1.7000000000000001E-2</v>
      </c>
      <c r="V543" s="209">
        <f t="shared" si="159"/>
        <v>0.15</v>
      </c>
      <c r="W543" s="209">
        <f t="shared" si="160"/>
        <v>0</v>
      </c>
      <c r="X543" s="209">
        <f t="shared" si="161"/>
        <v>0</v>
      </c>
      <c r="Y543" s="209">
        <f t="shared" si="162"/>
        <v>0</v>
      </c>
      <c r="Z543" s="209">
        <f t="shared" si="163"/>
        <v>0</v>
      </c>
      <c r="AA543" s="205">
        <f t="shared" si="164"/>
        <v>0</v>
      </c>
      <c r="AB543" s="209">
        <f t="shared" si="165"/>
        <v>0</v>
      </c>
      <c r="AC543" s="205">
        <f t="shared" si="166"/>
        <v>0</v>
      </c>
      <c r="AD543" s="210">
        <f t="shared" si="167"/>
        <v>18.245833333334303</v>
      </c>
      <c r="AE543" s="210">
        <f t="shared" si="168"/>
        <v>18.245833333334303</v>
      </c>
      <c r="AF543" s="210">
        <f t="shared" si="169"/>
        <v>0</v>
      </c>
      <c r="AG543" s="210">
        <f t="shared" si="170"/>
        <v>0</v>
      </c>
    </row>
    <row r="544" spans="2:33" ht="15" customHeight="1" x14ac:dyDescent="0.3">
      <c r="B544" s="196" t="s">
        <v>5</v>
      </c>
      <c r="C544" s="197" t="s">
        <v>15</v>
      </c>
      <c r="D544" s="198" t="str">
        <f t="shared" si="152"/>
        <v>C</v>
      </c>
      <c r="E544" s="199">
        <v>44182.333333333336</v>
      </c>
      <c r="F544" s="200" t="s">
        <v>92</v>
      </c>
      <c r="G544" s="201">
        <v>12708</v>
      </c>
      <c r="H544" s="201">
        <v>12398.14</v>
      </c>
      <c r="I544" s="202">
        <f t="shared" si="153"/>
        <v>309.86000000000058</v>
      </c>
      <c r="J544" s="201">
        <v>14773.76</v>
      </c>
      <c r="K544" s="199">
        <v>44202.431944444441</v>
      </c>
      <c r="L544" s="201">
        <v>12528.13</v>
      </c>
      <c r="M544" s="203">
        <f t="shared" si="154"/>
        <v>-179.87</v>
      </c>
      <c r="N544" s="204">
        <f t="shared" si="155"/>
        <v>-0.57999999999999996</v>
      </c>
      <c r="O544" s="205">
        <f t="shared" si="156"/>
        <v>0</v>
      </c>
      <c r="P544" s="206">
        <f t="shared" si="157"/>
        <v>0</v>
      </c>
      <c r="Q544" s="206">
        <f t="shared" si="158"/>
        <v>-0.57999999999999996</v>
      </c>
      <c r="R5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98150</v>
      </c>
      <c r="T5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4" s="208">
        <f ca="1">IF(Tabla33610673[[#This Row],[Equity]]&lt;Tabla33610673[[#This Row],[Equity Peak]],(Tabla33610673[[#This Row],[Equity Peak]]-Tabla33610673[[#This Row],[Equity]])/Tabla33610673[[#This Row],[Equity Peak]],"")</f>
        <v>1.8499999999999999E-2</v>
      </c>
      <c r="V544" s="209">
        <f t="shared" si="159"/>
        <v>0</v>
      </c>
      <c r="W544" s="209">
        <f t="shared" si="160"/>
        <v>0</v>
      </c>
      <c r="X544" s="209">
        <f t="shared" si="161"/>
        <v>0</v>
      </c>
      <c r="Y544" s="209">
        <f t="shared" si="162"/>
        <v>0</v>
      </c>
      <c r="Z544" s="209">
        <f t="shared" si="163"/>
        <v>-0.57999999999999996</v>
      </c>
      <c r="AA544" s="205">
        <f t="shared" si="164"/>
        <v>0</v>
      </c>
      <c r="AB544" s="209">
        <f t="shared" si="165"/>
        <v>0</v>
      </c>
      <c r="AC544" s="205">
        <f t="shared" si="166"/>
        <v>0</v>
      </c>
      <c r="AD544" s="210">
        <f t="shared" si="167"/>
        <v>20.098611111105129</v>
      </c>
      <c r="AE544" s="210">
        <f t="shared" si="168"/>
        <v>0</v>
      </c>
      <c r="AF544" s="210">
        <f t="shared" si="169"/>
        <v>20.098611111105129</v>
      </c>
      <c r="AG544" s="210">
        <f t="shared" si="170"/>
        <v>0</v>
      </c>
    </row>
    <row r="545" spans="2:33" ht="15" customHeight="1" x14ac:dyDescent="0.3">
      <c r="B545" s="196" t="s">
        <v>7</v>
      </c>
      <c r="C545" s="197" t="s">
        <v>15</v>
      </c>
      <c r="D545" s="198" t="str">
        <f t="shared" si="152"/>
        <v>C</v>
      </c>
      <c r="E545" s="199">
        <v>44188.833333333336</v>
      </c>
      <c r="F545" s="200" t="s">
        <v>116</v>
      </c>
      <c r="G545" s="201">
        <v>139.69</v>
      </c>
      <c r="H545" s="201">
        <v>138.26599999999999</v>
      </c>
      <c r="I545" s="202">
        <f t="shared" si="153"/>
        <v>1.4240000000000066</v>
      </c>
      <c r="J545" s="201">
        <v>147.66300000000001</v>
      </c>
      <c r="K545" s="199">
        <v>44201.412499999999</v>
      </c>
      <c r="L545" s="201">
        <v>139.66</v>
      </c>
      <c r="M545" s="203">
        <f t="shared" si="154"/>
        <v>-0.03</v>
      </c>
      <c r="N545" s="204">
        <f t="shared" si="155"/>
        <v>-0.02</v>
      </c>
      <c r="O545" s="205">
        <f t="shared" si="156"/>
        <v>0</v>
      </c>
      <c r="P545" s="206">
        <f t="shared" si="157"/>
        <v>0</v>
      </c>
      <c r="Q545" s="206">
        <f t="shared" si="158"/>
        <v>-0.02</v>
      </c>
      <c r="R5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98730</v>
      </c>
      <c r="T5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5" s="208">
        <f ca="1">IF(Tabla33610673[[#This Row],[Equity]]&lt;Tabla33610673[[#This Row],[Equity Peak]],(Tabla33610673[[#This Row],[Equity Peak]]-Tabla33610673[[#This Row],[Equity]])/Tabla33610673[[#This Row],[Equity Peak]],"")</f>
        <v>1.2699999999999999E-2</v>
      </c>
      <c r="V545" s="209">
        <f t="shared" si="159"/>
        <v>-0.02</v>
      </c>
      <c r="W545" s="209">
        <f t="shared" si="160"/>
        <v>0</v>
      </c>
      <c r="X545" s="209">
        <f t="shared" si="161"/>
        <v>0</v>
      </c>
      <c r="Y545" s="209">
        <f t="shared" si="162"/>
        <v>0</v>
      </c>
      <c r="Z545" s="209">
        <f t="shared" si="163"/>
        <v>0</v>
      </c>
      <c r="AA545" s="205">
        <f t="shared" si="164"/>
        <v>0</v>
      </c>
      <c r="AB545" s="209">
        <f t="shared" si="165"/>
        <v>0</v>
      </c>
      <c r="AC545" s="205">
        <f t="shared" si="166"/>
        <v>0</v>
      </c>
      <c r="AD545" s="210">
        <f t="shared" si="167"/>
        <v>12.579166666662786</v>
      </c>
      <c r="AE545" s="210">
        <f t="shared" si="168"/>
        <v>0</v>
      </c>
      <c r="AF545" s="210">
        <f t="shared" si="169"/>
        <v>12.579166666662786</v>
      </c>
      <c r="AG545" s="210">
        <f t="shared" si="170"/>
        <v>0</v>
      </c>
    </row>
    <row r="546" spans="2:33" ht="15" customHeight="1" x14ac:dyDescent="0.3">
      <c r="B546" s="196" t="s">
        <v>7</v>
      </c>
      <c r="C546" s="197" t="s">
        <v>15</v>
      </c>
      <c r="D546" s="198" t="str">
        <f t="shared" si="152"/>
        <v>C</v>
      </c>
      <c r="E546" s="199">
        <v>44194.666666666664</v>
      </c>
      <c r="F546" s="200" t="s">
        <v>123</v>
      </c>
      <c r="G546" s="201">
        <v>78.92</v>
      </c>
      <c r="H546" s="201">
        <v>78.629000000000005</v>
      </c>
      <c r="I546" s="202">
        <f t="shared" si="153"/>
        <v>0.29099999999999682</v>
      </c>
      <c r="J546" s="201">
        <v>83.956999999999994</v>
      </c>
      <c r="K546" s="199">
        <v>44200.78402777778</v>
      </c>
      <c r="L546" s="201">
        <v>79.094999999999999</v>
      </c>
      <c r="M546" s="203">
        <f t="shared" si="154"/>
        <v>0.17499999999999999</v>
      </c>
      <c r="N546" s="204">
        <f t="shared" si="155"/>
        <v>0.6</v>
      </c>
      <c r="O546" s="205">
        <f t="shared" si="156"/>
        <v>0</v>
      </c>
      <c r="P546" s="206">
        <f t="shared" si="157"/>
        <v>0.6</v>
      </c>
      <c r="Q546" s="206">
        <f t="shared" si="158"/>
        <v>0</v>
      </c>
      <c r="R5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98750</v>
      </c>
      <c r="T5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6" s="208">
        <f ca="1">IF(Tabla33610673[[#This Row],[Equity]]&lt;Tabla33610673[[#This Row],[Equity Peak]],(Tabla33610673[[#This Row],[Equity Peak]]-Tabla33610673[[#This Row],[Equity]])/Tabla33610673[[#This Row],[Equity Peak]],"")</f>
        <v>1.2500000000000001E-2</v>
      </c>
      <c r="V546" s="209">
        <f t="shared" si="159"/>
        <v>0.6</v>
      </c>
      <c r="W546" s="209">
        <f t="shared" si="160"/>
        <v>0</v>
      </c>
      <c r="X546" s="209">
        <f t="shared" si="161"/>
        <v>0</v>
      </c>
      <c r="Y546" s="209">
        <f t="shared" si="162"/>
        <v>0</v>
      </c>
      <c r="Z546" s="209">
        <f t="shared" si="163"/>
        <v>0</v>
      </c>
      <c r="AA546" s="205">
        <f t="shared" si="164"/>
        <v>0</v>
      </c>
      <c r="AB546" s="209">
        <f t="shared" si="165"/>
        <v>0</v>
      </c>
      <c r="AC546" s="205">
        <f t="shared" si="166"/>
        <v>0</v>
      </c>
      <c r="AD546" s="210">
        <f t="shared" si="167"/>
        <v>6.117361111115315</v>
      </c>
      <c r="AE546" s="210">
        <f t="shared" si="168"/>
        <v>6.117361111115315</v>
      </c>
      <c r="AF546" s="210">
        <f t="shared" si="169"/>
        <v>0</v>
      </c>
      <c r="AG546" s="210">
        <f t="shared" si="170"/>
        <v>0</v>
      </c>
    </row>
    <row r="547" spans="2:33" ht="15" customHeight="1" x14ac:dyDescent="0.3">
      <c r="B547" s="196" t="s">
        <v>5</v>
      </c>
      <c r="C547" s="197" t="s">
        <v>15</v>
      </c>
      <c r="D547" s="198" t="str">
        <f t="shared" si="152"/>
        <v>C</v>
      </c>
      <c r="E547" s="199">
        <v>44200.541666666664</v>
      </c>
      <c r="F547" s="200" t="s">
        <v>94</v>
      </c>
      <c r="G547" s="201">
        <v>6628.2</v>
      </c>
      <c r="H547" s="201">
        <v>6533.76</v>
      </c>
      <c r="I547" s="202">
        <f t="shared" si="153"/>
        <v>94.4399999999996</v>
      </c>
      <c r="J547" s="201">
        <v>7100.39</v>
      </c>
      <c r="K547" s="199">
        <v>44200.75</v>
      </c>
      <c r="L547" s="201">
        <v>6565.66</v>
      </c>
      <c r="M547" s="203">
        <f t="shared" si="154"/>
        <v>-62.54</v>
      </c>
      <c r="N547" s="204">
        <f t="shared" si="155"/>
        <v>-0.66</v>
      </c>
      <c r="O547" s="205">
        <f t="shared" si="156"/>
        <v>0</v>
      </c>
      <c r="P547" s="206">
        <f t="shared" si="157"/>
        <v>0</v>
      </c>
      <c r="Q547" s="206">
        <f t="shared" si="158"/>
        <v>-0.66</v>
      </c>
      <c r="R5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98150</v>
      </c>
      <c r="T5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7" s="208">
        <f ca="1">IF(Tabla33610673[[#This Row],[Equity]]&lt;Tabla33610673[[#This Row],[Equity Peak]],(Tabla33610673[[#This Row],[Equity Peak]]-Tabla33610673[[#This Row],[Equity]])/Tabla33610673[[#This Row],[Equity Peak]],"")</f>
        <v>1.8499999999999999E-2</v>
      </c>
      <c r="V547" s="209">
        <f t="shared" si="159"/>
        <v>0</v>
      </c>
      <c r="W547" s="209">
        <f t="shared" si="160"/>
        <v>0</v>
      </c>
      <c r="X547" s="209">
        <f t="shared" si="161"/>
        <v>0</v>
      </c>
      <c r="Y547" s="209">
        <f t="shared" si="162"/>
        <v>0</v>
      </c>
      <c r="Z547" s="209">
        <f t="shared" si="163"/>
        <v>-0.66</v>
      </c>
      <c r="AA547" s="205">
        <f t="shared" si="164"/>
        <v>0</v>
      </c>
      <c r="AB547" s="209">
        <f t="shared" si="165"/>
        <v>0</v>
      </c>
      <c r="AC547" s="205">
        <f t="shared" si="166"/>
        <v>0</v>
      </c>
      <c r="AD547" s="210">
        <f t="shared" si="167"/>
        <v>0.20833333333575865</v>
      </c>
      <c r="AE547" s="210">
        <f t="shared" si="168"/>
        <v>0</v>
      </c>
      <c r="AF547" s="210">
        <f t="shared" si="169"/>
        <v>0.20833333333575865</v>
      </c>
      <c r="AG547" s="210">
        <f t="shared" si="170"/>
        <v>0</v>
      </c>
    </row>
    <row r="548" spans="2:33" ht="15" customHeight="1" x14ac:dyDescent="0.3">
      <c r="B548" s="196" t="s">
        <v>5</v>
      </c>
      <c r="C548" s="197" t="s">
        <v>15</v>
      </c>
      <c r="D548" s="198" t="str">
        <f t="shared" si="152"/>
        <v>C</v>
      </c>
      <c r="E548" s="199">
        <v>44193.875</v>
      </c>
      <c r="F548" s="200" t="s">
        <v>93</v>
      </c>
      <c r="G548" s="201">
        <v>3737.28</v>
      </c>
      <c r="H548" s="201">
        <v>3718.77</v>
      </c>
      <c r="I548" s="202">
        <f t="shared" si="153"/>
        <v>18.510000000000218</v>
      </c>
      <c r="J548" s="201">
        <v>3786.65</v>
      </c>
      <c r="K548" s="199">
        <v>44200.73541666667</v>
      </c>
      <c r="L548" s="201">
        <v>3731.81</v>
      </c>
      <c r="M548" s="203">
        <f t="shared" si="154"/>
        <v>-5.47</v>
      </c>
      <c r="N548" s="204">
        <f t="shared" si="155"/>
        <v>-0.3</v>
      </c>
      <c r="O548" s="205">
        <f t="shared" si="156"/>
        <v>0</v>
      </c>
      <c r="P548" s="206">
        <f t="shared" si="157"/>
        <v>0</v>
      </c>
      <c r="Q548" s="206">
        <f t="shared" si="158"/>
        <v>-0.3</v>
      </c>
      <c r="R5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98810</v>
      </c>
      <c r="T5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8" s="208">
        <f ca="1">IF(Tabla33610673[[#This Row],[Equity]]&lt;Tabla33610673[[#This Row],[Equity Peak]],(Tabla33610673[[#This Row],[Equity Peak]]-Tabla33610673[[#This Row],[Equity]])/Tabla33610673[[#This Row],[Equity Peak]],"")</f>
        <v>1.1900000000000001E-2</v>
      </c>
      <c r="V548" s="209">
        <f t="shared" si="159"/>
        <v>0</v>
      </c>
      <c r="W548" s="209">
        <f t="shared" si="160"/>
        <v>0</v>
      </c>
      <c r="X548" s="209">
        <f t="shared" si="161"/>
        <v>0</v>
      </c>
      <c r="Y548" s="209">
        <f t="shared" si="162"/>
        <v>0</v>
      </c>
      <c r="Z548" s="209">
        <f t="shared" si="163"/>
        <v>-0.3</v>
      </c>
      <c r="AA548" s="205">
        <f t="shared" si="164"/>
        <v>0</v>
      </c>
      <c r="AB548" s="209">
        <f t="shared" si="165"/>
        <v>0</v>
      </c>
      <c r="AC548" s="205">
        <f t="shared" si="166"/>
        <v>0</v>
      </c>
      <c r="AD548" s="210">
        <f t="shared" si="167"/>
        <v>6.8604166666700621</v>
      </c>
      <c r="AE548" s="210">
        <f t="shared" si="168"/>
        <v>0</v>
      </c>
      <c r="AF548" s="210">
        <f t="shared" si="169"/>
        <v>6.8604166666700621</v>
      </c>
      <c r="AG548" s="210">
        <f t="shared" si="170"/>
        <v>0</v>
      </c>
    </row>
    <row r="549" spans="2:33" ht="15" customHeight="1" x14ac:dyDescent="0.3">
      <c r="B549" s="196" t="s">
        <v>7</v>
      </c>
      <c r="C549" s="197" t="s">
        <v>13</v>
      </c>
      <c r="D549" s="198" t="str">
        <f t="shared" si="152"/>
        <v>C</v>
      </c>
      <c r="E549" s="199">
        <v>44195.017361111109</v>
      </c>
      <c r="F549" s="200" t="s">
        <v>114</v>
      </c>
      <c r="G549" s="201">
        <v>103.56100000000001</v>
      </c>
      <c r="H549" s="201">
        <v>104.033</v>
      </c>
      <c r="I549" s="202">
        <f t="shared" si="153"/>
        <v>0.4719999999999942</v>
      </c>
      <c r="J549" s="201">
        <v>101.35899999999999</v>
      </c>
      <c r="K549" s="199">
        <v>44200.722916666666</v>
      </c>
      <c r="L549" s="201">
        <v>103.15300000000001</v>
      </c>
      <c r="M549" s="203">
        <f t="shared" si="154"/>
        <v>0.40799999999999997</v>
      </c>
      <c r="N549" s="204">
        <f t="shared" si="155"/>
        <v>0.86</v>
      </c>
      <c r="O549" s="205">
        <f t="shared" si="156"/>
        <v>0</v>
      </c>
      <c r="P549" s="206">
        <f t="shared" si="157"/>
        <v>0.86</v>
      </c>
      <c r="Q549" s="206">
        <f t="shared" si="158"/>
        <v>0</v>
      </c>
      <c r="R5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99110</v>
      </c>
      <c r="T5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49" s="208">
        <f ca="1">IF(Tabla33610673[[#This Row],[Equity]]&lt;Tabla33610673[[#This Row],[Equity Peak]],(Tabla33610673[[#This Row],[Equity Peak]]-Tabla33610673[[#This Row],[Equity]])/Tabla33610673[[#This Row],[Equity Peak]],"")</f>
        <v>8.8999999999999999E-3</v>
      </c>
      <c r="V549" s="209">
        <f t="shared" si="159"/>
        <v>0.86</v>
      </c>
      <c r="W549" s="209">
        <f t="shared" si="160"/>
        <v>0</v>
      </c>
      <c r="X549" s="209">
        <f t="shared" si="161"/>
        <v>0</v>
      </c>
      <c r="Y549" s="209">
        <f t="shared" si="162"/>
        <v>0</v>
      </c>
      <c r="Z549" s="209">
        <f t="shared" si="163"/>
        <v>0</v>
      </c>
      <c r="AA549" s="205">
        <f t="shared" si="164"/>
        <v>0</v>
      </c>
      <c r="AB549" s="209">
        <f t="shared" si="165"/>
        <v>0</v>
      </c>
      <c r="AC549" s="205">
        <f t="shared" si="166"/>
        <v>0</v>
      </c>
      <c r="AD549" s="210">
        <f t="shared" si="167"/>
        <v>5.7055555555562023</v>
      </c>
      <c r="AE549" s="210">
        <f t="shared" si="168"/>
        <v>5.7055555555562023</v>
      </c>
      <c r="AF549" s="210">
        <f t="shared" si="169"/>
        <v>0</v>
      </c>
      <c r="AG549" s="210">
        <f t="shared" si="170"/>
        <v>0</v>
      </c>
    </row>
    <row r="550" spans="2:33" ht="15" customHeight="1" x14ac:dyDescent="0.3">
      <c r="B550" s="196" t="s">
        <v>5</v>
      </c>
      <c r="C550" s="197" t="s">
        <v>15</v>
      </c>
      <c r="D550" s="198" t="str">
        <f t="shared" si="152"/>
        <v>C</v>
      </c>
      <c r="E550" s="199">
        <v>44200.541666666664</v>
      </c>
      <c r="F550" s="200" t="s">
        <v>95</v>
      </c>
      <c r="G550" s="201">
        <v>30770.6</v>
      </c>
      <c r="H550" s="201">
        <v>30487.38</v>
      </c>
      <c r="I550" s="202">
        <f t="shared" si="153"/>
        <v>283.21999999999753</v>
      </c>
      <c r="J550" s="201">
        <v>31903.49</v>
      </c>
      <c r="K550" s="199">
        <v>44200.70416666667</v>
      </c>
      <c r="L550" s="201">
        <v>30487.38</v>
      </c>
      <c r="M550" s="203">
        <f t="shared" si="154"/>
        <v>-283.22000000000003</v>
      </c>
      <c r="N550" s="204">
        <f t="shared" si="155"/>
        <v>-1</v>
      </c>
      <c r="O550" s="205">
        <f t="shared" si="156"/>
        <v>0</v>
      </c>
      <c r="P550" s="206">
        <f t="shared" si="157"/>
        <v>0</v>
      </c>
      <c r="Q550" s="206">
        <f t="shared" si="158"/>
        <v>-1</v>
      </c>
      <c r="R5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5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98250</v>
      </c>
      <c r="T5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50" s="208">
        <f ca="1">IF(Tabla33610673[[#This Row],[Equity]]&lt;Tabla33610673[[#This Row],[Equity Peak]],(Tabla33610673[[#This Row],[Equity Peak]]-Tabla33610673[[#This Row],[Equity]])/Tabla33610673[[#This Row],[Equity Peak]],"")</f>
        <v>1.7500000000000002E-2</v>
      </c>
      <c r="V550" s="209">
        <f t="shared" si="159"/>
        <v>0</v>
      </c>
      <c r="W550" s="209">
        <f t="shared" si="160"/>
        <v>0</v>
      </c>
      <c r="X550" s="209">
        <f t="shared" si="161"/>
        <v>0</v>
      </c>
      <c r="Y550" s="209">
        <f t="shared" si="162"/>
        <v>0</v>
      </c>
      <c r="Z550" s="209">
        <f t="shared" si="163"/>
        <v>-1</v>
      </c>
      <c r="AA550" s="205">
        <f t="shared" si="164"/>
        <v>0</v>
      </c>
      <c r="AB550" s="209">
        <f t="shared" si="165"/>
        <v>0</v>
      </c>
      <c r="AC550" s="205">
        <f t="shared" si="166"/>
        <v>0</v>
      </c>
      <c r="AD550" s="210">
        <f t="shared" si="167"/>
        <v>0.16250000000582077</v>
      </c>
      <c r="AE550" s="210">
        <f t="shared" si="168"/>
        <v>0</v>
      </c>
      <c r="AF550" s="210">
        <f t="shared" si="169"/>
        <v>0.16250000000582077</v>
      </c>
      <c r="AG550" s="210">
        <f t="shared" si="170"/>
        <v>0</v>
      </c>
    </row>
    <row r="551" spans="2:33" ht="15" customHeight="1" x14ac:dyDescent="0.3">
      <c r="B551" s="196" t="s">
        <v>5</v>
      </c>
      <c r="C551" s="197" t="s">
        <v>13</v>
      </c>
      <c r="D551" s="198" t="str">
        <f t="shared" si="152"/>
        <v>C</v>
      </c>
      <c r="E551" s="199">
        <v>44196.5</v>
      </c>
      <c r="F551" s="200" t="s">
        <v>94</v>
      </c>
      <c r="G551" s="201">
        <v>6453.55</v>
      </c>
      <c r="H551" s="201">
        <v>6537.56</v>
      </c>
      <c r="I551" s="202">
        <f t="shared" si="153"/>
        <v>84.010000000000218</v>
      </c>
      <c r="J551" s="201">
        <v>6033.49</v>
      </c>
      <c r="K551" s="199">
        <v>44200.370833333334</v>
      </c>
      <c r="L551" s="201">
        <v>6516.26</v>
      </c>
      <c r="M551" s="203">
        <f t="shared" si="154"/>
        <v>-62.71</v>
      </c>
      <c r="N551" s="204">
        <f t="shared" si="155"/>
        <v>-0.75</v>
      </c>
      <c r="O551" s="205">
        <f t="shared" si="156"/>
        <v>0</v>
      </c>
      <c r="P551" s="206">
        <f t="shared" si="157"/>
        <v>0</v>
      </c>
      <c r="Q551" s="206">
        <f t="shared" si="158"/>
        <v>-0.75</v>
      </c>
      <c r="R5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5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99250</v>
      </c>
      <c r="T5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51" s="208">
        <f ca="1">IF(Tabla33610673[[#This Row],[Equity]]&lt;Tabla33610673[[#This Row],[Equity Peak]],(Tabla33610673[[#This Row],[Equity Peak]]-Tabla33610673[[#This Row],[Equity]])/Tabla33610673[[#This Row],[Equity Peak]],"")</f>
        <v>7.4999999999999997E-3</v>
      </c>
      <c r="V551" s="209">
        <f t="shared" si="159"/>
        <v>0</v>
      </c>
      <c r="W551" s="209">
        <f t="shared" si="160"/>
        <v>0</v>
      </c>
      <c r="X551" s="209">
        <f t="shared" si="161"/>
        <v>0</v>
      </c>
      <c r="Y551" s="209">
        <f t="shared" si="162"/>
        <v>0</v>
      </c>
      <c r="Z551" s="209">
        <f t="shared" si="163"/>
        <v>-0.75</v>
      </c>
      <c r="AA551" s="205">
        <f t="shared" si="164"/>
        <v>0</v>
      </c>
      <c r="AB551" s="209">
        <f t="shared" si="165"/>
        <v>0</v>
      </c>
      <c r="AC551" s="205">
        <f t="shared" si="166"/>
        <v>0</v>
      </c>
      <c r="AD551" s="210">
        <f t="shared" si="167"/>
        <v>3.8708333333343035</v>
      </c>
      <c r="AE551" s="210">
        <f t="shared" si="168"/>
        <v>0</v>
      </c>
      <c r="AF551" s="210">
        <f t="shared" si="169"/>
        <v>3.8708333333343035</v>
      </c>
      <c r="AG551" s="210">
        <f t="shared" si="170"/>
        <v>0</v>
      </c>
    </row>
  </sheetData>
  <sheetProtection algorithmName="SHA-512" hashValue="pkqEtbLDQxMlfXstKo6bL1GnYqk90p5f5ZrS1AJl5UvE3fAZscPcFGsyqli4Dgb8FwUx3SuZPG83Ld3s3wD+gg==" saltValue="NpcP4ihm7aLZTgmOyPJcvQ==" spinCount="100000" sheet="1" objects="1" scenarios="1" selectLockedCells="1"/>
  <mergeCells count="11">
    <mergeCell ref="E2:N5"/>
    <mergeCell ref="L8:M8"/>
    <mergeCell ref="H11:I11"/>
    <mergeCell ref="H12:I12"/>
    <mergeCell ref="AD12:AG12"/>
    <mergeCell ref="L6:M7"/>
    <mergeCell ref="N6:N7"/>
    <mergeCell ref="I7:I9"/>
    <mergeCell ref="J7:J9"/>
    <mergeCell ref="L9:M9"/>
    <mergeCell ref="L10:M10"/>
  </mergeCells>
  <conditionalFormatting sqref="X9">
    <cfRule type="cellIs" dxfId="974" priority="3" operator="equal">
      <formula>"OK"</formula>
    </cfRule>
    <cfRule type="cellIs" dxfId="973" priority="4" operator="equal">
      <formula>"warning"</formula>
    </cfRule>
  </conditionalFormatting>
  <conditionalFormatting sqref="F13">
    <cfRule type="cellIs" dxfId="972" priority="1" operator="equal">
      <formula>"OK"</formula>
    </cfRule>
    <cfRule type="cellIs" dxfId="971" priority="2" operator="equal">
      <formula>"Error!!"</formula>
    </cfRule>
  </conditionalFormatting>
  <conditionalFormatting sqref="E15:H15 K15:L15">
    <cfRule type="expression" dxfId="970" priority="5">
      <formula>+$D15=#REF!</formula>
    </cfRule>
    <cfRule type="expression" dxfId="969" priority="6">
      <formula>+$D15=#REF!</formula>
    </cfRule>
  </conditionalFormatting>
  <conditionalFormatting sqref="D15 K16:L16 D16:H551 J17:L551">
    <cfRule type="expression" dxfId="968" priority="9">
      <formula>+$D15=$AG$8</formula>
    </cfRule>
    <cfRule type="expression" dxfId="967" priority="10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020A4BBE-4A54-4F2D-9269-EC2E91A4487B}">
      <formula1>$AG$4:$AG$5</formula1>
    </dataValidation>
    <dataValidation type="list" allowBlank="1" showInputMessage="1" showErrorMessage="1" promptTitle="Instrument Type" prompt="Select Type from List_x000a_" sqref="B15:B16" xr:uid="{81CB297B-3E19-4342-BA62-629C5730D696}">
      <formula1>$AE$4:$AE$6</formula1>
    </dataValidation>
    <dataValidation type="list" allowBlank="1" showInputMessage="1" showErrorMessage="1" promptTitle="Instrument Type" prompt="Select Type from List_x000a_" sqref="B17:B551" xr:uid="{EC12D098-1306-40F5-8A86-DDB8717308A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7"/>
  <sheetViews>
    <sheetView showGridLines="0" topLeftCell="F1" zoomScaleNormal="100" workbookViewId="0">
      <selection activeCell="A2" sqref="A2"/>
    </sheetView>
  </sheetViews>
  <sheetFormatPr defaultColWidth="0" defaultRowHeight="12.75" x14ac:dyDescent="0.2"/>
  <cols>
    <col min="1" max="1" width="9.375" style="100" bestFit="1" customWidth="1"/>
    <col min="2" max="2" width="15.625" style="101" bestFit="1" customWidth="1"/>
    <col min="3" max="3" width="16.625" style="101" bestFit="1" customWidth="1"/>
    <col min="4" max="4" width="14.625" style="101" bestFit="1" customWidth="1"/>
    <col min="5" max="5" width="22" style="101" hidden="1" customWidth="1"/>
    <col min="6" max="6" width="1.625" style="93" customWidth="1"/>
    <col min="7" max="7" width="1.875" style="84" hidden="1" customWidth="1"/>
    <col min="8" max="8" width="16.875" style="84" hidden="1" customWidth="1"/>
    <col min="9" max="9" width="11.625" style="93" hidden="1" customWidth="1"/>
    <col min="10" max="10" width="14.5" style="93" hidden="1" customWidth="1"/>
    <col min="11" max="11" width="23.625" style="84" customWidth="1"/>
    <col min="12" max="12" width="12.625" style="84" customWidth="1"/>
    <col min="13" max="13" width="8.875" style="84" customWidth="1"/>
    <col min="14" max="14" width="9" style="84" customWidth="1"/>
    <col min="15" max="15" width="10.625" style="84" bestFit="1" customWidth="1"/>
    <col min="16" max="24" width="9" style="84" customWidth="1"/>
    <col min="25" max="26" width="0" style="84" hidden="1" customWidth="1"/>
    <col min="27" max="16384" width="9" style="84" hidden="1"/>
  </cols>
  <sheetData>
    <row r="1" spans="1:24" ht="16.5" thickBot="1" x14ac:dyDescent="0.35">
      <c r="A1" s="81" t="s">
        <v>64</v>
      </c>
      <c r="B1" s="82" t="s">
        <v>65</v>
      </c>
      <c r="C1" s="82" t="s">
        <v>66</v>
      </c>
      <c r="D1" s="82" t="s">
        <v>67</v>
      </c>
      <c r="E1" s="82" t="s">
        <v>68</v>
      </c>
      <c r="F1" s="83"/>
      <c r="H1" s="102" t="s">
        <v>69</v>
      </c>
      <c r="I1" s="85" t="s">
        <v>75</v>
      </c>
      <c r="J1"/>
      <c r="K1" s="3"/>
      <c r="L1" s="86" t="s">
        <v>70</v>
      </c>
      <c r="M1" s="87">
        <f>SUMIFS(Table2[Profits in $],Table2[Date],MIN(Table2[Date]))+$P$1</f>
        <v>112120</v>
      </c>
      <c r="N1" s="3"/>
      <c r="O1" s="86" t="s">
        <v>71</v>
      </c>
      <c r="P1" s="87">
        <f>SUMIFS(Table2[Profits in $],Table2[Date],MAX(Table2[Date]))</f>
        <v>12120</v>
      </c>
      <c r="Q1" s="3"/>
      <c r="R1" s="86" t="s">
        <v>72</v>
      </c>
      <c r="S1" s="88">
        <f>($P$1/SUMIFS(Table2[Profits in $],Table2[Date],MIN(Table2[Date])))</f>
        <v>0.1212</v>
      </c>
      <c r="T1" s="3"/>
      <c r="U1" s="3"/>
      <c r="V1" s="3"/>
      <c r="W1" s="3"/>
      <c r="X1" s="3"/>
    </row>
    <row r="2" spans="1:24" ht="15" x14ac:dyDescent="0.3">
      <c r="A2" s="89">
        <v>44317</v>
      </c>
      <c r="B2" s="90">
        <v>12.12</v>
      </c>
      <c r="C2" s="91">
        <v>1000</v>
      </c>
      <c r="D2" s="91">
        <v>12120</v>
      </c>
      <c r="E2" s="92">
        <f>IF(Table2[[#This Row],[Date]]=MIN(Table2[Date]),Table2[[#This Row],[Profits in $]],SUMIFS(Table2[Profits in $],Table2[Date],MIN(Table2[Date]))+Table2[[#This Row],[Profits in $]])</f>
        <v>112120</v>
      </c>
      <c r="G2" s="94">
        <f>MIN(Table2[Cumulative Equity])*0.99</f>
        <v>99000</v>
      </c>
      <c r="H2" s="95">
        <v>44197</v>
      </c>
      <c r="I2" s="85">
        <v>100000</v>
      </c>
      <c r="J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x14ac:dyDescent="0.3">
      <c r="A3" s="96">
        <v>44197</v>
      </c>
      <c r="B3" s="97" t="s">
        <v>73</v>
      </c>
      <c r="C3" s="98" t="s">
        <v>73</v>
      </c>
      <c r="D3" s="98">
        <v>100000</v>
      </c>
      <c r="E3" s="99">
        <f>IF(Table2[[#This Row],[Date]]=MIN(Table2[Date]),Table2[[#This Row],[Profits in $]],SUMIFS(Table2[Profits in $],Table2[Date],MIN(Table2[Date]))+Table2[[#This Row],[Profits in $]])</f>
        <v>100000</v>
      </c>
      <c r="G3" s="94">
        <f>MAX(Table2[Cumulative Equity])*1.05</f>
        <v>117999</v>
      </c>
      <c r="H3" s="95">
        <v>44253</v>
      </c>
      <c r="I3" s="85">
        <v>112270</v>
      </c>
      <c r="J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3">
      <c r="A4" s="89">
        <v>44253</v>
      </c>
      <c r="B4" s="90">
        <v>12.27</v>
      </c>
      <c r="C4" s="91">
        <v>1000</v>
      </c>
      <c r="D4" s="91">
        <v>12270</v>
      </c>
      <c r="E4" s="92">
        <f>IF(Table2[[#This Row],[Date]]=MIN(Table2[Date]),Table2[[#This Row],[Profits in $]],SUMIFS(Table2[Profits in $],Table2[Date],MIN(Table2[Date]))+Table2[[#This Row],[Profits in $]])</f>
        <v>112270</v>
      </c>
      <c r="H4" s="95">
        <v>44274</v>
      </c>
      <c r="I4" s="85">
        <v>111120</v>
      </c>
      <c r="J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x14ac:dyDescent="0.3">
      <c r="A5" s="96">
        <v>44274</v>
      </c>
      <c r="B5" s="97">
        <v>11.12</v>
      </c>
      <c r="C5" s="98">
        <v>1000</v>
      </c>
      <c r="D5" s="98">
        <v>11120</v>
      </c>
      <c r="E5" s="99">
        <f>IF(Table2[[#This Row],[Date]]=MIN(Table2[Date]),Table2[[#This Row],[Profits in $]],SUMIFS(Table2[Profits in $],Table2[Date],MIN(Table2[Date]))+Table2[[#This Row],[Profits in $]])</f>
        <v>111120</v>
      </c>
      <c r="H5" s="95">
        <v>44287</v>
      </c>
      <c r="I5" s="85">
        <v>112380</v>
      </c>
      <c r="J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x14ac:dyDescent="0.3">
      <c r="A6" s="96">
        <v>44287</v>
      </c>
      <c r="B6" s="97">
        <v>12.38</v>
      </c>
      <c r="C6" s="98">
        <v>1000</v>
      </c>
      <c r="D6" s="98">
        <v>12380</v>
      </c>
      <c r="E6" s="99">
        <f>IF(Table2[[#This Row],[Date]]=MIN(Table2[Date]),Table2[[#This Row],[Profits in $]],SUMIFS(Table2[Profits in $],Table2[Date],MIN(Table2[Date]))+Table2[[#This Row],[Profits in $]])</f>
        <v>112380</v>
      </c>
      <c r="H6" s="95">
        <v>44317</v>
      </c>
      <c r="I6" s="85">
        <v>112120</v>
      </c>
      <c r="J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x14ac:dyDescent="0.3">
      <c r="H7" s="95" t="s">
        <v>74</v>
      </c>
      <c r="I7" s="85">
        <v>547890</v>
      </c>
      <c r="J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x14ac:dyDescent="0.3">
      <c r="H8"/>
      <c r="I8"/>
      <c r="J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x14ac:dyDescent="0.3">
      <c r="H9"/>
      <c r="I9"/>
      <c r="J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thickBot="1" x14ac:dyDescent="0.35">
      <c r="H10"/>
      <c r="I10"/>
      <c r="J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thickBot="1" x14ac:dyDescent="0.35">
      <c r="H11"/>
      <c r="I11" s="85"/>
      <c r="J11" s="85"/>
      <c r="K11" s="3"/>
      <c r="L11" s="8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x14ac:dyDescent="0.3">
      <c r="H12"/>
      <c r="I12" s="85"/>
      <c r="J12" s="8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x14ac:dyDescent="0.3">
      <c r="H13"/>
      <c r="I13" s="85"/>
      <c r="J13" s="8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x14ac:dyDescent="0.3">
      <c r="H14"/>
      <c r="I14" s="85"/>
      <c r="J14" s="8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x14ac:dyDescent="0.3">
      <c r="H15"/>
      <c r="I15" s="85"/>
      <c r="J15" s="8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x14ac:dyDescent="0.3">
      <c r="H16"/>
      <c r="I16" s="85"/>
      <c r="J16" s="8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8:24" ht="15" x14ac:dyDescent="0.3">
      <c r="H17"/>
      <c r="I17" s="85"/>
      <c r="J17" s="8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8:24" ht="15" x14ac:dyDescent="0.3">
      <c r="H18"/>
      <c r="I18" s="85"/>
      <c r="J18" s="8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8:24" ht="15" x14ac:dyDescent="0.3">
      <c r="H19"/>
      <c r="I19" s="85"/>
      <c r="J19" s="8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8:24" ht="15" x14ac:dyDescent="0.3">
      <c r="H20"/>
      <c r="I20" s="85"/>
      <c r="J20" s="8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8:24" ht="15" x14ac:dyDescent="0.3">
      <c r="H21"/>
      <c r="I21" s="85"/>
      <c r="J21" s="8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8:24" ht="15" x14ac:dyDescent="0.3">
      <c r="H22"/>
      <c r="I22" s="85"/>
      <c r="J22" s="8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8:24" ht="15" x14ac:dyDescent="0.3">
      <c r="H23"/>
      <c r="I23" s="85"/>
      <c r="J23" s="8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8:24" ht="15" x14ac:dyDescent="0.3">
      <c r="H24"/>
      <c r="I24" s="85"/>
      <c r="J24" s="8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8:24" ht="15" x14ac:dyDescent="0.3">
      <c r="H25"/>
      <c r="I25" s="85"/>
      <c r="J25" s="8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8:24" ht="15" x14ac:dyDescent="0.3">
      <c r="H26"/>
      <c r="I26" s="85"/>
      <c r="J26" s="8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8:24" ht="15" x14ac:dyDescent="0.3">
      <c r="H27"/>
      <c r="I27" s="85"/>
      <c r="J27" s="8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8:24" ht="15" x14ac:dyDescent="0.3">
      <c r="H28"/>
      <c r="I28" s="85"/>
      <c r="J28" s="8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8:24" ht="15" x14ac:dyDescent="0.3">
      <c r="H29"/>
      <c r="I29" s="85"/>
      <c r="J29" s="8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8:24" ht="15" x14ac:dyDescent="0.3">
      <c r="H30"/>
      <c r="I30" s="85"/>
      <c r="J30" s="8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8:24" ht="15" x14ac:dyDescent="0.3">
      <c r="H31"/>
      <c r="I31" s="85"/>
      <c r="J31" s="8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8:24" ht="15" x14ac:dyDescent="0.3">
      <c r="H32"/>
      <c r="I32" s="85"/>
      <c r="J32" s="8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8:24" ht="15" x14ac:dyDescent="0.3">
      <c r="H33"/>
      <c r="I33" s="85"/>
      <c r="J33" s="8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8:24" ht="15" x14ac:dyDescent="0.3">
      <c r="H34"/>
      <c r="I34" s="85"/>
      <c r="J34" s="8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8:24" x14ac:dyDescent="0.2">
      <c r="H35"/>
      <c r="I35" s="85"/>
      <c r="J35" s="85"/>
    </row>
    <row r="36" spans="8:24" x14ac:dyDescent="0.2">
      <c r="H36"/>
      <c r="I36" s="85"/>
      <c r="J36" s="85"/>
    </row>
    <row r="37" spans="8:24" x14ac:dyDescent="0.2">
      <c r="H37"/>
      <c r="I37" s="85"/>
      <c r="J37" s="85"/>
    </row>
    <row r="38" spans="8:24" x14ac:dyDescent="0.2">
      <c r="H38"/>
      <c r="I38" s="85"/>
      <c r="J38" s="85"/>
    </row>
    <row r="39" spans="8:24" x14ac:dyDescent="0.2">
      <c r="H39"/>
      <c r="I39" s="85"/>
      <c r="J39" s="85"/>
    </row>
    <row r="40" spans="8:24" x14ac:dyDescent="0.2">
      <c r="H40"/>
      <c r="I40" s="85"/>
      <c r="J40" s="85"/>
    </row>
    <row r="41" spans="8:24" x14ac:dyDescent="0.2">
      <c r="H41"/>
      <c r="I41" s="85"/>
      <c r="J41" s="85"/>
    </row>
    <row r="42" spans="8:24" x14ac:dyDescent="0.2">
      <c r="H42"/>
      <c r="I42" s="85"/>
      <c r="J42" s="85"/>
    </row>
    <row r="43" spans="8:24" x14ac:dyDescent="0.2">
      <c r="H43"/>
      <c r="I43" s="85"/>
      <c r="J43" s="85"/>
    </row>
    <row r="44" spans="8:24" x14ac:dyDescent="0.2">
      <c r="H44"/>
      <c r="I44" s="85"/>
      <c r="J44" s="85"/>
    </row>
    <row r="45" spans="8:24" x14ac:dyDescent="0.2">
      <c r="H45"/>
      <c r="I45" s="85"/>
      <c r="J45" s="85"/>
    </row>
    <row r="46" spans="8:24" x14ac:dyDescent="0.2">
      <c r="H46"/>
      <c r="I46" s="85"/>
      <c r="J46" s="85"/>
    </row>
    <row r="47" spans="8:24" x14ac:dyDescent="0.2">
      <c r="H47"/>
      <c r="I47" s="85"/>
      <c r="J47" s="85"/>
    </row>
  </sheetData>
  <sheetProtection algorithmName="SHA-512" hashValue="NXa5/JknuXBWaWwlYCvnpsEm4kPPF4tDwcKilqDzprMKynzaIa/i00NDLW++R2ki93O4N9rMxhPcuPfOFHx9HA==" saltValue="or6kPG0BQBzRBi/w8XN6rA==" spinCount="100000" sheet="1" objects="1" scenarios="1" selectLockedCells="1"/>
  <pageMargins left="0.7" right="0.7" top="0.75" bottom="0.75" header="0.3" footer="0.3"/>
  <pageSetup paperSize="9" orientation="portrait" horizontalDpi="4294967294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2"/>
  <sheetViews>
    <sheetView showGridLines="0" workbookViewId="0">
      <selection activeCell="E33" sqref="E33"/>
    </sheetView>
  </sheetViews>
  <sheetFormatPr defaultColWidth="8.875" defaultRowHeight="12.75" x14ac:dyDescent="0.2"/>
  <cols>
    <col min="1" max="1" width="13" customWidth="1"/>
    <col min="2" max="2" width="12.375" customWidth="1"/>
  </cols>
  <sheetData>
    <row r="1" spans="1:2" x14ac:dyDescent="0.2">
      <c r="A1" t="s">
        <v>78</v>
      </c>
      <c r="B1" t="s">
        <v>79</v>
      </c>
    </row>
    <row r="2" spans="1:2" ht="15.75" x14ac:dyDescent="0.25">
      <c r="A2" s="105" t="s">
        <v>81</v>
      </c>
      <c r="B2" s="105" t="s">
        <v>7</v>
      </c>
    </row>
    <row r="3" spans="1:2" ht="15.75" x14ac:dyDescent="0.25">
      <c r="A3" s="105" t="s">
        <v>83</v>
      </c>
      <c r="B3" s="105" t="s">
        <v>7</v>
      </c>
    </row>
    <row r="4" spans="1:2" ht="15.75" x14ac:dyDescent="0.25">
      <c r="A4" s="105" t="s">
        <v>96</v>
      </c>
      <c r="B4" s="105" t="s">
        <v>7</v>
      </c>
    </row>
    <row r="5" spans="1:2" ht="15.75" x14ac:dyDescent="0.25">
      <c r="A5" s="105" t="s">
        <v>97</v>
      </c>
      <c r="B5" s="105" t="s">
        <v>7</v>
      </c>
    </row>
    <row r="6" spans="1:2" ht="15.75" x14ac:dyDescent="0.25">
      <c r="A6" s="105" t="s">
        <v>98</v>
      </c>
      <c r="B6" s="105" t="s">
        <v>7</v>
      </c>
    </row>
    <row r="7" spans="1:2" ht="15.75" x14ac:dyDescent="0.25">
      <c r="A7" s="105" t="s">
        <v>99</v>
      </c>
      <c r="B7" s="105" t="s">
        <v>7</v>
      </c>
    </row>
    <row r="8" spans="1:2" ht="15.75" x14ac:dyDescent="0.25">
      <c r="A8" s="105" t="s">
        <v>100</v>
      </c>
      <c r="B8" s="105" t="s">
        <v>7</v>
      </c>
    </row>
    <row r="9" spans="1:2" ht="15.75" x14ac:dyDescent="0.25">
      <c r="A9" s="105" t="s">
        <v>85</v>
      </c>
      <c r="B9" s="105" t="s">
        <v>7</v>
      </c>
    </row>
    <row r="10" spans="1:2" ht="15.75" x14ac:dyDescent="0.25">
      <c r="A10" s="105" t="s">
        <v>101</v>
      </c>
      <c r="B10" s="105" t="s">
        <v>7</v>
      </c>
    </row>
    <row r="11" spans="1:2" ht="15.75" x14ac:dyDescent="0.25">
      <c r="A11" s="105" t="s">
        <v>102</v>
      </c>
      <c r="B11" s="105" t="s">
        <v>7</v>
      </c>
    </row>
    <row r="12" spans="1:2" ht="15.75" x14ac:dyDescent="0.25">
      <c r="A12" s="105" t="s">
        <v>88</v>
      </c>
      <c r="B12" s="105" t="s">
        <v>19</v>
      </c>
    </row>
    <row r="13" spans="1:2" ht="15.75" x14ac:dyDescent="0.25">
      <c r="A13" s="105" t="s">
        <v>89</v>
      </c>
      <c r="B13" s="105" t="s">
        <v>19</v>
      </c>
    </row>
    <row r="14" spans="1:2" ht="15.75" x14ac:dyDescent="0.25">
      <c r="A14" s="105" t="s">
        <v>108</v>
      </c>
      <c r="B14" s="105" t="s">
        <v>19</v>
      </c>
    </row>
    <row r="15" spans="1:2" ht="15.75" x14ac:dyDescent="0.25">
      <c r="A15" s="105" t="s">
        <v>80</v>
      </c>
      <c r="B15" s="105" t="s">
        <v>84</v>
      </c>
    </row>
    <row r="16" spans="1:2" ht="15.75" x14ac:dyDescent="0.25">
      <c r="A16" s="105" t="s">
        <v>82</v>
      </c>
      <c r="B16" s="105" t="s">
        <v>84</v>
      </c>
    </row>
    <row r="17" spans="1:2" ht="15.75" x14ac:dyDescent="0.25">
      <c r="A17" s="105" t="s">
        <v>90</v>
      </c>
      <c r="B17" s="105" t="s">
        <v>5</v>
      </c>
    </row>
    <row r="18" spans="1:2" ht="15.75" x14ac:dyDescent="0.25">
      <c r="A18" s="105" t="s">
        <v>91</v>
      </c>
      <c r="B18" s="105" t="s">
        <v>5</v>
      </c>
    </row>
    <row r="19" spans="1:2" ht="15.75" x14ac:dyDescent="0.25">
      <c r="A19" s="105" t="s">
        <v>92</v>
      </c>
      <c r="B19" s="105" t="s">
        <v>5</v>
      </c>
    </row>
    <row r="20" spans="1:2" ht="15.75" x14ac:dyDescent="0.25">
      <c r="A20" s="105" t="s">
        <v>93</v>
      </c>
      <c r="B20" s="105" t="s">
        <v>5</v>
      </c>
    </row>
    <row r="21" spans="1:2" ht="15.75" x14ac:dyDescent="0.25">
      <c r="A21" s="105" t="s">
        <v>94</v>
      </c>
      <c r="B21" s="105" t="s">
        <v>5</v>
      </c>
    </row>
    <row r="22" spans="1:2" ht="15.75" x14ac:dyDescent="0.25">
      <c r="A22" s="105" t="s">
        <v>95</v>
      </c>
      <c r="B22" s="105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423-48B9-A9D5-D92FFD59A85A}">
  <sheetPr codeName="Hoja11">
    <pageSetUpPr fitToPage="1"/>
  </sheetPr>
  <dimension ref="A1:AX1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:B5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77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COUNTA(Tabla3361067348[Inst])</f>
        <v>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0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COUNTIF(Tabla3361067348[No. of Rs],"&gt;0")</f>
        <v>0</v>
      </c>
      <c r="G7" s="24" t="str">
        <f>IFERROR((F7/$F$6),"")</f>
        <v/>
      </c>
      <c r="H7" s="78" t="str">
        <f>IFERROR((+P13/F7),"")</f>
        <v/>
      </c>
      <c r="I7" s="227" t="e">
        <f>H7/H9</f>
        <v>#VALUE!</v>
      </c>
      <c r="J7" s="227" t="e">
        <f>AVERAGE(Tabla3361067348[No. of Rs])</f>
        <v>#DIV/0!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 t="str">
        <f>IFERROR((V6/N6),"")</f>
        <v/>
      </c>
      <c r="W7" s="27"/>
      <c r="X7" s="26" t="str">
        <f>IFERROR((X6/N6),"")</f>
        <v/>
      </c>
      <c r="Y7" s="28"/>
      <c r="Z7" s="26" t="str">
        <f>IFERROR((Z6/N6),"")</f>
        <v/>
      </c>
      <c r="AA7" s="28"/>
      <c r="AB7" s="26" t="str">
        <f>IFERROR((AB6/N6),"")</f>
        <v/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COUNTIF(Tabla3361067348[No. of Rs],"=0")</f>
        <v>0</v>
      </c>
      <c r="G8" s="24" t="str">
        <f>IFERROR((F8/$F$6),"")</f>
        <v/>
      </c>
      <c r="H8" s="78"/>
      <c r="I8" s="228"/>
      <c r="J8" s="228"/>
      <c r="K8" s="163"/>
      <c r="L8" s="212" t="s">
        <v>112</v>
      </c>
      <c r="M8" s="213"/>
      <c r="N8" s="195">
        <f ca="1">OFFSET(Tabla3361067348[[#Headers],[Equity]],1,0)</f>
        <v>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COUNTIF(Tabla3361067348[No. of Rs],"&lt;0")</f>
        <v>0</v>
      </c>
      <c r="G9" s="32" t="str">
        <f>IFERROR((F9/$F$6),"")</f>
        <v/>
      </c>
      <c r="H9" s="79" t="str">
        <f>IFERROR((-Q13/F9),"")</f>
        <v/>
      </c>
      <c r="I9" s="229"/>
      <c r="J9" s="229"/>
      <c r="K9" s="149"/>
      <c r="L9" s="230" t="s">
        <v>106</v>
      </c>
      <c r="M9" s="231"/>
      <c r="N9" s="125">
        <f>MAX(Tabla3361067348[Drawdown])</f>
        <v>0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OFFSET(Tabla3361067348[[#Headers],[Drawdown]],1,0)</f>
        <v>0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IF(COUNTIFS(Tabla3361067348[O/C],"O")&lt;1,"None",COUNTIFS(Tabla3361067348[O/C],"O"))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SUM(Tabla3361067348[No. of Rs])</f>
        <v>0</v>
      </c>
      <c r="O13" s="42">
        <f>SUM(Tabla3361067348[Heat])</f>
        <v>0</v>
      </c>
      <c r="P13" s="43">
        <f>SUM(Tabla3361067348[[ TR WIN]])</f>
        <v>0</v>
      </c>
      <c r="Q13" s="43">
        <f>SUM(Tabla3361067348[[ TR LOSS]])</f>
        <v>0</v>
      </c>
      <c r="R13" s="114"/>
      <c r="S13" s="115"/>
      <c r="T13" s="115"/>
      <c r="U13" s="121"/>
      <c r="V13" s="44">
        <f>SUM(Tabla3361067348[Currency])</f>
        <v>0</v>
      </c>
      <c r="W13" s="44">
        <f>SUM(Tabla3361067348[Heat3])</f>
        <v>0</v>
      </c>
      <c r="X13" s="44">
        <f>SUM(Tabla3361067348[Commodities])</f>
        <v>0</v>
      </c>
      <c r="Y13" s="44">
        <f>SUM(Tabla3361067348[Heat4])</f>
        <v>0</v>
      </c>
      <c r="Z13" s="44">
        <f>SUM(Tabla3361067348[Index])</f>
        <v>0</v>
      </c>
      <c r="AA13" s="44">
        <f>SUM(Tabla3361067348[Heat5])</f>
        <v>0</v>
      </c>
      <c r="AB13" s="44">
        <f>SUM(Tabla3361067348[Cryptocurrency])</f>
        <v>0</v>
      </c>
      <c r="AC13" s="44">
        <f>SUM(Tabla3361067348[Heat6])</f>
        <v>0</v>
      </c>
      <c r="AD13" s="75" t="e">
        <f>AVERAGEIF(Tabla3361067348[Length of 
Trade],"&lt;&gt;0")</f>
        <v>#DIV/0!</v>
      </c>
      <c r="AE13" s="75" t="e">
        <f>AVERAGEIF(Tabla3361067348[Win],"&lt;&gt;0")</f>
        <v>#DIV/0!</v>
      </c>
      <c r="AF13" s="75" t="e">
        <f>AVERAGEIF(Tabla3361067348[Loss],"&lt;&gt;0")</f>
        <v>#DIV/0!</v>
      </c>
      <c r="AG13" s="76" t="e">
        <f>AVERAGEIF(Tabla3361067348[Breakeven],"&lt;&gt;0")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81"/>
      <c r="C17" s="182"/>
      <c r="D17" s="183"/>
      <c r="E17" s="184"/>
      <c r="F17" s="185"/>
      <c r="G17" s="186"/>
      <c r="H17" s="186"/>
      <c r="I17" s="65"/>
      <c r="J17" s="186"/>
      <c r="K17" s="184"/>
      <c r="L17" s="186"/>
      <c r="M17" s="187"/>
      <c r="N17" s="188"/>
      <c r="O17" s="189"/>
      <c r="P17" s="190"/>
      <c r="Q17" s="190"/>
      <c r="R17" s="190"/>
      <c r="S17" s="191"/>
      <c r="T17" s="191"/>
      <c r="U17" s="192"/>
      <c r="V17" s="193"/>
      <c r="W17" s="193"/>
      <c r="X17" s="193"/>
      <c r="Y17" s="193"/>
      <c r="Z17" s="193"/>
      <c r="AA17" s="189"/>
      <c r="AB17" s="193"/>
      <c r="AC17" s="189"/>
      <c r="AD17" s="194"/>
      <c r="AE17" s="194"/>
      <c r="AF17" s="194"/>
      <c r="AG17" s="194"/>
      <c r="AH17" s="176"/>
      <c r="AI17" s="109"/>
    </row>
  </sheetData>
  <sheetProtection algorithmName="SHA-512" hashValue="0CM4O+Rx4DkjGqbOLvgK8Ou6ivzvKW7Ackftd6P0+DwN1o8bAaoyhUht6acmO80zd8D1geE8O29mIPRz+jcE3g==" saltValue="6UckQWzkJT81rKsIQU128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923" priority="3" operator="equal">
      <formula>"OK"</formula>
    </cfRule>
    <cfRule type="cellIs" dxfId="922" priority="4" operator="equal">
      <formula>"warning"</formula>
    </cfRule>
  </conditionalFormatting>
  <conditionalFormatting sqref="F13">
    <cfRule type="cellIs" dxfId="921" priority="1" operator="equal">
      <formula>"OK"</formula>
    </cfRule>
    <cfRule type="cellIs" dxfId="920" priority="2" operator="equal">
      <formula>"Error!!"</formula>
    </cfRule>
  </conditionalFormatting>
  <conditionalFormatting sqref="E15:H15 K15:L15">
    <cfRule type="expression" dxfId="919" priority="5">
      <formula>+$D15=#REF!</formula>
    </cfRule>
    <cfRule type="expression" dxfId="918" priority="6">
      <formula>+$D15=#REF!</formula>
    </cfRule>
  </conditionalFormatting>
  <conditionalFormatting sqref="D15 K16:L16 D16:H17 J17:L17">
    <cfRule type="expression" dxfId="917" priority="7">
      <formula>+$D15=$AG$8</formula>
    </cfRule>
    <cfRule type="expression" dxfId="916" priority="8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E238E195-9138-42BE-8AA1-2FB025BB7756}">
      <formula1>$AG$4:$AG$5</formula1>
    </dataValidation>
    <dataValidation type="list" allowBlank="1" showInputMessage="1" showErrorMessage="1" promptTitle="Instrument Type" prompt="Select Type from List_x000a_" sqref="B15:B16" xr:uid="{790F9287-FE2A-4227-B22B-FAFD6B8728FC}">
      <formula1>$AE$4:$AE$6</formula1>
    </dataValidation>
    <dataValidation type="list" allowBlank="1" showInputMessage="1" showErrorMessage="1" promptTitle="Instrument Type" prompt="Select Type from List_x000a_" sqref="B17" xr:uid="{71DE4D9A-DB2E-4631-B2A9-6EF06009D8D9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9EB7-0900-4C97-9997-F8CF9EBB868A}">
  <sheetPr codeName="Hoja19">
    <pageSetUpPr fitToPage="1"/>
  </sheetPr>
  <dimension ref="A1:AX4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COUNTA(Tabla336106734813[Inst])</f>
        <v>32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19.309999999999999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19.309999999999999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COUNTIF(Tabla336106734813[No. of Rs],"&gt;0")</f>
        <v>11</v>
      </c>
      <c r="G7" s="24">
        <f>IFERROR((F7/$F$6),"")</f>
        <v>0.34375</v>
      </c>
      <c r="H7" s="78">
        <f>IFERROR((+P13/F7),"")</f>
        <v>3.2299999999999995</v>
      </c>
      <c r="I7" s="227">
        <f>H7/H9</f>
        <v>4.1818742293464854</v>
      </c>
      <c r="J7" s="227">
        <f>AVERAGE(Tabla336106734813[No. of Rs])</f>
        <v>0.60343749999999996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COUNTIF(Tabla336106734813[No.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OFFSET(Tabla336106734813[[#Headers],[Equity]],1,0)</f>
        <v>119310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COUNTIF(Tabla336106734813[No. of Rs],"&lt;0")</f>
        <v>21</v>
      </c>
      <c r="G9" s="32">
        <f>IFERROR((F9/$F$6),"")</f>
        <v>0.65625</v>
      </c>
      <c r="H9" s="79">
        <f>IFERROR((-Q13/F9),"")</f>
        <v>0.77238095238095228</v>
      </c>
      <c r="I9" s="229"/>
      <c r="J9" s="229"/>
      <c r="K9" s="149"/>
      <c r="L9" s="230" t="s">
        <v>106</v>
      </c>
      <c r="M9" s="231"/>
      <c r="N9" s="125">
        <f ca="1">MAX(Tabla336106734813[Drawdown])</f>
        <v>9.6614127262113256E-2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OFFSET(Tabla336106734813[[#Headers],[Drawdown]],1,0)</f>
        <v>1.3803934534633824E-2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IF(COUNTIFS(Tabla336106734813[O/C],"O")&lt;1,"None",COUNTIFS(Tabla336106734813[O/C],"O"))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SUM(Tabla336106734813[No. of Rs])</f>
        <v>19.309999999999999</v>
      </c>
      <c r="O13" s="42">
        <f>SUM(Tabla336106734813[Heat])</f>
        <v>0</v>
      </c>
      <c r="P13" s="43">
        <f>SUM(Tabla336106734813[[ TR WIN]])</f>
        <v>35.529999999999994</v>
      </c>
      <c r="Q13" s="43">
        <f>SUM(Tabla336106734813[[ TR LOSS]])</f>
        <v>-16.22</v>
      </c>
      <c r="R13" s="114"/>
      <c r="S13" s="115"/>
      <c r="T13" s="115"/>
      <c r="U13" s="121"/>
      <c r="V13" s="44">
        <f>SUM(Tabla336106734813[Currency])</f>
        <v>19.309999999999999</v>
      </c>
      <c r="W13" s="44">
        <f>SUM(Tabla336106734813[Heat3])</f>
        <v>0</v>
      </c>
      <c r="X13" s="44">
        <f>SUM(Tabla336106734813[Commodities])</f>
        <v>0</v>
      </c>
      <c r="Y13" s="44">
        <f>SUM(Tabla336106734813[Heat4])</f>
        <v>0</v>
      </c>
      <c r="Z13" s="44">
        <f>SUM(Tabla336106734813[Index])</f>
        <v>0</v>
      </c>
      <c r="AA13" s="44">
        <f>SUM(Tabla336106734813[Heat5])</f>
        <v>0</v>
      </c>
      <c r="AB13" s="44">
        <f>SUM(Tabla336106734813[Cryptocurrency])</f>
        <v>0</v>
      </c>
      <c r="AC13" s="44">
        <f>SUM(Tabla336106734813[Heat6])</f>
        <v>0</v>
      </c>
      <c r="AD13" s="75">
        <f>AVERAGEIF(Tabla336106734813[Length of 
Trade],"&lt;&gt;0")</f>
        <v>4.1374348958343035</v>
      </c>
      <c r="AE13" s="75">
        <f>AVERAGEIF(Tabla336106734813[Win],"&lt;&gt;0")</f>
        <v>7.8477272727289922</v>
      </c>
      <c r="AF13" s="75">
        <f>AVERAGEIF(Tabla336106734813[Loss],"&lt;&gt;0")</f>
        <v>2.1939484126989903</v>
      </c>
      <c r="AG13" s="76" t="e">
        <f>AVERAGEIF(Tabla336106734813[Breakeven],"&lt;&gt;0")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18" si="0">IF(E17&lt;&gt;"",IF(K17&lt;&gt;"","C","O"),"")</f>
        <v>C</v>
      </c>
      <c r="E17" s="199">
        <v>44550.017361111109</v>
      </c>
      <c r="F17" s="200" t="s">
        <v>123</v>
      </c>
      <c r="G17" s="201">
        <v>81.015000000000001</v>
      </c>
      <c r="H17" s="201">
        <v>81.650000000000006</v>
      </c>
      <c r="I17" s="202">
        <f t="shared" ref="I17:I18" si="1">ABS(G17-H17)</f>
        <v>0.63500000000000512</v>
      </c>
      <c r="J17" s="201">
        <v>70.013000000000005</v>
      </c>
      <c r="K17" s="199">
        <v>44551.753472222219</v>
      </c>
      <c r="L17" s="201">
        <v>81.441999999999993</v>
      </c>
      <c r="M17" s="203">
        <f t="shared" ref="M17:M18" si="2">ROUND(IF(C17="L",(L17-G17),(G17-L17)),4)</f>
        <v>-0.42699999999999999</v>
      </c>
      <c r="N17" s="204">
        <f t="shared" ref="N17:N18" si="3">IFERROR(ROUND((M17/I17),2),"")</f>
        <v>-0.67</v>
      </c>
      <c r="O17" s="205">
        <f t="shared" ref="O17:O18" si="4">IF(D17="O",IF(N17&lt;0,N17,0),0)</f>
        <v>0</v>
      </c>
      <c r="P17" s="206">
        <f t="shared" ref="P17:P18" si="5">IF(N17&gt;= 0,N17,0)</f>
        <v>0</v>
      </c>
      <c r="Q17" s="206">
        <f t="shared" ref="Q17:Q18" si="6">IF(N17&lt;0,N17,0)</f>
        <v>-0.67</v>
      </c>
      <c r="R1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119310</v>
      </c>
      <c r="T1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120980</v>
      </c>
      <c r="U17" s="208">
        <f ca="1">IF(Tabla336106734813[[#This Row],[Equity]]&lt;Tabla336106734813[[#This Row],[Equity Peak]],(Tabla336106734813[[#This Row],[Equity Peak]]-Tabla336106734813[[#This Row],[Equity]])/Tabla336106734813[[#This Row],[Equity Peak]],"")</f>
        <v>1.3803934534633824E-2</v>
      </c>
      <c r="V17" s="209">
        <f t="shared" ref="V17:V18" si="7">IF(B17="FX",N17,0)</f>
        <v>-0.67</v>
      </c>
      <c r="W17" s="209">
        <f t="shared" ref="W17:W18" si="8">IF(D17="O",IF(V17&lt;0,V17,0),0)</f>
        <v>0</v>
      </c>
      <c r="X17" s="209">
        <f t="shared" ref="X17:X18" si="9">IF(B17="COM",N17,0)</f>
        <v>0</v>
      </c>
      <c r="Y17" s="209">
        <f t="shared" ref="Y17:Y18" si="10">IF(D17="O",IF(X17&lt;0,X17,0),0)</f>
        <v>0</v>
      </c>
      <c r="Z17" s="209">
        <f t="shared" ref="Z17:Z18" si="11">IF(B17="IND",N17,0)</f>
        <v>0</v>
      </c>
      <c r="AA17" s="205">
        <f t="shared" ref="AA17:AA18" si="12">IF(D17="O",IF(Z17&lt;0,Z17,0),0)</f>
        <v>0</v>
      </c>
      <c r="AB17" s="209">
        <f t="shared" ref="AB17:AB18" si="13">IF(B17="CRYPTO",N17,0)</f>
        <v>0</v>
      </c>
      <c r="AC17" s="205">
        <f t="shared" ref="AC17:AC18" si="14">IF(D17="O",IF(AB17&lt;0,AB17,0),0)</f>
        <v>0</v>
      </c>
      <c r="AD17" s="210">
        <f t="shared" ref="AD17:AD18" si="15">IF(K17&lt;&gt;"",K17-E17,0)</f>
        <v>1.7361111111094942</v>
      </c>
      <c r="AE17" s="210">
        <f t="shared" ref="AE17:AE18" si="16">IF(N17&gt;0,AD17,0)</f>
        <v>0</v>
      </c>
      <c r="AF17" s="210">
        <f t="shared" ref="AF17:AF18" si="17">IF(N17&lt;0,AD17,0)</f>
        <v>1.7361111111094942</v>
      </c>
      <c r="AG17" s="210">
        <f t="shared" ref="AG17:AG18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44546.5</v>
      </c>
      <c r="F18" s="200" t="s">
        <v>123</v>
      </c>
      <c r="G18" s="201">
        <v>82.198999999999998</v>
      </c>
      <c r="H18" s="201">
        <v>81.641000000000005</v>
      </c>
      <c r="I18" s="202">
        <f t="shared" si="1"/>
        <v>0.55799999999999272</v>
      </c>
      <c r="J18" s="201">
        <v>91.870999999999995</v>
      </c>
      <c r="K18" s="199">
        <v>44546.713888888888</v>
      </c>
      <c r="L18" s="201">
        <v>81.641000000000005</v>
      </c>
      <c r="M18" s="203">
        <f t="shared" si="2"/>
        <v>-0.55800000000000005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119980</v>
      </c>
      <c r="T1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120980</v>
      </c>
      <c r="U18" s="208">
        <f ca="1">IF(Tabla336106734813[[#This Row],[Equity]]&lt;Tabla336106734813[[#This Row],[Equity Peak]],(Tabla336106734813[[#This Row],[Equity Peak]]-Tabla336106734813[[#This Row],[Equity]])/Tabla336106734813[[#This Row],[Equity Peak]],"")</f>
        <v>8.2658290626549842E-3</v>
      </c>
      <c r="V18" s="209">
        <f t="shared" si="7"/>
        <v>-1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0.21388888888759539</v>
      </c>
      <c r="AE18" s="210">
        <f t="shared" si="16"/>
        <v>0</v>
      </c>
      <c r="AF18" s="210">
        <f t="shared" si="17"/>
        <v>0.21388888888759539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ref="D19:D48" si="19">IF(E19&lt;&gt;"",IF(K19&lt;&gt;"","C","O"),"")</f>
        <v>C</v>
      </c>
      <c r="E19" s="199">
        <v>44526.333333333336</v>
      </c>
      <c r="F19" s="200" t="s">
        <v>123</v>
      </c>
      <c r="G19" s="201">
        <v>81.909000000000006</v>
      </c>
      <c r="H19" s="201">
        <v>82.311000000000007</v>
      </c>
      <c r="I19" s="202">
        <f t="shared" ref="I19:I48" si="20">ABS(G19-H19)</f>
        <v>0.40200000000000102</v>
      </c>
      <c r="J19" s="201">
        <v>74.935000000000002</v>
      </c>
      <c r="K19" s="199">
        <v>44536.972916666666</v>
      </c>
      <c r="L19" s="201">
        <v>80.037999999999997</v>
      </c>
      <c r="M19" s="203">
        <f t="shared" ref="M19:M48" si="21">ROUND(IF(C19="L",(L19-G19),(G19-L19)),4)</f>
        <v>1.871</v>
      </c>
      <c r="N19" s="204">
        <f t="shared" ref="N19:N48" si="22">IFERROR(ROUND((M19/I19),2),"")</f>
        <v>4.6500000000000004</v>
      </c>
      <c r="O19" s="205">
        <f t="shared" ref="O19:O48" si="23">IF(D19="O",IF(N19&lt;0,N19,0),0)</f>
        <v>0</v>
      </c>
      <c r="P19" s="206">
        <f t="shared" ref="P19:P48" si="24">IF(N19&gt;= 0,N19,0)</f>
        <v>4.6500000000000004</v>
      </c>
      <c r="Q19" s="206">
        <f t="shared" ref="Q19:Q48" si="25">IF(N19&lt;0,N19,0)</f>
        <v>0</v>
      </c>
      <c r="R1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120980</v>
      </c>
      <c r="T1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120980</v>
      </c>
      <c r="U19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19" s="209">
        <f t="shared" ref="V19:V48" si="26">IF(B19="FX",N19,0)</f>
        <v>4.6500000000000004</v>
      </c>
      <c r="W19" s="209">
        <f t="shared" ref="W19:W48" si="27">IF(D19="O",IF(V19&lt;0,V19,0),0)</f>
        <v>0</v>
      </c>
      <c r="X19" s="209">
        <f t="shared" ref="X19:X48" si="28">IF(B19="COM",N19,0)</f>
        <v>0</v>
      </c>
      <c r="Y19" s="209">
        <f t="shared" ref="Y19:Y48" si="29">IF(D19="O",IF(X19&lt;0,X19,0),0)</f>
        <v>0</v>
      </c>
      <c r="Z19" s="209">
        <f t="shared" ref="Z19:Z48" si="30">IF(B19="IND",N19,0)</f>
        <v>0</v>
      </c>
      <c r="AA19" s="205">
        <f t="shared" ref="AA19:AA48" si="31">IF(D19="O",IF(Z19&lt;0,Z19,0),0)</f>
        <v>0</v>
      </c>
      <c r="AB19" s="209">
        <f t="shared" ref="AB19:AB48" si="32">IF(B19="CRYPTO",N19,0)</f>
        <v>0</v>
      </c>
      <c r="AC19" s="205">
        <f t="shared" ref="AC19:AC48" si="33">IF(D19="O",IF(AB19&lt;0,AB19,0),0)</f>
        <v>0</v>
      </c>
      <c r="AD19" s="210">
        <f t="shared" ref="AD19:AD48" si="34">IF(K19&lt;&gt;"",K19-E19,0)</f>
        <v>10.639583333329938</v>
      </c>
      <c r="AE19" s="210">
        <f t="shared" ref="AE19:AE48" si="35">IF(N19&gt;0,AD19,0)</f>
        <v>10.639583333329938</v>
      </c>
      <c r="AF19" s="210">
        <f t="shared" ref="AF19:AF48" si="36">IF(N19&lt;0,AD19,0)</f>
        <v>0</v>
      </c>
      <c r="AG19" s="210">
        <f t="shared" ref="AG19:AG48" si="37">IF(N19=0,AD19,0)</f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19"/>
        <v>C</v>
      </c>
      <c r="E20" s="199">
        <v>44505.017361111109</v>
      </c>
      <c r="F20" s="200" t="s">
        <v>123</v>
      </c>
      <c r="G20" s="201">
        <v>84.144000000000005</v>
      </c>
      <c r="H20" s="201">
        <v>84.605000000000004</v>
      </c>
      <c r="I20" s="202">
        <f t="shared" si="20"/>
        <v>0.46099999999999852</v>
      </c>
      <c r="J20" s="201">
        <v>76.156000000000006</v>
      </c>
      <c r="K20" s="199">
        <v>44510.669444444444</v>
      </c>
      <c r="L20" s="201">
        <v>83.700999999999993</v>
      </c>
      <c r="M20" s="203">
        <f t="shared" si="21"/>
        <v>0.443</v>
      </c>
      <c r="N20" s="204">
        <f t="shared" si="22"/>
        <v>0.96</v>
      </c>
      <c r="O20" s="205">
        <f t="shared" si="23"/>
        <v>0</v>
      </c>
      <c r="P20" s="206">
        <f t="shared" si="24"/>
        <v>0.96</v>
      </c>
      <c r="Q20" s="206">
        <f t="shared" si="25"/>
        <v>0</v>
      </c>
      <c r="R2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116330</v>
      </c>
      <c r="T2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116330</v>
      </c>
      <c r="U20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0" s="209">
        <f t="shared" si="26"/>
        <v>0.96</v>
      </c>
      <c r="W20" s="209">
        <f t="shared" si="27"/>
        <v>0</v>
      </c>
      <c r="X20" s="209">
        <f t="shared" si="28"/>
        <v>0</v>
      </c>
      <c r="Y20" s="209">
        <f t="shared" si="29"/>
        <v>0</v>
      </c>
      <c r="Z20" s="209">
        <f t="shared" si="30"/>
        <v>0</v>
      </c>
      <c r="AA20" s="205">
        <f t="shared" si="31"/>
        <v>0</v>
      </c>
      <c r="AB20" s="209">
        <f t="shared" si="32"/>
        <v>0</v>
      </c>
      <c r="AC20" s="205">
        <f t="shared" si="33"/>
        <v>0</v>
      </c>
      <c r="AD20" s="210">
        <f t="shared" si="34"/>
        <v>5.6520833333343035</v>
      </c>
      <c r="AE20" s="210">
        <f t="shared" si="35"/>
        <v>5.6520833333343035</v>
      </c>
      <c r="AF20" s="210">
        <f t="shared" si="36"/>
        <v>0</v>
      </c>
      <c r="AG20" s="210">
        <f t="shared" si="37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19"/>
        <v>C</v>
      </c>
      <c r="E21" s="199">
        <v>44480.166666666664</v>
      </c>
      <c r="F21" s="200" t="s">
        <v>123</v>
      </c>
      <c r="G21" s="201">
        <v>82.15</v>
      </c>
      <c r="H21" s="201">
        <v>81.754999999999995</v>
      </c>
      <c r="I21" s="202">
        <f t="shared" si="20"/>
        <v>0.39500000000001023</v>
      </c>
      <c r="J21" s="201">
        <v>89.001000000000005</v>
      </c>
      <c r="K21" s="199">
        <v>44490.411111111112</v>
      </c>
      <c r="L21" s="201">
        <v>85.325000000000003</v>
      </c>
      <c r="M21" s="203">
        <f t="shared" si="21"/>
        <v>3.1749999999999998</v>
      </c>
      <c r="N21" s="204">
        <f t="shared" si="22"/>
        <v>8.0399999999999991</v>
      </c>
      <c r="O21" s="205">
        <f t="shared" si="23"/>
        <v>0</v>
      </c>
      <c r="P21" s="206">
        <f t="shared" si="24"/>
        <v>8.0399999999999991</v>
      </c>
      <c r="Q21" s="206">
        <f t="shared" si="25"/>
        <v>0</v>
      </c>
      <c r="R2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115370</v>
      </c>
      <c r="T2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115370</v>
      </c>
      <c r="U21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1" s="209">
        <f t="shared" si="26"/>
        <v>8.0399999999999991</v>
      </c>
      <c r="W21" s="209">
        <f t="shared" si="27"/>
        <v>0</v>
      </c>
      <c r="X21" s="209">
        <f t="shared" si="28"/>
        <v>0</v>
      </c>
      <c r="Y21" s="209">
        <f t="shared" si="29"/>
        <v>0</v>
      </c>
      <c r="Z21" s="209">
        <f t="shared" si="30"/>
        <v>0</v>
      </c>
      <c r="AA21" s="205">
        <f t="shared" si="31"/>
        <v>0</v>
      </c>
      <c r="AB21" s="209">
        <f t="shared" si="32"/>
        <v>0</v>
      </c>
      <c r="AC21" s="205">
        <f t="shared" si="33"/>
        <v>0</v>
      </c>
      <c r="AD21" s="210">
        <f t="shared" si="34"/>
        <v>10.244444444448163</v>
      </c>
      <c r="AE21" s="210">
        <f t="shared" si="35"/>
        <v>10.244444444448163</v>
      </c>
      <c r="AF21" s="210">
        <f t="shared" si="36"/>
        <v>0</v>
      </c>
      <c r="AG21" s="210">
        <f t="shared" si="37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19"/>
        <v>C</v>
      </c>
      <c r="E22" s="199">
        <v>44466.017361111109</v>
      </c>
      <c r="F22" s="200" t="s">
        <v>123</v>
      </c>
      <c r="G22" s="201">
        <v>80.289000000000001</v>
      </c>
      <c r="H22" s="201">
        <v>79.754000000000005</v>
      </c>
      <c r="I22" s="202">
        <f t="shared" si="20"/>
        <v>0.53499999999999659</v>
      </c>
      <c r="J22" s="201">
        <v>89.554000000000002</v>
      </c>
      <c r="K22" s="199">
        <v>44468.662499999999</v>
      </c>
      <c r="L22" s="201">
        <v>80.391999999999996</v>
      </c>
      <c r="M22" s="203">
        <f t="shared" si="21"/>
        <v>0.10299999999999999</v>
      </c>
      <c r="N22" s="204">
        <f t="shared" si="22"/>
        <v>0.19</v>
      </c>
      <c r="O22" s="205">
        <f t="shared" si="23"/>
        <v>0</v>
      </c>
      <c r="P22" s="206">
        <f t="shared" si="24"/>
        <v>0.19</v>
      </c>
      <c r="Q22" s="206">
        <f t="shared" si="25"/>
        <v>0</v>
      </c>
      <c r="R2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107330</v>
      </c>
      <c r="T2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107330</v>
      </c>
      <c r="U22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2" s="209">
        <f t="shared" si="26"/>
        <v>0.19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0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2.6451388888890506</v>
      </c>
      <c r="AE22" s="210">
        <f t="shared" si="35"/>
        <v>2.6451388888890506</v>
      </c>
      <c r="AF22" s="210">
        <f t="shared" si="36"/>
        <v>0</v>
      </c>
      <c r="AG22" s="210">
        <f t="shared" si="37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19"/>
        <v>C</v>
      </c>
      <c r="E23" s="199">
        <v>44454.017361111109</v>
      </c>
      <c r="F23" s="200" t="s">
        <v>123</v>
      </c>
      <c r="G23" s="201">
        <v>80.266000000000005</v>
      </c>
      <c r="H23" s="201">
        <v>80.73</v>
      </c>
      <c r="I23" s="202">
        <f t="shared" si="20"/>
        <v>0.46399999999999864</v>
      </c>
      <c r="J23" s="201">
        <v>72.227999999999994</v>
      </c>
      <c r="K23" s="199">
        <v>44461.881249999999</v>
      </c>
      <c r="L23" s="201">
        <v>79.822999999999993</v>
      </c>
      <c r="M23" s="203">
        <f t="shared" si="21"/>
        <v>0.443</v>
      </c>
      <c r="N23" s="204">
        <f t="shared" si="22"/>
        <v>0.95</v>
      </c>
      <c r="O23" s="205">
        <f t="shared" si="23"/>
        <v>0</v>
      </c>
      <c r="P23" s="206">
        <f t="shared" si="24"/>
        <v>0.95</v>
      </c>
      <c r="Q23" s="206">
        <f t="shared" si="25"/>
        <v>0</v>
      </c>
      <c r="R2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107140</v>
      </c>
      <c r="T2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107140</v>
      </c>
      <c r="U23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3" s="209">
        <f t="shared" si="26"/>
        <v>0.95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0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7.8638888888890506</v>
      </c>
      <c r="AE23" s="210">
        <f t="shared" si="35"/>
        <v>7.8638888888890506</v>
      </c>
      <c r="AF23" s="210">
        <f t="shared" si="36"/>
        <v>0</v>
      </c>
      <c r="AG23" s="210">
        <f t="shared" si="37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19"/>
        <v>C</v>
      </c>
      <c r="E24" s="199">
        <v>44438.166666666664</v>
      </c>
      <c r="F24" s="200" t="s">
        <v>123</v>
      </c>
      <c r="G24" s="201">
        <v>80.239999999999995</v>
      </c>
      <c r="H24" s="201">
        <v>79.879000000000005</v>
      </c>
      <c r="I24" s="202">
        <f t="shared" si="20"/>
        <v>0.36099999999999</v>
      </c>
      <c r="J24" s="201">
        <v>86.498999999999995</v>
      </c>
      <c r="K24" s="199">
        <v>44447.42291666667</v>
      </c>
      <c r="L24" s="201">
        <v>81.254000000000005</v>
      </c>
      <c r="M24" s="203">
        <f t="shared" si="21"/>
        <v>1.014</v>
      </c>
      <c r="N24" s="204">
        <f t="shared" si="22"/>
        <v>2.81</v>
      </c>
      <c r="O24" s="205">
        <f t="shared" si="23"/>
        <v>0</v>
      </c>
      <c r="P24" s="206">
        <f t="shared" si="24"/>
        <v>2.81</v>
      </c>
      <c r="Q24" s="206">
        <f t="shared" si="25"/>
        <v>0</v>
      </c>
      <c r="R2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106190</v>
      </c>
      <c r="T2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106190</v>
      </c>
      <c r="U24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4" s="209">
        <f t="shared" si="26"/>
        <v>2.81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0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9.2562500000058208</v>
      </c>
      <c r="AE24" s="210">
        <f t="shared" si="35"/>
        <v>9.2562500000058208</v>
      </c>
      <c r="AF24" s="210">
        <f t="shared" si="36"/>
        <v>0</v>
      </c>
      <c r="AG24" s="210">
        <f t="shared" si="37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19"/>
        <v>C</v>
      </c>
      <c r="E25" s="199">
        <v>44421.017361111109</v>
      </c>
      <c r="F25" s="200" t="s">
        <v>123</v>
      </c>
      <c r="G25" s="201">
        <v>81.021000000000001</v>
      </c>
      <c r="H25" s="201">
        <v>81.28</v>
      </c>
      <c r="I25" s="202">
        <f t="shared" si="20"/>
        <v>0.25900000000000034</v>
      </c>
      <c r="J25" s="201">
        <v>76.531999999999996</v>
      </c>
      <c r="K25" s="199">
        <v>44431.575694444444</v>
      </c>
      <c r="L25" s="201">
        <v>79.025999999999996</v>
      </c>
      <c r="M25" s="203">
        <f t="shared" si="21"/>
        <v>1.9950000000000001</v>
      </c>
      <c r="N25" s="204">
        <f t="shared" si="22"/>
        <v>7.7</v>
      </c>
      <c r="O25" s="205">
        <f t="shared" si="23"/>
        <v>0</v>
      </c>
      <c r="P25" s="206">
        <f t="shared" si="24"/>
        <v>7.7</v>
      </c>
      <c r="Q25" s="206">
        <f t="shared" si="25"/>
        <v>0</v>
      </c>
      <c r="R2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103380</v>
      </c>
      <c r="T2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103380</v>
      </c>
      <c r="U25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5" s="209">
        <f t="shared" si="26"/>
        <v>7.7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10.558333333334303</v>
      </c>
      <c r="AE25" s="210">
        <f t="shared" si="35"/>
        <v>10.558333333334303</v>
      </c>
      <c r="AF25" s="210">
        <f t="shared" si="36"/>
        <v>0</v>
      </c>
      <c r="AG25" s="210">
        <f t="shared" si="37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19"/>
        <v>C</v>
      </c>
      <c r="E26" s="199">
        <v>44419.666666666664</v>
      </c>
      <c r="F26" s="200" t="s">
        <v>123</v>
      </c>
      <c r="G26" s="201">
        <v>81.480999999999995</v>
      </c>
      <c r="H26" s="201">
        <v>81.179000000000002</v>
      </c>
      <c r="I26" s="202">
        <f t="shared" si="20"/>
        <v>0.3019999999999925</v>
      </c>
      <c r="J26" s="201">
        <v>86.721999999999994</v>
      </c>
      <c r="K26" s="199">
        <v>44420.631249999999</v>
      </c>
      <c r="L26" s="201">
        <v>81.179000000000002</v>
      </c>
      <c r="M26" s="203">
        <f t="shared" si="21"/>
        <v>-0.30199999999999999</v>
      </c>
      <c r="N26" s="204">
        <f t="shared" si="22"/>
        <v>-1</v>
      </c>
      <c r="O26" s="205">
        <f t="shared" si="23"/>
        <v>0</v>
      </c>
      <c r="P26" s="206">
        <f t="shared" si="24"/>
        <v>0</v>
      </c>
      <c r="Q26" s="206">
        <f t="shared" si="25"/>
        <v>-1</v>
      </c>
      <c r="R2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95680</v>
      </c>
      <c r="T2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26" s="208">
        <f ca="1">IF(Tabla336106734813[[#This Row],[Equity]]&lt;Tabla336106734813[[#This Row],[Equity Peak]],(Tabla336106734813[[#This Row],[Equity Peak]]-Tabla336106734813[[#This Row],[Equity]])/Tabla336106734813[[#This Row],[Equity Peak]],"")</f>
        <v>6.9079587468379056E-2</v>
      </c>
      <c r="V26" s="209">
        <f t="shared" si="26"/>
        <v>-1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0.96458333333430346</v>
      </c>
      <c r="AE26" s="210">
        <f t="shared" si="35"/>
        <v>0</v>
      </c>
      <c r="AF26" s="210">
        <f t="shared" si="36"/>
        <v>0.96458333333430346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19"/>
        <v>C</v>
      </c>
      <c r="E27" s="199">
        <v>44396.166666666664</v>
      </c>
      <c r="F27" s="200" t="s">
        <v>123</v>
      </c>
      <c r="G27" s="201">
        <v>81.061999999999998</v>
      </c>
      <c r="H27" s="201">
        <v>81.474999999999994</v>
      </c>
      <c r="I27" s="202">
        <f t="shared" si="20"/>
        <v>0.4129999999999967</v>
      </c>
      <c r="J27" s="201">
        <v>73.899000000000001</v>
      </c>
      <c r="K27" s="199">
        <v>44398.756249999999</v>
      </c>
      <c r="L27" s="201">
        <v>81.037999999999997</v>
      </c>
      <c r="M27" s="203">
        <f t="shared" si="21"/>
        <v>2.4E-2</v>
      </c>
      <c r="N27" s="204">
        <f t="shared" si="22"/>
        <v>0.06</v>
      </c>
      <c r="O27" s="205">
        <f t="shared" si="23"/>
        <v>0</v>
      </c>
      <c r="P27" s="206">
        <f t="shared" si="24"/>
        <v>0.06</v>
      </c>
      <c r="Q27" s="206">
        <f t="shared" si="25"/>
        <v>0</v>
      </c>
      <c r="R2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96680</v>
      </c>
      <c r="T2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27" s="208">
        <f ca="1">IF(Tabla336106734813[[#This Row],[Equity]]&lt;Tabla336106734813[[#This Row],[Equity Peak]],(Tabla336106734813[[#This Row],[Equity Peak]]-Tabla336106734813[[#This Row],[Equity]])/Tabla336106734813[[#This Row],[Equity Peak]],"")</f>
        <v>5.9350068106635533E-2</v>
      </c>
      <c r="V27" s="209">
        <f t="shared" si="26"/>
        <v>0.06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2.5895833333343035</v>
      </c>
      <c r="AE27" s="210">
        <f t="shared" si="35"/>
        <v>2.5895833333343035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44385.5</v>
      </c>
      <c r="F28" s="200" t="s">
        <v>123</v>
      </c>
      <c r="G28" s="201">
        <v>81.7</v>
      </c>
      <c r="H28" s="201">
        <v>82.337999999999994</v>
      </c>
      <c r="I28" s="202">
        <f t="shared" si="20"/>
        <v>0.63799999999999102</v>
      </c>
      <c r="J28" s="201">
        <v>70.643000000000001</v>
      </c>
      <c r="K28" s="199">
        <v>44386.70416666667</v>
      </c>
      <c r="L28" s="201">
        <v>82.337999999999994</v>
      </c>
      <c r="M28" s="203">
        <f t="shared" si="21"/>
        <v>-0.63800000000000001</v>
      </c>
      <c r="N28" s="204">
        <f t="shared" si="22"/>
        <v>-1</v>
      </c>
      <c r="O28" s="205">
        <f t="shared" si="23"/>
        <v>0</v>
      </c>
      <c r="P28" s="206">
        <f t="shared" si="24"/>
        <v>0</v>
      </c>
      <c r="Q28" s="206">
        <f t="shared" si="25"/>
        <v>-1</v>
      </c>
      <c r="R2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96620</v>
      </c>
      <c r="T2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28" s="208">
        <f ca="1">IF(Tabla336106734813[[#This Row],[Equity]]&lt;Tabla336106734813[[#This Row],[Equity Peak]],(Tabla336106734813[[#This Row],[Equity Peak]]-Tabla336106734813[[#This Row],[Equity]])/Tabla336106734813[[#This Row],[Equity Peak]],"")</f>
        <v>5.9933839268340144E-2</v>
      </c>
      <c r="V28" s="209">
        <f t="shared" si="26"/>
        <v>-1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1.2041666666700621</v>
      </c>
      <c r="AE28" s="210">
        <f t="shared" si="35"/>
        <v>0</v>
      </c>
      <c r="AF28" s="210">
        <f t="shared" si="36"/>
        <v>1.2041666666700621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19"/>
        <v>C</v>
      </c>
      <c r="E29" s="199">
        <v>44363.017361111109</v>
      </c>
      <c r="F29" s="200" t="s">
        <v>123</v>
      </c>
      <c r="G29" s="201">
        <v>84.61</v>
      </c>
      <c r="H29" s="201">
        <v>84.882999999999996</v>
      </c>
      <c r="I29" s="202">
        <f t="shared" si="20"/>
        <v>0.27299999999999613</v>
      </c>
      <c r="J29" s="201">
        <v>79.882000000000005</v>
      </c>
      <c r="K29" s="199">
        <v>44369.754166666666</v>
      </c>
      <c r="L29" s="201">
        <v>83.308000000000007</v>
      </c>
      <c r="M29" s="203">
        <f t="shared" si="21"/>
        <v>1.302</v>
      </c>
      <c r="N29" s="204">
        <f t="shared" si="22"/>
        <v>4.7699999999999996</v>
      </c>
      <c r="O29" s="205">
        <f t="shared" si="23"/>
        <v>0</v>
      </c>
      <c r="P29" s="206">
        <f t="shared" si="24"/>
        <v>4.7699999999999996</v>
      </c>
      <c r="Q29" s="206">
        <f t="shared" si="25"/>
        <v>0</v>
      </c>
      <c r="R2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97620</v>
      </c>
      <c r="T2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29" s="208">
        <f ca="1">IF(Tabla336106734813[[#This Row],[Equity]]&lt;Tabla336106734813[[#This Row],[Equity Peak]],(Tabla336106734813[[#This Row],[Equity Peak]]-Tabla336106734813[[#This Row],[Equity]])/Tabla336106734813[[#This Row],[Equity Peak]],"")</f>
        <v>5.0204319906596614E-2</v>
      </c>
      <c r="V29" s="209">
        <f t="shared" si="26"/>
        <v>4.7699999999999996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6.7368055555562023</v>
      </c>
      <c r="AE29" s="210">
        <f t="shared" si="35"/>
        <v>6.7368055555562023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19"/>
        <v>C</v>
      </c>
      <c r="E30" s="199">
        <v>44362.017361111109</v>
      </c>
      <c r="F30" s="200" t="s">
        <v>123</v>
      </c>
      <c r="G30" s="201">
        <v>84.856999999999999</v>
      </c>
      <c r="H30" s="201">
        <v>84.543000000000006</v>
      </c>
      <c r="I30" s="202">
        <f t="shared" si="20"/>
        <v>0.31399999999999295</v>
      </c>
      <c r="J30" s="201">
        <v>90.295000000000002</v>
      </c>
      <c r="K30" s="199">
        <v>44362.73541666667</v>
      </c>
      <c r="L30" s="201">
        <v>84.543000000000006</v>
      </c>
      <c r="M30" s="203">
        <f t="shared" si="21"/>
        <v>-0.314</v>
      </c>
      <c r="N30" s="204">
        <f t="shared" si="22"/>
        <v>-1</v>
      </c>
      <c r="O30" s="205">
        <f t="shared" si="23"/>
        <v>0</v>
      </c>
      <c r="P30" s="206">
        <f t="shared" si="24"/>
        <v>0</v>
      </c>
      <c r="Q30" s="206">
        <f t="shared" si="25"/>
        <v>-1</v>
      </c>
      <c r="R3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92850</v>
      </c>
      <c r="T3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0" s="208">
        <f ca="1">IF(Tabla336106734813[[#This Row],[Equity]]&lt;Tabla336106734813[[#This Row],[Equity Peak]],(Tabla336106734813[[#This Row],[Equity Peak]]-Tabla336106734813[[#This Row],[Equity]])/Tabla336106734813[[#This Row],[Equity Peak]],"")</f>
        <v>9.6614127262113256E-2</v>
      </c>
      <c r="V30" s="209">
        <f t="shared" si="26"/>
        <v>-1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0.71805555556056788</v>
      </c>
      <c r="AE30" s="210">
        <f t="shared" si="35"/>
        <v>0</v>
      </c>
      <c r="AF30" s="210">
        <f t="shared" si="36"/>
        <v>0.71805555556056788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19"/>
        <v>C</v>
      </c>
      <c r="E31" s="199">
        <v>44361.166666666664</v>
      </c>
      <c r="F31" s="200" t="s">
        <v>123</v>
      </c>
      <c r="G31" s="201">
        <v>84.536000000000001</v>
      </c>
      <c r="H31" s="201">
        <v>84.841999999999999</v>
      </c>
      <c r="I31" s="202">
        <f t="shared" si="20"/>
        <v>0.30599999999999739</v>
      </c>
      <c r="J31" s="201">
        <v>79.224999999999994</v>
      </c>
      <c r="K31" s="199">
        <v>44361.702777777777</v>
      </c>
      <c r="L31" s="201">
        <v>84.841999999999999</v>
      </c>
      <c r="M31" s="203">
        <f t="shared" si="21"/>
        <v>-0.30599999999999999</v>
      </c>
      <c r="N31" s="204">
        <f t="shared" si="22"/>
        <v>-1</v>
      </c>
      <c r="O31" s="205">
        <f t="shared" si="23"/>
        <v>0</v>
      </c>
      <c r="P31" s="206">
        <f t="shared" si="24"/>
        <v>0</v>
      </c>
      <c r="Q31" s="206">
        <f t="shared" si="25"/>
        <v>-1</v>
      </c>
      <c r="R3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93850</v>
      </c>
      <c r="T3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1" s="208">
        <f ca="1">IF(Tabla336106734813[[#This Row],[Equity]]&lt;Tabla336106734813[[#This Row],[Equity Peak]],(Tabla336106734813[[#This Row],[Equity Peak]]-Tabla336106734813[[#This Row],[Equity]])/Tabla336106734813[[#This Row],[Equity Peak]],"")</f>
        <v>8.6884607900369726E-2</v>
      </c>
      <c r="V31" s="209">
        <f t="shared" si="26"/>
        <v>-1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0.53611111111240461</v>
      </c>
      <c r="AE31" s="210">
        <f t="shared" si="35"/>
        <v>0</v>
      </c>
      <c r="AF31" s="210">
        <f t="shared" si="36"/>
        <v>0.53611111111240461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44354.166666666664</v>
      </c>
      <c r="F32" s="200" t="s">
        <v>123</v>
      </c>
      <c r="G32" s="201">
        <v>84.796999999999997</v>
      </c>
      <c r="H32" s="201">
        <v>84.471000000000004</v>
      </c>
      <c r="I32" s="202">
        <f t="shared" si="20"/>
        <v>0.32599999999999341</v>
      </c>
      <c r="J32" s="201">
        <v>90.445999999999998</v>
      </c>
      <c r="K32" s="199">
        <v>44358.70416666667</v>
      </c>
      <c r="L32" s="201">
        <v>84.626000000000005</v>
      </c>
      <c r="M32" s="203">
        <f t="shared" si="21"/>
        <v>-0.17100000000000001</v>
      </c>
      <c r="N32" s="204">
        <f t="shared" si="22"/>
        <v>-0.52</v>
      </c>
      <c r="O32" s="205">
        <f t="shared" si="23"/>
        <v>0</v>
      </c>
      <c r="P32" s="206">
        <f t="shared" si="24"/>
        <v>0</v>
      </c>
      <c r="Q32" s="206">
        <f t="shared" si="25"/>
        <v>-0.52</v>
      </c>
      <c r="R3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94850</v>
      </c>
      <c r="T3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2" s="208">
        <f ca="1">IF(Tabla336106734813[[#This Row],[Equity]]&lt;Tabla336106734813[[#This Row],[Equity Peak]],(Tabla336106734813[[#This Row],[Equity Peak]]-Tabla336106734813[[#This Row],[Equity]])/Tabla336106734813[[#This Row],[Equity Peak]],"")</f>
        <v>7.7155088538626196E-2</v>
      </c>
      <c r="V32" s="209">
        <f t="shared" si="26"/>
        <v>-0.52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4.5375000000058208</v>
      </c>
      <c r="AE32" s="210">
        <f t="shared" si="35"/>
        <v>0</v>
      </c>
      <c r="AF32" s="210">
        <f t="shared" si="36"/>
        <v>4.5375000000058208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19"/>
        <v>C</v>
      </c>
      <c r="E33" s="199">
        <v>44351.166666666664</v>
      </c>
      <c r="F33" s="200" t="s">
        <v>123</v>
      </c>
      <c r="G33" s="201">
        <v>84.424999999999997</v>
      </c>
      <c r="H33" s="201">
        <v>84.727000000000004</v>
      </c>
      <c r="I33" s="202">
        <f t="shared" si="20"/>
        <v>0.30200000000000671</v>
      </c>
      <c r="J33" s="201">
        <v>79.194999999999993</v>
      </c>
      <c r="K33" s="199">
        <v>44351.747916666667</v>
      </c>
      <c r="L33" s="201">
        <v>84.727000000000004</v>
      </c>
      <c r="M33" s="203">
        <f t="shared" si="21"/>
        <v>-0.30199999999999999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95370</v>
      </c>
      <c r="T3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3" s="208">
        <f ca="1">IF(Tabla336106734813[[#This Row],[Equity]]&lt;Tabla336106734813[[#This Row],[Equity Peak]],(Tabla336106734813[[#This Row],[Equity Peak]]-Tabla336106734813[[#This Row],[Equity]])/Tabla336106734813[[#This Row],[Equity Peak]],"")</f>
        <v>7.209573847051956E-2</v>
      </c>
      <c r="V33" s="209">
        <f t="shared" si="26"/>
        <v>-1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0.58125000000291038</v>
      </c>
      <c r="AE33" s="210">
        <f t="shared" si="35"/>
        <v>0</v>
      </c>
      <c r="AF33" s="210">
        <f t="shared" si="36"/>
        <v>0.58125000000291038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44343.833333333336</v>
      </c>
      <c r="F34" s="200" t="s">
        <v>123</v>
      </c>
      <c r="G34" s="201">
        <v>84.956999999999994</v>
      </c>
      <c r="H34" s="201">
        <v>84.606999999999999</v>
      </c>
      <c r="I34" s="202">
        <f t="shared" si="20"/>
        <v>0.34999999999999432</v>
      </c>
      <c r="J34" s="201">
        <v>91.021000000000001</v>
      </c>
      <c r="K34" s="199">
        <v>44344.605555555558</v>
      </c>
      <c r="L34" s="201">
        <v>84.606999999999999</v>
      </c>
      <c r="M34" s="203">
        <f t="shared" si="21"/>
        <v>-0.35</v>
      </c>
      <c r="N34" s="204">
        <f t="shared" si="22"/>
        <v>-1</v>
      </c>
      <c r="O34" s="205">
        <f t="shared" si="23"/>
        <v>0</v>
      </c>
      <c r="P34" s="206">
        <f t="shared" si="24"/>
        <v>0</v>
      </c>
      <c r="Q34" s="206">
        <f t="shared" si="25"/>
        <v>-1</v>
      </c>
      <c r="R3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96370</v>
      </c>
      <c r="T3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4" s="208">
        <f ca="1">IF(Tabla336106734813[[#This Row],[Equity]]&lt;Tabla336106734813[[#This Row],[Equity Peak]],(Tabla336106734813[[#This Row],[Equity Peak]]-Tabla336106734813[[#This Row],[Equity]])/Tabla336106734813[[#This Row],[Equity Peak]],"")</f>
        <v>6.2366219108776023E-2</v>
      </c>
      <c r="V34" s="209">
        <f t="shared" si="26"/>
        <v>-1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0.77222222222189885</v>
      </c>
      <c r="AE34" s="210">
        <f t="shared" si="35"/>
        <v>0</v>
      </c>
      <c r="AF34" s="210">
        <f t="shared" si="36"/>
        <v>0.77222222222189885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19"/>
        <v>C</v>
      </c>
      <c r="E35" s="199">
        <v>44336.017361111109</v>
      </c>
      <c r="F35" s="200" t="s">
        <v>123</v>
      </c>
      <c r="G35" s="201">
        <v>84.308999999999997</v>
      </c>
      <c r="H35" s="201">
        <v>84.712000000000003</v>
      </c>
      <c r="I35" s="202">
        <f t="shared" si="20"/>
        <v>0.4030000000000058</v>
      </c>
      <c r="J35" s="201">
        <v>77.33</v>
      </c>
      <c r="K35" s="199">
        <v>44342.285416666666</v>
      </c>
      <c r="L35" s="201">
        <v>84.712000000000003</v>
      </c>
      <c r="M35" s="203">
        <f t="shared" si="21"/>
        <v>-0.40300000000000002</v>
      </c>
      <c r="N35" s="204">
        <f t="shared" si="22"/>
        <v>-1</v>
      </c>
      <c r="O35" s="205">
        <f t="shared" si="23"/>
        <v>0</v>
      </c>
      <c r="P35" s="206">
        <f t="shared" si="24"/>
        <v>0</v>
      </c>
      <c r="Q35" s="206">
        <f t="shared" si="25"/>
        <v>-1</v>
      </c>
      <c r="R3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97370</v>
      </c>
      <c r="T3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5" s="208">
        <f ca="1">IF(Tabla336106734813[[#This Row],[Equity]]&lt;Tabla336106734813[[#This Row],[Equity Peak]],(Tabla336106734813[[#This Row],[Equity Peak]]-Tabla336106734813[[#This Row],[Equity]])/Tabla336106734813[[#This Row],[Equity Peak]],"")</f>
        <v>5.2636699747032493E-2</v>
      </c>
      <c r="V35" s="209">
        <f t="shared" si="26"/>
        <v>-1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6.2680555555562023</v>
      </c>
      <c r="AE35" s="210">
        <f t="shared" si="35"/>
        <v>0</v>
      </c>
      <c r="AF35" s="210">
        <f t="shared" si="36"/>
        <v>6.2680555555562023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44323.833333333336</v>
      </c>
      <c r="F36" s="200" t="s">
        <v>123</v>
      </c>
      <c r="G36" s="201">
        <v>85.236000000000004</v>
      </c>
      <c r="H36" s="201">
        <v>84.846999999999994</v>
      </c>
      <c r="I36" s="202">
        <f t="shared" si="20"/>
        <v>0.38900000000001</v>
      </c>
      <c r="J36" s="201">
        <v>91.978999999999999</v>
      </c>
      <c r="K36" s="199">
        <v>44327</v>
      </c>
      <c r="L36" s="201">
        <v>85.134</v>
      </c>
      <c r="M36" s="203">
        <f t="shared" si="21"/>
        <v>-0.10199999999999999</v>
      </c>
      <c r="N36" s="204">
        <f t="shared" si="22"/>
        <v>-0.26</v>
      </c>
      <c r="O36" s="205">
        <f t="shared" si="23"/>
        <v>0</v>
      </c>
      <c r="P36" s="206">
        <f t="shared" si="24"/>
        <v>0</v>
      </c>
      <c r="Q36" s="206">
        <f t="shared" si="25"/>
        <v>-0.26</v>
      </c>
      <c r="R3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98370</v>
      </c>
      <c r="T3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6" s="208">
        <f ca="1">IF(Tabla336106734813[[#This Row],[Equity]]&lt;Tabla336106734813[[#This Row],[Equity Peak]],(Tabla336106734813[[#This Row],[Equity Peak]]-Tabla336106734813[[#This Row],[Equity]])/Tabla336106734813[[#This Row],[Equity Peak]],"")</f>
        <v>4.2907180385288964E-2</v>
      </c>
      <c r="V36" s="209">
        <f t="shared" si="26"/>
        <v>-0.26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3.1666666666642413</v>
      </c>
      <c r="AE36" s="210">
        <f t="shared" si="35"/>
        <v>0</v>
      </c>
      <c r="AF36" s="210">
        <f t="shared" si="36"/>
        <v>3.1666666666642413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19"/>
        <v>C</v>
      </c>
      <c r="E37" s="199">
        <v>44312.833333333336</v>
      </c>
      <c r="F37" s="200" t="s">
        <v>123</v>
      </c>
      <c r="G37" s="201">
        <v>84.352000000000004</v>
      </c>
      <c r="H37" s="201">
        <v>83.891999999999996</v>
      </c>
      <c r="I37" s="202">
        <f t="shared" si="20"/>
        <v>0.46000000000000796</v>
      </c>
      <c r="J37" s="201">
        <v>92.316999999999993</v>
      </c>
      <c r="K37" s="199">
        <v>44316.756249999999</v>
      </c>
      <c r="L37" s="201">
        <v>84.293999999999997</v>
      </c>
      <c r="M37" s="203">
        <f t="shared" si="21"/>
        <v>-5.8000000000000003E-2</v>
      </c>
      <c r="N37" s="204">
        <f t="shared" si="22"/>
        <v>-0.13</v>
      </c>
      <c r="O37" s="205">
        <f t="shared" si="23"/>
        <v>0</v>
      </c>
      <c r="P37" s="206">
        <f t="shared" si="24"/>
        <v>0</v>
      </c>
      <c r="Q37" s="206">
        <f t="shared" si="25"/>
        <v>-0.13</v>
      </c>
      <c r="R3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98630</v>
      </c>
      <c r="T3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7" s="208">
        <f ca="1">IF(Tabla336106734813[[#This Row],[Equity]]&lt;Tabla336106734813[[#This Row],[Equity Peak]],(Tabla336106734813[[#This Row],[Equity Peak]]-Tabla336106734813[[#This Row],[Equity]])/Tabla336106734813[[#This Row],[Equity Peak]],"")</f>
        <v>4.0377505351235646E-2</v>
      </c>
      <c r="V37" s="209">
        <f t="shared" si="26"/>
        <v>-0.13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3.9229166666627862</v>
      </c>
      <c r="AE37" s="210">
        <f t="shared" si="35"/>
        <v>0</v>
      </c>
      <c r="AF37" s="210">
        <f t="shared" si="36"/>
        <v>3.9229166666627862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13</v>
      </c>
      <c r="D38" s="198" t="str">
        <f t="shared" si="19"/>
        <v>C</v>
      </c>
      <c r="E38" s="199">
        <v>44307.333333333336</v>
      </c>
      <c r="F38" s="200" t="s">
        <v>123</v>
      </c>
      <c r="G38" s="201">
        <v>83.311000000000007</v>
      </c>
      <c r="H38" s="201">
        <v>83.795000000000002</v>
      </c>
      <c r="I38" s="202">
        <f t="shared" si="20"/>
        <v>0.48399999999999466</v>
      </c>
      <c r="J38" s="201">
        <v>74.924000000000007</v>
      </c>
      <c r="K38" s="199">
        <v>44307.742361111108</v>
      </c>
      <c r="L38" s="201">
        <v>83.795000000000002</v>
      </c>
      <c r="M38" s="203">
        <f t="shared" si="21"/>
        <v>-0.48399999999999999</v>
      </c>
      <c r="N38" s="204">
        <f t="shared" si="22"/>
        <v>-1</v>
      </c>
      <c r="O38" s="205">
        <f t="shared" si="23"/>
        <v>0</v>
      </c>
      <c r="P38" s="206">
        <f t="shared" si="24"/>
        <v>0</v>
      </c>
      <c r="Q38" s="206">
        <f t="shared" si="25"/>
        <v>-1</v>
      </c>
      <c r="R3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98760</v>
      </c>
      <c r="T3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8" s="208">
        <f ca="1">IF(Tabla336106734813[[#This Row],[Equity]]&lt;Tabla336106734813[[#This Row],[Equity Peak]],(Tabla336106734813[[#This Row],[Equity Peak]]-Tabla336106734813[[#This Row],[Equity]])/Tabla336106734813[[#This Row],[Equity Peak]],"")</f>
        <v>3.911266783420899E-2</v>
      </c>
      <c r="V38" s="209">
        <f t="shared" si="26"/>
        <v>-1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0.40902777777228039</v>
      </c>
      <c r="AE38" s="210">
        <f t="shared" si="35"/>
        <v>0</v>
      </c>
      <c r="AF38" s="210">
        <f t="shared" si="36"/>
        <v>0.40902777777228039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19"/>
        <v>C</v>
      </c>
      <c r="E39" s="199">
        <v>44301.166666666664</v>
      </c>
      <c r="F39" s="200" t="s">
        <v>123</v>
      </c>
      <c r="G39" s="201">
        <v>84.263000000000005</v>
      </c>
      <c r="H39" s="201">
        <v>83.873000000000005</v>
      </c>
      <c r="I39" s="202">
        <f t="shared" si="20"/>
        <v>0.39000000000000057</v>
      </c>
      <c r="J39" s="201">
        <v>91.025000000000006</v>
      </c>
      <c r="K39" s="199">
        <v>44305.120833333334</v>
      </c>
      <c r="L39" s="201">
        <v>83.873000000000005</v>
      </c>
      <c r="M39" s="203">
        <f t="shared" si="21"/>
        <v>-0.39</v>
      </c>
      <c r="N39" s="204">
        <f t="shared" si="22"/>
        <v>-1</v>
      </c>
      <c r="O39" s="205">
        <f t="shared" si="23"/>
        <v>0</v>
      </c>
      <c r="P39" s="206">
        <f t="shared" si="24"/>
        <v>0</v>
      </c>
      <c r="Q39" s="206">
        <f t="shared" si="25"/>
        <v>-1</v>
      </c>
      <c r="R3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99760</v>
      </c>
      <c r="T3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39" s="208">
        <f ca="1">IF(Tabla336106734813[[#This Row],[Equity]]&lt;Tabla336106734813[[#This Row],[Equity Peak]],(Tabla336106734813[[#This Row],[Equity Peak]]-Tabla336106734813[[#This Row],[Equity]])/Tabla336106734813[[#This Row],[Equity Peak]],"")</f>
        <v>2.938314847246546E-2</v>
      </c>
      <c r="V39" s="209">
        <f t="shared" si="26"/>
        <v>-1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3.9541666666700621</v>
      </c>
      <c r="AE39" s="210">
        <f t="shared" si="35"/>
        <v>0</v>
      </c>
      <c r="AF39" s="210">
        <f t="shared" si="36"/>
        <v>3.9541666666700621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19"/>
        <v>C</v>
      </c>
      <c r="E40" s="199">
        <v>44294.166666666664</v>
      </c>
      <c r="F40" s="200" t="s">
        <v>123</v>
      </c>
      <c r="G40" s="201">
        <v>83.561999999999998</v>
      </c>
      <c r="H40" s="201">
        <v>83.954999999999998</v>
      </c>
      <c r="I40" s="202">
        <f t="shared" si="20"/>
        <v>0.39300000000000068</v>
      </c>
      <c r="J40" s="201">
        <v>76.748000000000005</v>
      </c>
      <c r="K40" s="199">
        <v>44300.42291666667</v>
      </c>
      <c r="L40" s="201">
        <v>83.671000000000006</v>
      </c>
      <c r="M40" s="203">
        <f t="shared" si="21"/>
        <v>-0.109</v>
      </c>
      <c r="N40" s="204">
        <f t="shared" si="22"/>
        <v>-0.28000000000000003</v>
      </c>
      <c r="O40" s="205">
        <f t="shared" si="23"/>
        <v>0</v>
      </c>
      <c r="P40" s="206">
        <f t="shared" si="24"/>
        <v>0</v>
      </c>
      <c r="Q40" s="206">
        <f t="shared" si="25"/>
        <v>-0.28000000000000003</v>
      </c>
      <c r="R4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100760</v>
      </c>
      <c r="T4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40" s="208">
        <f ca="1">IF(Tabla336106734813[[#This Row],[Equity]]&lt;Tabla336106734813[[#This Row],[Equity Peak]],(Tabla336106734813[[#This Row],[Equity Peak]]-Tabla336106734813[[#This Row],[Equity]])/Tabla336106734813[[#This Row],[Equity Peak]],"")</f>
        <v>1.965362911072193E-2</v>
      </c>
      <c r="V40" s="209">
        <f t="shared" si="26"/>
        <v>-0.28000000000000003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6.2562500000058208</v>
      </c>
      <c r="AE40" s="210">
        <f t="shared" si="35"/>
        <v>0</v>
      </c>
      <c r="AF40" s="210">
        <f t="shared" si="36"/>
        <v>6.2562500000058208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15</v>
      </c>
      <c r="D41" s="198" t="str">
        <f t="shared" si="19"/>
        <v>C</v>
      </c>
      <c r="E41" s="199">
        <v>44285.017361111109</v>
      </c>
      <c r="F41" s="200" t="s">
        <v>123</v>
      </c>
      <c r="G41" s="201">
        <v>83.808000000000007</v>
      </c>
      <c r="H41" s="201">
        <v>83.369</v>
      </c>
      <c r="I41" s="202">
        <f t="shared" si="20"/>
        <v>0.43900000000000716</v>
      </c>
      <c r="J41" s="201">
        <v>91.42</v>
      </c>
      <c r="K41" s="199">
        <v>44287.32916666667</v>
      </c>
      <c r="L41" s="201">
        <v>83.53</v>
      </c>
      <c r="M41" s="203">
        <f t="shared" si="21"/>
        <v>-0.27800000000000002</v>
      </c>
      <c r="N41" s="204">
        <f t="shared" si="22"/>
        <v>-0.63</v>
      </c>
      <c r="O41" s="205">
        <f t="shared" si="23"/>
        <v>0</v>
      </c>
      <c r="P41" s="206">
        <f t="shared" si="24"/>
        <v>0</v>
      </c>
      <c r="Q41" s="206">
        <f t="shared" si="25"/>
        <v>-0.63</v>
      </c>
      <c r="R4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101040</v>
      </c>
      <c r="T4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41" s="208">
        <f ca="1">IF(Tabla336106734813[[#This Row],[Equity]]&lt;Tabla336106734813[[#This Row],[Equity Peak]],(Tabla336106734813[[#This Row],[Equity Peak]]-Tabla336106734813[[#This Row],[Equity]])/Tabla336106734813[[#This Row],[Equity Peak]],"")</f>
        <v>1.6929363689433742E-2</v>
      </c>
      <c r="V41" s="209">
        <f t="shared" si="26"/>
        <v>-0.63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2.3118055555605679</v>
      </c>
      <c r="AE41" s="210">
        <f t="shared" si="35"/>
        <v>0</v>
      </c>
      <c r="AF41" s="210">
        <f t="shared" si="36"/>
        <v>2.3118055555605679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19"/>
        <v>C</v>
      </c>
      <c r="E42" s="199">
        <v>44278.833333333336</v>
      </c>
      <c r="F42" s="200" t="s">
        <v>123</v>
      </c>
      <c r="G42" s="201">
        <v>83.296999999999997</v>
      </c>
      <c r="H42" s="201">
        <v>83.77</v>
      </c>
      <c r="I42" s="202">
        <f t="shared" si="20"/>
        <v>0.47299999999999898</v>
      </c>
      <c r="J42" s="201">
        <v>75.102999999999994</v>
      </c>
      <c r="K42" s="199">
        <v>44281.45416666667</v>
      </c>
      <c r="L42" s="201">
        <v>83.35</v>
      </c>
      <c r="M42" s="203">
        <f t="shared" si="21"/>
        <v>-5.2999999999999999E-2</v>
      </c>
      <c r="N42" s="204">
        <f t="shared" si="22"/>
        <v>-0.11</v>
      </c>
      <c r="O42" s="205">
        <f t="shared" si="23"/>
        <v>0</v>
      </c>
      <c r="P42" s="206">
        <f t="shared" si="24"/>
        <v>0</v>
      </c>
      <c r="Q42" s="206">
        <f t="shared" si="25"/>
        <v>-0.11</v>
      </c>
      <c r="R4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101670</v>
      </c>
      <c r="T4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42" s="208">
        <f ca="1">IF(Tabla336106734813[[#This Row],[Equity]]&lt;Tabla336106734813[[#This Row],[Equity Peak]],(Tabla336106734813[[#This Row],[Equity Peak]]-Tabla336106734813[[#This Row],[Equity]])/Tabla336106734813[[#This Row],[Equity Peak]],"")</f>
        <v>1.0799766491535318E-2</v>
      </c>
      <c r="V42" s="209">
        <f t="shared" si="26"/>
        <v>-0.11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2.6208333333343035</v>
      </c>
      <c r="AE42" s="210">
        <f t="shared" si="35"/>
        <v>0</v>
      </c>
      <c r="AF42" s="210">
        <f t="shared" si="36"/>
        <v>2.6208333333343035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15</v>
      </c>
      <c r="D43" s="198" t="str">
        <f t="shared" si="19"/>
        <v>C</v>
      </c>
      <c r="E43" s="199">
        <v>44273.166666666664</v>
      </c>
      <c r="F43" s="200" t="s">
        <v>123</v>
      </c>
      <c r="G43" s="201">
        <v>85.290999999999997</v>
      </c>
      <c r="H43" s="201">
        <v>84.872</v>
      </c>
      <c r="I43" s="202">
        <f t="shared" si="20"/>
        <v>0.41899999999999693</v>
      </c>
      <c r="J43" s="201">
        <v>92.561999999999998</v>
      </c>
      <c r="K43" s="199">
        <v>44273.650694444441</v>
      </c>
      <c r="L43" s="201">
        <v>84.872</v>
      </c>
      <c r="M43" s="203">
        <f t="shared" si="21"/>
        <v>-0.41899999999999998</v>
      </c>
      <c r="N43" s="204">
        <f t="shared" si="22"/>
        <v>-1</v>
      </c>
      <c r="O43" s="205">
        <f t="shared" si="23"/>
        <v>0</v>
      </c>
      <c r="P43" s="206">
        <f t="shared" si="24"/>
        <v>0</v>
      </c>
      <c r="Q43" s="206">
        <f t="shared" si="25"/>
        <v>-1</v>
      </c>
      <c r="R4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101780</v>
      </c>
      <c r="T4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43" s="208">
        <f ca="1">IF(Tabla336106734813[[#This Row],[Equity]]&lt;Tabla336106734813[[#This Row],[Equity Peak]],(Tabla336106734813[[#This Row],[Equity Peak]]-Tabla336106734813[[#This Row],[Equity]])/Tabla336106734813[[#This Row],[Equity Peak]],"")</f>
        <v>9.7295193617435299E-3</v>
      </c>
      <c r="V43" s="209">
        <f t="shared" si="26"/>
        <v>-1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0.48402777777664596</v>
      </c>
      <c r="AE43" s="210">
        <f t="shared" si="35"/>
        <v>0</v>
      </c>
      <c r="AF43" s="210">
        <f t="shared" si="36"/>
        <v>0.48402777777664596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19"/>
        <v>C</v>
      </c>
      <c r="E44" s="199">
        <v>44230.666666666664</v>
      </c>
      <c r="F44" s="200" t="s">
        <v>123</v>
      </c>
      <c r="G44" s="201">
        <v>80.009</v>
      </c>
      <c r="H44" s="201">
        <v>79.64</v>
      </c>
      <c r="I44" s="202">
        <f t="shared" si="20"/>
        <v>0.36899999999999977</v>
      </c>
      <c r="J44" s="201">
        <v>86.406999999999996</v>
      </c>
      <c r="K44" s="199">
        <v>44244.688194444447</v>
      </c>
      <c r="L44" s="201">
        <v>81.781000000000006</v>
      </c>
      <c r="M44" s="203">
        <f t="shared" si="21"/>
        <v>1.772</v>
      </c>
      <c r="N44" s="204">
        <f t="shared" si="22"/>
        <v>4.8</v>
      </c>
      <c r="O44" s="205">
        <f t="shared" si="23"/>
        <v>0</v>
      </c>
      <c r="P44" s="206">
        <f t="shared" si="24"/>
        <v>4.8</v>
      </c>
      <c r="Q44" s="206">
        <f t="shared" si="25"/>
        <v>0</v>
      </c>
      <c r="R4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102780</v>
      </c>
      <c r="T4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102780</v>
      </c>
      <c r="U44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44" s="209">
        <f t="shared" si="26"/>
        <v>4.8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14.021527777782467</v>
      </c>
      <c r="AE44" s="210">
        <f t="shared" si="35"/>
        <v>14.021527777782467</v>
      </c>
      <c r="AF44" s="210">
        <f t="shared" si="36"/>
        <v>0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13</v>
      </c>
      <c r="D45" s="198" t="str">
        <f t="shared" si="19"/>
        <v>C</v>
      </c>
      <c r="E45" s="199">
        <v>44229.833333333336</v>
      </c>
      <c r="F45" s="200" t="s">
        <v>123</v>
      </c>
      <c r="G45" s="201">
        <v>79.716999999999999</v>
      </c>
      <c r="H45" s="201">
        <v>80.186999999999998</v>
      </c>
      <c r="I45" s="202">
        <f t="shared" si="20"/>
        <v>0.46999999999999886</v>
      </c>
      <c r="J45" s="201">
        <v>71.566000000000003</v>
      </c>
      <c r="K45" s="199">
        <v>44230.666666666664</v>
      </c>
      <c r="L45" s="201">
        <v>80.009</v>
      </c>
      <c r="M45" s="203">
        <f t="shared" si="21"/>
        <v>-0.29199999999999998</v>
      </c>
      <c r="N45" s="204">
        <f t="shared" si="22"/>
        <v>-0.62</v>
      </c>
      <c r="O45" s="205">
        <f t="shared" si="23"/>
        <v>0</v>
      </c>
      <c r="P45" s="206">
        <f t="shared" si="24"/>
        <v>0</v>
      </c>
      <c r="Q45" s="206">
        <f t="shared" si="25"/>
        <v>-0.62</v>
      </c>
      <c r="R4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97980</v>
      </c>
      <c r="T4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100600</v>
      </c>
      <c r="U45" s="208">
        <f ca="1">IF(Tabla336106734813[[#This Row],[Equity]]&lt;Tabla336106734813[[#This Row],[Equity Peak]],(Tabla336106734813[[#This Row],[Equity Peak]]-Tabla336106734813[[#This Row],[Equity]])/Tabla336106734813[[#This Row],[Equity Peak]],"")</f>
        <v>2.6043737574552684E-2</v>
      </c>
      <c r="V45" s="209">
        <f t="shared" si="26"/>
        <v>-0.62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0.83333333332848269</v>
      </c>
      <c r="AE45" s="210">
        <f t="shared" si="35"/>
        <v>0</v>
      </c>
      <c r="AF45" s="210">
        <f t="shared" si="36"/>
        <v>0.83333333332848269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19"/>
        <v>C</v>
      </c>
      <c r="E46" s="199">
        <v>44225.5</v>
      </c>
      <c r="F46" s="200" t="s">
        <v>123</v>
      </c>
      <c r="G46" s="201">
        <v>80.179000000000002</v>
      </c>
      <c r="H46" s="201">
        <v>79.683999999999997</v>
      </c>
      <c r="I46" s="202">
        <f t="shared" si="20"/>
        <v>0.49500000000000455</v>
      </c>
      <c r="J46" s="201">
        <v>88.759</v>
      </c>
      <c r="K46" s="199">
        <v>44229.700694444444</v>
      </c>
      <c r="L46" s="201">
        <v>79.683999999999997</v>
      </c>
      <c r="M46" s="203">
        <f t="shared" si="21"/>
        <v>-0.495</v>
      </c>
      <c r="N46" s="204">
        <f t="shared" si="22"/>
        <v>-1</v>
      </c>
      <c r="O46" s="205">
        <f t="shared" si="23"/>
        <v>0</v>
      </c>
      <c r="P46" s="206">
        <f t="shared" si="24"/>
        <v>0</v>
      </c>
      <c r="Q46" s="206">
        <f t="shared" si="25"/>
        <v>-1</v>
      </c>
      <c r="R4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98600</v>
      </c>
      <c r="T4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100600</v>
      </c>
      <c r="U46" s="208">
        <f ca="1">IF(Tabla336106734813[[#This Row],[Equity]]&lt;Tabla336106734813[[#This Row],[Equity Peak]],(Tabla336106734813[[#This Row],[Equity Peak]]-Tabla336106734813[[#This Row],[Equity]])/Tabla336106734813[[#This Row],[Equity Peak]],"")</f>
        <v>1.9880715705765408E-2</v>
      </c>
      <c r="V46" s="209">
        <f t="shared" si="26"/>
        <v>-1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4.2006944444437977</v>
      </c>
      <c r="AE46" s="210">
        <f t="shared" si="35"/>
        <v>0</v>
      </c>
      <c r="AF46" s="210">
        <f t="shared" si="36"/>
        <v>4.2006944444437977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44224.333333333336</v>
      </c>
      <c r="F47" s="200" t="s">
        <v>123</v>
      </c>
      <c r="G47" s="201">
        <v>79.600999999999999</v>
      </c>
      <c r="H47" s="201">
        <v>80.043999999999997</v>
      </c>
      <c r="I47" s="202">
        <f t="shared" si="20"/>
        <v>0.44299999999999784</v>
      </c>
      <c r="J47" s="201">
        <v>71.927000000000007</v>
      </c>
      <c r="K47" s="199">
        <v>44224.714583333334</v>
      </c>
      <c r="L47" s="201">
        <v>80.043999999999997</v>
      </c>
      <c r="M47" s="203">
        <f t="shared" si="21"/>
        <v>-0.443</v>
      </c>
      <c r="N47" s="204">
        <f t="shared" si="22"/>
        <v>-1</v>
      </c>
      <c r="O47" s="205">
        <f t="shared" si="23"/>
        <v>0</v>
      </c>
      <c r="P47" s="206">
        <f t="shared" si="24"/>
        <v>0</v>
      </c>
      <c r="Q47" s="206">
        <f t="shared" si="25"/>
        <v>-1</v>
      </c>
      <c r="R4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99600</v>
      </c>
      <c r="T4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100600</v>
      </c>
      <c r="U47" s="208">
        <f ca="1">IF(Tabla336106734813[[#This Row],[Equity]]&lt;Tabla336106734813[[#This Row],[Equity Peak]],(Tabla336106734813[[#This Row],[Equity Peak]]-Tabla336106734813[[#This Row],[Equity]])/Tabla336106734813[[#This Row],[Equity Peak]],"")</f>
        <v>9.9403578528827041E-3</v>
      </c>
      <c r="V47" s="209">
        <f t="shared" si="26"/>
        <v>-1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0.38124999999854481</v>
      </c>
      <c r="AE47" s="210">
        <f t="shared" si="35"/>
        <v>0</v>
      </c>
      <c r="AF47" s="210">
        <f t="shared" si="36"/>
        <v>0.38124999999854481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15</v>
      </c>
      <c r="D48" s="198" t="str">
        <f t="shared" si="19"/>
        <v>C</v>
      </c>
      <c r="E48" s="199">
        <v>44194.666666666664</v>
      </c>
      <c r="F48" s="200" t="s">
        <v>123</v>
      </c>
      <c r="G48" s="201">
        <v>78.92</v>
      </c>
      <c r="H48" s="201">
        <v>78.629000000000005</v>
      </c>
      <c r="I48" s="202">
        <f t="shared" si="20"/>
        <v>0.29099999999999682</v>
      </c>
      <c r="J48" s="201">
        <v>83.956999999999994</v>
      </c>
      <c r="K48" s="199">
        <v>44200.78402777778</v>
      </c>
      <c r="L48" s="201">
        <v>79.094999999999999</v>
      </c>
      <c r="M48" s="203">
        <f t="shared" si="21"/>
        <v>0.17499999999999999</v>
      </c>
      <c r="N48" s="204">
        <f t="shared" si="22"/>
        <v>0.6</v>
      </c>
      <c r="O48" s="205">
        <f t="shared" si="23"/>
        <v>0</v>
      </c>
      <c r="P48" s="206">
        <f t="shared" si="24"/>
        <v>0.6</v>
      </c>
      <c r="Q48" s="206">
        <f t="shared" si="25"/>
        <v>0</v>
      </c>
      <c r="R4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100600</v>
      </c>
      <c r="T4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100600</v>
      </c>
      <c r="U48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48" s="209">
        <f t="shared" si="26"/>
        <v>0.6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6.117361111115315</v>
      </c>
      <c r="AE48" s="210">
        <f t="shared" si="35"/>
        <v>6.117361111115315</v>
      </c>
      <c r="AF48" s="210">
        <f t="shared" si="36"/>
        <v>0</v>
      </c>
      <c r="AG48" s="210">
        <f t="shared" si="37"/>
        <v>0</v>
      </c>
    </row>
  </sheetData>
  <sheetProtection algorithmName="SHA-512" hashValue="cee8VuKtjkOyJo64jyE8SRATv1JB5AwGkIsWhxP2nQZoQS/U9StLCEnp2SLatCTMPeGun0NegnFsaa3nnXr6aw==" saltValue="s1r1ppIcXG9beXDk1bVV9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81" priority="3" operator="equal">
      <formula>"OK"</formula>
    </cfRule>
    <cfRule type="cellIs" dxfId="880" priority="4" operator="equal">
      <formula>"warning"</formula>
    </cfRule>
  </conditionalFormatting>
  <conditionalFormatting sqref="F13">
    <cfRule type="cellIs" dxfId="879" priority="1" operator="equal">
      <formula>"OK"</formula>
    </cfRule>
    <cfRule type="cellIs" dxfId="878" priority="2" operator="equal">
      <formula>"Error!!"</formula>
    </cfRule>
  </conditionalFormatting>
  <conditionalFormatting sqref="E15:H15 K15:L15">
    <cfRule type="expression" dxfId="877" priority="5">
      <formula>+$D15=#REF!</formula>
    </cfRule>
    <cfRule type="expression" dxfId="876" priority="6">
      <formula>+$D15=#REF!</formula>
    </cfRule>
  </conditionalFormatting>
  <conditionalFormatting sqref="D15 K16:L16 D16:H48 J17:L48">
    <cfRule type="expression" dxfId="875" priority="7">
      <formula>+$D15=$AG$8</formula>
    </cfRule>
    <cfRule type="expression" dxfId="87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7D89FDE9-D6F4-4FED-AA46-ED6BBE361F00}">
      <formula1>$AE$4:$AE$6</formula1>
    </dataValidation>
    <dataValidation type="list" allowBlank="1" showInputMessage="1" showErrorMessage="1" promptTitle="Trade Direction" prompt="Select from List" sqref="C15:C16" xr:uid="{871ECBE0-F8AD-4A79-A198-BC9249EE08B7}">
      <formula1>$AG$4:$AG$5</formula1>
    </dataValidation>
    <dataValidation type="list" allowBlank="1" showInputMessage="1" showErrorMessage="1" promptTitle="Instrument Type" prompt="Select Type from List_x000a_" sqref="B17:B48" xr:uid="{8E25A041-CA46-4B08-ACC3-25C93055E8C8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C866-66B2-4A9E-A865-F2B54EB4A014}">
  <sheetPr codeName="Hoja20">
    <pageSetUpPr fitToPage="1"/>
  </sheetPr>
  <dimension ref="A1:AX3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COUNTA(Tabla336106734814[Inst])</f>
        <v>21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3.5599999999999987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3.5599999999999987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COUNTIF(Tabla336106734814[No. of Rs],"&gt;0")</f>
        <v>3</v>
      </c>
      <c r="G7" s="24">
        <f>IFERROR((F7/$F$6),"")</f>
        <v>0.14285714285714285</v>
      </c>
      <c r="H7" s="78">
        <f>IFERROR((+P13/F7),"")</f>
        <v>5.3266666666666671</v>
      </c>
      <c r="I7" s="227">
        <f>H7/H9</f>
        <v>7.2909286097691908</v>
      </c>
      <c r="J7" s="227">
        <f>AVERAGE(Tabla336106734814[No. of Rs])</f>
        <v>0.16952380952380947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COUNTIF(Tabla336106734814[No. of Rs],"=0")</f>
        <v>1</v>
      </c>
      <c r="G8" s="24">
        <f>IFERROR((F8/$F$6),"")</f>
        <v>4.7619047619047616E-2</v>
      </c>
      <c r="H8" s="78"/>
      <c r="I8" s="228"/>
      <c r="J8" s="228"/>
      <c r="K8" s="163"/>
      <c r="L8" s="212" t="s">
        <v>112</v>
      </c>
      <c r="M8" s="213"/>
      <c r="N8" s="195">
        <f ca="1">OFFSET(Tabla336106734814[[#Headers],[Equity]],1,0)</f>
        <v>103560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COUNTIF(Tabla336106734814[No. of Rs],"&lt;0")</f>
        <v>17</v>
      </c>
      <c r="G9" s="32">
        <f>IFERROR((F9/$F$6),"")</f>
        <v>0.80952380952380953</v>
      </c>
      <c r="H9" s="79">
        <f>IFERROR((-Q13/F9),"")</f>
        <v>0.73058823529411754</v>
      </c>
      <c r="I9" s="229"/>
      <c r="J9" s="229"/>
      <c r="K9" s="149"/>
      <c r="L9" s="230" t="s">
        <v>106</v>
      </c>
      <c r="M9" s="231"/>
      <c r="N9" s="125">
        <f ca="1">MAX(Tabla336106734814[Drawdown])</f>
        <v>5.6651198762567676E-2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OFFSET(Tabla336106734814[[#Headers],[Drawdown]],1,0)</f>
        <v>1.9132411441560901E-2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IF(COUNTIFS(Tabla336106734814[O/C],"O")&lt;1,"None",COUNTIFS(Tabla336106734814[O/C],"O"))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SUM(Tabla336106734814[No. of Rs])</f>
        <v>3.5599999999999987</v>
      </c>
      <c r="O13" s="42">
        <f>SUM(Tabla336106734814[Heat])</f>
        <v>0</v>
      </c>
      <c r="P13" s="43">
        <f>SUM(Tabla336106734814[[ TR WIN]])</f>
        <v>15.98</v>
      </c>
      <c r="Q13" s="43">
        <f>SUM(Tabla336106734814[[ TR LOSS]])</f>
        <v>-12.419999999999998</v>
      </c>
      <c r="R13" s="114"/>
      <c r="S13" s="115"/>
      <c r="T13" s="115"/>
      <c r="U13" s="121"/>
      <c r="V13" s="44">
        <f>SUM(Tabla336106734814[Currency])</f>
        <v>3.5599999999999987</v>
      </c>
      <c r="W13" s="44">
        <f>SUM(Tabla336106734814[Heat3])</f>
        <v>0</v>
      </c>
      <c r="X13" s="44">
        <f>SUM(Tabla336106734814[Commodities])</f>
        <v>0</v>
      </c>
      <c r="Y13" s="44">
        <f>SUM(Tabla336106734814[Heat4])</f>
        <v>0</v>
      </c>
      <c r="Z13" s="44">
        <f>SUM(Tabla336106734814[Index])</f>
        <v>0</v>
      </c>
      <c r="AA13" s="44">
        <f>SUM(Tabla336106734814[Heat5])</f>
        <v>0</v>
      </c>
      <c r="AB13" s="44">
        <f>SUM(Tabla336106734814[Cryptocurrency])</f>
        <v>0</v>
      </c>
      <c r="AC13" s="44">
        <f>SUM(Tabla336106734814[Heat6])</f>
        <v>0</v>
      </c>
      <c r="AD13" s="75">
        <f>AVERAGEIF(Tabla336106734814[Length of 
Trade],"&lt;&gt;0")</f>
        <v>5.3660714285717752</v>
      </c>
      <c r="AE13" s="75">
        <f>AVERAGEIF(Tabla336106734814[Win],"&lt;&gt;0")</f>
        <v>8.3379629629635019</v>
      </c>
      <c r="AF13" s="75">
        <f>AVERAGEIF(Tabla336106734814[Loss],"&lt;&gt;0")</f>
        <v>4.7616830065363658</v>
      </c>
      <c r="AG13" s="76">
        <f>AVERAGEIF(Tabla336106734814[Breakeven],"&lt;&gt;0")</f>
        <v>6.7249999999985448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4" si="0">IF(E17&lt;&gt;"",IF(K17&lt;&gt;"","C","O"),"")</f>
        <v>C</v>
      </c>
      <c r="E17" s="199">
        <v>44550.666666666664</v>
      </c>
      <c r="F17" s="200" t="s">
        <v>122</v>
      </c>
      <c r="G17" s="201">
        <v>0.71179000000000003</v>
      </c>
      <c r="H17" s="201">
        <v>0.71575</v>
      </c>
      <c r="I17" s="202">
        <f t="shared" ref="I17:I34" si="1">ABS(G17-H17)</f>
        <v>3.9599999999999635E-3</v>
      </c>
      <c r="J17" s="201">
        <v>0.69064999999999999</v>
      </c>
      <c r="K17" s="199">
        <v>44552.504861111112</v>
      </c>
      <c r="L17" s="201">
        <v>0.71575</v>
      </c>
      <c r="M17" s="203">
        <f t="shared" ref="M17:M34" si="2">ROUND(IF(C17="L",(L17-G17),(G17-L17)),4)</f>
        <v>-4.0000000000000001E-3</v>
      </c>
      <c r="N17" s="204">
        <f t="shared" ref="N17:N34" si="3">IFERROR(ROUND((M17/I17),2),"")</f>
        <v>-1.01</v>
      </c>
      <c r="O17" s="205">
        <f t="shared" ref="O17:O34" si="4">IF(D17="O",IF(N17&lt;0,N17,0),0)</f>
        <v>0</v>
      </c>
      <c r="P17" s="206">
        <f t="shared" ref="P17:P34" si="5">IF(N17&gt;= 0,N17,0)</f>
        <v>0</v>
      </c>
      <c r="Q17" s="206">
        <f t="shared" ref="Q17:Q34" si="6">IF(N17&lt;0,N17,0)</f>
        <v>-1.01</v>
      </c>
      <c r="R1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103560</v>
      </c>
      <c r="T1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105580</v>
      </c>
      <c r="U17" s="208">
        <f ca="1">IF(Tabla336106734814[[#This Row],[Equity]]&lt;Tabla336106734814[[#This Row],[Equity Peak]],(Tabla336106734814[[#This Row],[Equity Peak]]-Tabla336106734814[[#This Row],[Equity]])/Tabla336106734814[[#This Row],[Equity Peak]],"")</f>
        <v>1.9132411441560901E-2</v>
      </c>
      <c r="V17" s="209">
        <f t="shared" ref="V17:V34" si="7">IF(B17="FX",N17,0)</f>
        <v>-1.01</v>
      </c>
      <c r="W17" s="209">
        <f t="shared" ref="W17:W34" si="8">IF(D17="O",IF(V17&lt;0,V17,0),0)</f>
        <v>0</v>
      </c>
      <c r="X17" s="209">
        <f t="shared" ref="X17:X34" si="9">IF(B17="COM",N17,0)</f>
        <v>0</v>
      </c>
      <c r="Y17" s="209">
        <f t="shared" ref="Y17:Y34" si="10">IF(D17="O",IF(X17&lt;0,X17,0),0)</f>
        <v>0</v>
      </c>
      <c r="Z17" s="209">
        <f t="shared" ref="Z17:Z34" si="11">IF(B17="IND",N17,0)</f>
        <v>0</v>
      </c>
      <c r="AA17" s="205">
        <f t="shared" ref="AA17:AA34" si="12">IF(D17="O",IF(Z17&lt;0,Z17,0),0)</f>
        <v>0</v>
      </c>
      <c r="AB17" s="209">
        <f t="shared" ref="AB17:AB34" si="13">IF(B17="CRYPTO",N17,0)</f>
        <v>0</v>
      </c>
      <c r="AC17" s="205">
        <f t="shared" ref="AC17:AC34" si="14">IF(D17="O",IF(AB17&lt;0,AB17,0),0)</f>
        <v>0</v>
      </c>
      <c r="AD17" s="210">
        <f t="shared" ref="AD17:AD34" si="15">IF(K17&lt;&gt;"",K17-E17,0)</f>
        <v>1.8381944444481633</v>
      </c>
      <c r="AE17" s="210">
        <f t="shared" ref="AE17:AE34" si="16">IF(N17&gt;0,AD17,0)</f>
        <v>0</v>
      </c>
      <c r="AF17" s="210">
        <f t="shared" ref="AF17:AF34" si="17">IF(N17&lt;0,AD17,0)</f>
        <v>1.8381944444481633</v>
      </c>
      <c r="AG17" s="210">
        <f t="shared" ref="AG17:AG34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44544.333333333336</v>
      </c>
      <c r="F18" s="200" t="s">
        <v>122</v>
      </c>
      <c r="G18" s="201">
        <v>0.71060000000000001</v>
      </c>
      <c r="H18" s="201">
        <v>0.71406000000000003</v>
      </c>
      <c r="I18" s="202">
        <f t="shared" si="1"/>
        <v>3.4600000000000186E-3</v>
      </c>
      <c r="J18" s="201">
        <v>0.69216999999999995</v>
      </c>
      <c r="K18" s="199">
        <v>44545.62222222222</v>
      </c>
      <c r="L18" s="201">
        <v>0.71406000000000003</v>
      </c>
      <c r="M18" s="203">
        <f t="shared" si="2"/>
        <v>-3.5000000000000001E-3</v>
      </c>
      <c r="N18" s="204">
        <f t="shared" si="3"/>
        <v>-1.01</v>
      </c>
      <c r="O18" s="205">
        <f t="shared" si="4"/>
        <v>0</v>
      </c>
      <c r="P18" s="206">
        <f t="shared" si="5"/>
        <v>0</v>
      </c>
      <c r="Q18" s="206">
        <f t="shared" si="6"/>
        <v>-1.01</v>
      </c>
      <c r="R18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8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104570</v>
      </c>
      <c r="T18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105580</v>
      </c>
      <c r="U18" s="208">
        <f ca="1">IF(Tabla336106734814[[#This Row],[Equity]]&lt;Tabla336106734814[[#This Row],[Equity Peak]],(Tabla336106734814[[#This Row],[Equity Peak]]-Tabla336106734814[[#This Row],[Equity]])/Tabla336106734814[[#This Row],[Equity Peak]],"")</f>
        <v>9.5662057207804504E-3</v>
      </c>
      <c r="V18" s="209">
        <f t="shared" si="7"/>
        <v>-1.01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1.288888888884685</v>
      </c>
      <c r="AE18" s="210">
        <f t="shared" si="16"/>
        <v>0</v>
      </c>
      <c r="AF18" s="210">
        <f t="shared" si="17"/>
        <v>1.288888888884685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44526.166666666664</v>
      </c>
      <c r="F19" s="200" t="s">
        <v>122</v>
      </c>
      <c r="G19" s="201">
        <v>0.71562000000000003</v>
      </c>
      <c r="H19" s="201">
        <v>0.71845999999999999</v>
      </c>
      <c r="I19" s="202">
        <f t="shared" si="1"/>
        <v>2.8399999999999537E-3</v>
      </c>
      <c r="J19" s="201">
        <v>0.70045000000000002</v>
      </c>
      <c r="K19" s="199">
        <v>44533.888888888891</v>
      </c>
      <c r="L19" s="201">
        <v>0.70045000000000002</v>
      </c>
      <c r="M19" s="203">
        <f t="shared" si="2"/>
        <v>1.52E-2</v>
      </c>
      <c r="N19" s="204">
        <f t="shared" si="3"/>
        <v>5.35</v>
      </c>
      <c r="O19" s="205">
        <f t="shared" si="4"/>
        <v>0</v>
      </c>
      <c r="P19" s="206">
        <f t="shared" si="5"/>
        <v>5.35</v>
      </c>
      <c r="Q19" s="206">
        <f t="shared" si="6"/>
        <v>0</v>
      </c>
      <c r="R19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9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105580</v>
      </c>
      <c r="T19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105580</v>
      </c>
      <c r="U19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19" s="209">
        <f t="shared" si="7"/>
        <v>5.35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7.7222222222262644</v>
      </c>
      <c r="AE19" s="210">
        <f t="shared" si="16"/>
        <v>7.7222222222262644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44488.833333333336</v>
      </c>
      <c r="F20" s="200" t="s">
        <v>122</v>
      </c>
      <c r="G20" s="201">
        <v>0.74814000000000003</v>
      </c>
      <c r="H20" s="201">
        <v>0.74461999999999995</v>
      </c>
      <c r="I20" s="202">
        <f t="shared" si="1"/>
        <v>3.5200000000000786E-3</v>
      </c>
      <c r="J20" s="201">
        <v>0.76690999999999998</v>
      </c>
      <c r="K20" s="199">
        <v>44490.86041666667</v>
      </c>
      <c r="L20" s="201">
        <v>0.74639</v>
      </c>
      <c r="M20" s="203">
        <f t="shared" si="2"/>
        <v>-1.8E-3</v>
      </c>
      <c r="N20" s="204">
        <f t="shared" si="3"/>
        <v>-0.51</v>
      </c>
      <c r="O20" s="205">
        <f t="shared" si="4"/>
        <v>0</v>
      </c>
      <c r="P20" s="206">
        <f t="shared" si="5"/>
        <v>0</v>
      </c>
      <c r="Q20" s="206">
        <f t="shared" si="6"/>
        <v>-0.51</v>
      </c>
      <c r="R20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0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100230</v>
      </c>
      <c r="T20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0" s="208">
        <f ca="1">IF(Tabla336106734814[[#This Row],[Equity]]&lt;Tabla336106734814[[#This Row],[Equity Peak]],(Tabla336106734814[[#This Row],[Equity Peak]]-Tabla336106734814[[#This Row],[Equity]])/Tabla336106734814[[#This Row],[Equity Peak]],"")</f>
        <v>3.1032482598607889E-2</v>
      </c>
      <c r="V20" s="209">
        <f t="shared" si="7"/>
        <v>-0.51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2.0270833333343035</v>
      </c>
      <c r="AE20" s="210">
        <f t="shared" si="16"/>
        <v>0</v>
      </c>
      <c r="AF20" s="210">
        <f t="shared" si="17"/>
        <v>2.0270833333343035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44453.833333333336</v>
      </c>
      <c r="F21" s="200" t="s">
        <v>122</v>
      </c>
      <c r="G21" s="201">
        <v>0.73309999999999997</v>
      </c>
      <c r="H21" s="201">
        <v>0.73702999999999996</v>
      </c>
      <c r="I21" s="202">
        <f t="shared" si="1"/>
        <v>3.9299999999999891E-3</v>
      </c>
      <c r="J21" s="201">
        <v>0.71211999999999998</v>
      </c>
      <c r="K21" s="199">
        <v>44477.652083333334</v>
      </c>
      <c r="L21" s="201">
        <v>0.73328000000000004</v>
      </c>
      <c r="M21" s="203">
        <f t="shared" si="2"/>
        <v>-2.0000000000000001E-4</v>
      </c>
      <c r="N21" s="204">
        <f t="shared" si="3"/>
        <v>-0.05</v>
      </c>
      <c r="O21" s="205">
        <f t="shared" si="4"/>
        <v>0</v>
      </c>
      <c r="P21" s="206">
        <f t="shared" si="5"/>
        <v>0</v>
      </c>
      <c r="Q21" s="206">
        <f t="shared" si="6"/>
        <v>-0.05</v>
      </c>
      <c r="R21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1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100740</v>
      </c>
      <c r="T21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1" s="208">
        <f ca="1">IF(Tabla336106734814[[#This Row],[Equity]]&lt;Tabla336106734814[[#This Row],[Equity Peak]],(Tabla336106734814[[#This Row],[Equity Peak]]-Tabla336106734814[[#This Row],[Equity]])/Tabla336106734814[[#This Row],[Equity Peak]],"")</f>
        <v>2.6102088167053363E-2</v>
      </c>
      <c r="V21" s="209">
        <f t="shared" si="7"/>
        <v>-0.05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23.818749999998545</v>
      </c>
      <c r="AE21" s="210">
        <f t="shared" si="16"/>
        <v>0</v>
      </c>
      <c r="AF21" s="210">
        <f t="shared" si="17"/>
        <v>23.818749999998545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44425.833333333336</v>
      </c>
      <c r="F22" s="200" t="s">
        <v>122</v>
      </c>
      <c r="G22" s="201">
        <v>0.72433000000000003</v>
      </c>
      <c r="H22" s="201">
        <v>0.72755000000000003</v>
      </c>
      <c r="I22" s="202">
        <f t="shared" si="1"/>
        <v>3.2200000000000006E-3</v>
      </c>
      <c r="J22" s="201">
        <v>0.70716000000000001</v>
      </c>
      <c r="K22" s="199">
        <v>44432.558333333334</v>
      </c>
      <c r="L22" s="201">
        <v>0.72436</v>
      </c>
      <c r="M22" s="203">
        <f t="shared" si="2"/>
        <v>0</v>
      </c>
      <c r="N22" s="204">
        <f t="shared" si="3"/>
        <v>0</v>
      </c>
      <c r="O22" s="205">
        <f t="shared" si="4"/>
        <v>0</v>
      </c>
      <c r="P22" s="206">
        <f t="shared" si="5"/>
        <v>0</v>
      </c>
      <c r="Q22" s="206">
        <f t="shared" si="6"/>
        <v>0</v>
      </c>
      <c r="R22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2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100790</v>
      </c>
      <c r="T22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2" s="208">
        <f ca="1">IF(Tabla336106734814[[#This Row],[Equity]]&lt;Tabla336106734814[[#This Row],[Equity Peak]],(Tabla336106734814[[#This Row],[Equity Peak]]-Tabla336106734814[[#This Row],[Equity]])/Tabla336106734814[[#This Row],[Equity Peak]],"")</f>
        <v>2.5618716163959783E-2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6.7249999999985448</v>
      </c>
      <c r="AE22" s="210">
        <f t="shared" si="16"/>
        <v>0</v>
      </c>
      <c r="AF22" s="210">
        <f t="shared" si="17"/>
        <v>0</v>
      </c>
      <c r="AG22" s="210">
        <f t="shared" si="18"/>
        <v>6.7249999999985448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44417.166666666664</v>
      </c>
      <c r="F23" s="200" t="s">
        <v>122</v>
      </c>
      <c r="G23" s="201">
        <v>0.73365999999999998</v>
      </c>
      <c r="H23" s="201">
        <v>0.73648999999999998</v>
      </c>
      <c r="I23" s="202">
        <f t="shared" si="1"/>
        <v>2.8299999999999992E-3</v>
      </c>
      <c r="J23" s="201">
        <v>0.71855000000000002</v>
      </c>
      <c r="K23" s="199">
        <v>44419.650694444441</v>
      </c>
      <c r="L23" s="201">
        <v>0.73648999999999998</v>
      </c>
      <c r="M23" s="203">
        <f t="shared" si="2"/>
        <v>-2.8E-3</v>
      </c>
      <c r="N23" s="204">
        <f t="shared" si="3"/>
        <v>-0.99</v>
      </c>
      <c r="O23" s="205">
        <f t="shared" si="4"/>
        <v>0</v>
      </c>
      <c r="P23" s="206">
        <f t="shared" si="5"/>
        <v>0</v>
      </c>
      <c r="Q23" s="206">
        <f t="shared" si="6"/>
        <v>-0.99</v>
      </c>
      <c r="R23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3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100790</v>
      </c>
      <c r="T23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3" s="208">
        <f ca="1">IF(Tabla336106734814[[#This Row],[Equity]]&lt;Tabla336106734814[[#This Row],[Equity Peak]],(Tabla336106734814[[#This Row],[Equity Peak]]-Tabla336106734814[[#This Row],[Equity]])/Tabla336106734814[[#This Row],[Equity Peak]],"")</f>
        <v>2.5618716163959783E-2</v>
      </c>
      <c r="V23" s="209">
        <f t="shared" si="7"/>
        <v>-0.99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2.484027777776646</v>
      </c>
      <c r="AE23" s="210">
        <f t="shared" si="16"/>
        <v>0</v>
      </c>
      <c r="AF23" s="210">
        <f t="shared" si="17"/>
        <v>2.484027777776646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44396.017361111109</v>
      </c>
      <c r="F24" s="200" t="s">
        <v>122</v>
      </c>
      <c r="G24" s="201">
        <v>0.73985999999999996</v>
      </c>
      <c r="H24" s="201">
        <v>0.74339999999999995</v>
      </c>
      <c r="I24" s="202">
        <f t="shared" si="1"/>
        <v>3.5399999999999876E-3</v>
      </c>
      <c r="J24" s="201">
        <v>0.72097</v>
      </c>
      <c r="K24" s="199">
        <v>44406.470833333333</v>
      </c>
      <c r="L24" s="201">
        <v>0.74024000000000001</v>
      </c>
      <c r="M24" s="203">
        <f t="shared" si="2"/>
        <v>-4.0000000000000002E-4</v>
      </c>
      <c r="N24" s="204">
        <f t="shared" si="3"/>
        <v>-0.11</v>
      </c>
      <c r="O24" s="205">
        <f t="shared" si="4"/>
        <v>0</v>
      </c>
      <c r="P24" s="206">
        <f t="shared" si="5"/>
        <v>0</v>
      </c>
      <c r="Q24" s="206">
        <f t="shared" si="6"/>
        <v>-0.11</v>
      </c>
      <c r="R24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4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101780</v>
      </c>
      <c r="T24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4" s="208">
        <f ca="1">IF(Tabla336106734814[[#This Row],[Equity]]&lt;Tabla336106734814[[#This Row],[Equity Peak]],(Tabla336106734814[[#This Row],[Equity Peak]]-Tabla336106734814[[#This Row],[Equity]])/Tabla336106734814[[#This Row],[Equity Peak]],"")</f>
        <v>1.6047950502706885E-2</v>
      </c>
      <c r="V24" s="209">
        <f t="shared" si="7"/>
        <v>-0.11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10.453472222223354</v>
      </c>
      <c r="AE24" s="210">
        <f t="shared" si="16"/>
        <v>0</v>
      </c>
      <c r="AF24" s="210">
        <f t="shared" si="17"/>
        <v>10.453472222223354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44385.5</v>
      </c>
      <c r="F25" s="200" t="s">
        <v>122</v>
      </c>
      <c r="G25" s="201">
        <v>0.74375000000000002</v>
      </c>
      <c r="H25" s="201">
        <v>0.74841999999999997</v>
      </c>
      <c r="I25" s="202">
        <f t="shared" si="1"/>
        <v>4.669999999999952E-3</v>
      </c>
      <c r="J25" s="201">
        <v>0.71884000000000003</v>
      </c>
      <c r="K25" s="199">
        <v>44386.73541666667</v>
      </c>
      <c r="L25" s="201">
        <v>0.74841999999999997</v>
      </c>
      <c r="M25" s="203">
        <f t="shared" si="2"/>
        <v>-4.7000000000000002E-3</v>
      </c>
      <c r="N25" s="204">
        <f t="shared" si="3"/>
        <v>-1.01</v>
      </c>
      <c r="O25" s="205">
        <f t="shared" si="4"/>
        <v>0</v>
      </c>
      <c r="P25" s="206">
        <f t="shared" si="5"/>
        <v>0</v>
      </c>
      <c r="Q25" s="206">
        <f t="shared" si="6"/>
        <v>-1.01</v>
      </c>
      <c r="R25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5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101890</v>
      </c>
      <c r="T25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5" s="208">
        <f ca="1">IF(Tabla336106734814[[#This Row],[Equity]]&lt;Tabla336106734814[[#This Row],[Equity Peak]],(Tabla336106734814[[#This Row],[Equity Peak]]-Tabla336106734814[[#This Row],[Equity]])/Tabla336106734814[[#This Row],[Equity Peak]],"")</f>
        <v>1.4984532095901006E-2</v>
      </c>
      <c r="V25" s="209">
        <f t="shared" si="7"/>
        <v>-1.01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1.2354166666700621</v>
      </c>
      <c r="AE25" s="210">
        <f t="shared" si="16"/>
        <v>0</v>
      </c>
      <c r="AF25" s="210">
        <f t="shared" si="17"/>
        <v>1.2354166666700621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44361.020138888889</v>
      </c>
      <c r="F26" s="200" t="s">
        <v>122</v>
      </c>
      <c r="G26" s="201">
        <v>0.77048000000000005</v>
      </c>
      <c r="H26" s="201">
        <v>0.77392000000000005</v>
      </c>
      <c r="I26" s="202">
        <f t="shared" si="1"/>
        <v>3.4399999999999986E-3</v>
      </c>
      <c r="J26" s="201">
        <v>0.75214999999999999</v>
      </c>
      <c r="K26" s="199">
        <v>44365.338194444441</v>
      </c>
      <c r="L26" s="201">
        <v>0.75214999999999999</v>
      </c>
      <c r="M26" s="203">
        <f t="shared" si="2"/>
        <v>1.83E-2</v>
      </c>
      <c r="N26" s="204">
        <f t="shared" si="3"/>
        <v>5.32</v>
      </c>
      <c r="O26" s="205">
        <f t="shared" si="4"/>
        <v>0</v>
      </c>
      <c r="P26" s="206">
        <f t="shared" si="5"/>
        <v>5.32</v>
      </c>
      <c r="Q26" s="206">
        <f t="shared" si="6"/>
        <v>0</v>
      </c>
      <c r="R26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6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102900</v>
      </c>
      <c r="T26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6" s="208">
        <f ca="1">IF(Tabla336106734814[[#This Row],[Equity]]&lt;Tabla336106734814[[#This Row],[Equity Peak]],(Tabla336106734814[[#This Row],[Equity Peak]]-Tabla336106734814[[#This Row],[Equity]])/Tabla336106734814[[#This Row],[Equity Peak]],"")</f>
        <v>5.2204176334106726E-3</v>
      </c>
      <c r="V26" s="209">
        <f t="shared" si="7"/>
        <v>5.32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4.3180555555518367</v>
      </c>
      <c r="AE26" s="210">
        <f t="shared" si="16"/>
        <v>4.3180555555518367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44355.833333333336</v>
      </c>
      <c r="F27" s="200" t="s">
        <v>122</v>
      </c>
      <c r="G27" s="201">
        <v>0.77381</v>
      </c>
      <c r="H27" s="201">
        <v>0.77056000000000002</v>
      </c>
      <c r="I27" s="202">
        <f t="shared" si="1"/>
        <v>3.2499999999999751E-3</v>
      </c>
      <c r="J27" s="201">
        <v>0.79115999999999997</v>
      </c>
      <c r="K27" s="199">
        <v>44358.714583333334</v>
      </c>
      <c r="L27" s="201">
        <v>0.77056999999999998</v>
      </c>
      <c r="M27" s="203">
        <f t="shared" si="2"/>
        <v>-3.2000000000000002E-3</v>
      </c>
      <c r="N27" s="204">
        <f t="shared" si="3"/>
        <v>-0.98</v>
      </c>
      <c r="O27" s="205">
        <f t="shared" si="4"/>
        <v>0</v>
      </c>
      <c r="P27" s="206">
        <f t="shared" si="5"/>
        <v>0</v>
      </c>
      <c r="Q27" s="206">
        <f t="shared" si="6"/>
        <v>-0.98</v>
      </c>
      <c r="R2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97580</v>
      </c>
      <c r="T2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7" s="208">
        <f ca="1">IF(Tabla336106734814[[#This Row],[Equity]]&lt;Tabla336106734814[[#This Row],[Equity Peak]],(Tabla336106734814[[#This Row],[Equity Peak]]-Tabla336106734814[[#This Row],[Equity]])/Tabla336106734814[[#This Row],[Equity Peak]],"")</f>
        <v>5.6651198762567676E-2</v>
      </c>
      <c r="V27" s="209">
        <f t="shared" si="7"/>
        <v>-0.98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2.8812499999985448</v>
      </c>
      <c r="AE27" s="210">
        <f t="shared" si="16"/>
        <v>0</v>
      </c>
      <c r="AF27" s="210">
        <f t="shared" si="17"/>
        <v>2.8812499999985448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44334.666666666664</v>
      </c>
      <c r="F28" s="200" t="s">
        <v>122</v>
      </c>
      <c r="G28" s="201">
        <v>0.78056000000000003</v>
      </c>
      <c r="H28" s="201">
        <v>0.77693999999999996</v>
      </c>
      <c r="I28" s="202">
        <f t="shared" si="1"/>
        <v>3.6200000000000676E-3</v>
      </c>
      <c r="J28" s="201">
        <v>0.79986000000000002</v>
      </c>
      <c r="K28" s="199">
        <v>44335.433333333334</v>
      </c>
      <c r="L28" s="201">
        <v>0.77693999999999996</v>
      </c>
      <c r="M28" s="203">
        <f t="shared" si="2"/>
        <v>-3.5999999999999999E-3</v>
      </c>
      <c r="N28" s="204">
        <f t="shared" si="3"/>
        <v>-0.99</v>
      </c>
      <c r="O28" s="205">
        <f t="shared" si="4"/>
        <v>0</v>
      </c>
      <c r="P28" s="206">
        <f t="shared" si="5"/>
        <v>0</v>
      </c>
      <c r="Q28" s="206">
        <f t="shared" si="6"/>
        <v>-0.99</v>
      </c>
      <c r="R28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8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98560</v>
      </c>
      <c r="T28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8" s="208">
        <f ca="1">IF(Tabla336106734814[[#This Row],[Equity]]&lt;Tabla336106734814[[#This Row],[Equity Peak]],(Tabla336106734814[[#This Row],[Equity Peak]]-Tabla336106734814[[#This Row],[Equity]])/Tabla336106734814[[#This Row],[Equity Peak]],"")</f>
        <v>4.7177107501933491E-2</v>
      </c>
      <c r="V28" s="209">
        <f t="shared" si="7"/>
        <v>-0.99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0.76666666667006211</v>
      </c>
      <c r="AE28" s="210">
        <f t="shared" si="16"/>
        <v>0</v>
      </c>
      <c r="AF28" s="210">
        <f t="shared" si="17"/>
        <v>0.76666666667006211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44323.017361111109</v>
      </c>
      <c r="F29" s="200" t="s">
        <v>122</v>
      </c>
      <c r="G29" s="201">
        <v>0.77832000000000001</v>
      </c>
      <c r="H29" s="201">
        <v>0.77424000000000004</v>
      </c>
      <c r="I29" s="202">
        <f t="shared" si="1"/>
        <v>4.0799999999999725E-3</v>
      </c>
      <c r="J29" s="201">
        <v>0.80005999999999999</v>
      </c>
      <c r="K29" s="199">
        <v>44328.650694444441</v>
      </c>
      <c r="L29" s="201">
        <v>0.77783999999999998</v>
      </c>
      <c r="M29" s="203">
        <f t="shared" si="2"/>
        <v>-5.0000000000000001E-4</v>
      </c>
      <c r="N29" s="204">
        <f t="shared" si="3"/>
        <v>-0.12</v>
      </c>
      <c r="O29" s="205">
        <f t="shared" si="4"/>
        <v>0</v>
      </c>
      <c r="P29" s="206">
        <f t="shared" si="5"/>
        <v>0</v>
      </c>
      <c r="Q29" s="206">
        <f t="shared" si="6"/>
        <v>-0.12</v>
      </c>
      <c r="R29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9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99550</v>
      </c>
      <c r="T29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29" s="208">
        <f ca="1">IF(Tabla336106734814[[#This Row],[Equity]]&lt;Tabla336106734814[[#This Row],[Equity Peak]],(Tabla336106734814[[#This Row],[Equity Peak]]-Tabla336106734814[[#This Row],[Equity]])/Tabla336106734814[[#This Row],[Equity Peak]],"")</f>
        <v>3.7606341840680589E-2</v>
      </c>
      <c r="V29" s="209">
        <f t="shared" si="7"/>
        <v>-0.12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5.6333333333313931</v>
      </c>
      <c r="AE29" s="210">
        <f t="shared" si="16"/>
        <v>0</v>
      </c>
      <c r="AF29" s="210">
        <f t="shared" si="17"/>
        <v>5.6333333333313931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44300.5</v>
      </c>
      <c r="F30" s="200" t="s">
        <v>122</v>
      </c>
      <c r="G30" s="201">
        <v>0.76897000000000004</v>
      </c>
      <c r="H30" s="201">
        <v>0.76544000000000001</v>
      </c>
      <c r="I30" s="202">
        <f t="shared" si="1"/>
        <v>3.5300000000000331E-3</v>
      </c>
      <c r="J30" s="201">
        <v>0.78778000000000004</v>
      </c>
      <c r="K30" s="199">
        <v>44320.756249999999</v>
      </c>
      <c r="L30" s="201">
        <v>0.76880000000000004</v>
      </c>
      <c r="M30" s="203">
        <f t="shared" si="2"/>
        <v>-2.0000000000000001E-4</v>
      </c>
      <c r="N30" s="204">
        <f t="shared" si="3"/>
        <v>-0.06</v>
      </c>
      <c r="O30" s="205">
        <f t="shared" si="4"/>
        <v>0</v>
      </c>
      <c r="P30" s="206">
        <f t="shared" si="5"/>
        <v>0</v>
      </c>
      <c r="Q30" s="206">
        <f t="shared" si="6"/>
        <v>-0.06</v>
      </c>
      <c r="R30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0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99670</v>
      </c>
      <c r="T30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30" s="208">
        <f ca="1">IF(Tabla336106734814[[#This Row],[Equity]]&lt;Tabla336106734814[[#This Row],[Equity Peak]],(Tabla336106734814[[#This Row],[Equity Peak]]-Tabla336106734814[[#This Row],[Equity]])/Tabla336106734814[[#This Row],[Equity Peak]],"")</f>
        <v>3.6446249033255995E-2</v>
      </c>
      <c r="V30" s="209">
        <f t="shared" si="7"/>
        <v>-0.06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20.256249999998545</v>
      </c>
      <c r="AE30" s="210">
        <f t="shared" si="16"/>
        <v>0</v>
      </c>
      <c r="AF30" s="210">
        <f t="shared" si="17"/>
        <v>20.256249999998545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44295.333333333336</v>
      </c>
      <c r="F31" s="200" t="s">
        <v>122</v>
      </c>
      <c r="G31" s="201">
        <v>0.76321000000000006</v>
      </c>
      <c r="H31" s="201">
        <v>0.76676</v>
      </c>
      <c r="I31" s="202">
        <f t="shared" si="1"/>
        <v>3.5499999999999421E-3</v>
      </c>
      <c r="J31" s="201">
        <v>0.74428000000000005</v>
      </c>
      <c r="K31" s="199">
        <v>44300.317361111112</v>
      </c>
      <c r="L31" s="201">
        <v>0.76656000000000002</v>
      </c>
      <c r="M31" s="203">
        <f t="shared" si="2"/>
        <v>-3.3E-3</v>
      </c>
      <c r="N31" s="204">
        <f t="shared" si="3"/>
        <v>-0.93</v>
      </c>
      <c r="O31" s="205">
        <f t="shared" si="4"/>
        <v>0</v>
      </c>
      <c r="P31" s="206">
        <f t="shared" si="5"/>
        <v>0</v>
      </c>
      <c r="Q31" s="206">
        <f t="shared" si="6"/>
        <v>-0.93</v>
      </c>
      <c r="R31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1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99730</v>
      </c>
      <c r="T31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31" s="208">
        <f ca="1">IF(Tabla336106734814[[#This Row],[Equity]]&lt;Tabla336106734814[[#This Row],[Equity Peak]],(Tabla336106734814[[#This Row],[Equity Peak]]-Tabla336106734814[[#This Row],[Equity]])/Tabla336106734814[[#This Row],[Equity Peak]],"")</f>
        <v>3.5866202629543695E-2</v>
      </c>
      <c r="V31" s="209">
        <f t="shared" si="7"/>
        <v>-0.93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4.984027777776646</v>
      </c>
      <c r="AE31" s="210">
        <f t="shared" si="16"/>
        <v>0</v>
      </c>
      <c r="AF31" s="210">
        <f t="shared" si="17"/>
        <v>4.984027777776646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44295.166666666664</v>
      </c>
      <c r="F32" s="200" t="s">
        <v>122</v>
      </c>
      <c r="G32" s="201">
        <v>0.76595000000000002</v>
      </c>
      <c r="H32" s="201">
        <v>0.76251000000000002</v>
      </c>
      <c r="I32" s="202">
        <f t="shared" si="1"/>
        <v>3.4399999999999986E-3</v>
      </c>
      <c r="J32" s="201">
        <v>0.78427000000000002</v>
      </c>
      <c r="K32" s="199">
        <v>44295.333333333336</v>
      </c>
      <c r="L32" s="201">
        <v>0.76321000000000006</v>
      </c>
      <c r="M32" s="203">
        <f t="shared" si="2"/>
        <v>-2.7000000000000001E-3</v>
      </c>
      <c r="N32" s="204">
        <f t="shared" si="3"/>
        <v>-0.78</v>
      </c>
      <c r="O32" s="205">
        <f t="shared" si="4"/>
        <v>0</v>
      </c>
      <c r="P32" s="206">
        <f t="shared" si="5"/>
        <v>0</v>
      </c>
      <c r="Q32" s="206">
        <f t="shared" si="6"/>
        <v>-0.78</v>
      </c>
      <c r="R32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2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100660</v>
      </c>
      <c r="T32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32" s="208">
        <f ca="1">IF(Tabla336106734814[[#This Row],[Equity]]&lt;Tabla336106734814[[#This Row],[Equity Peak]],(Tabla336106734814[[#This Row],[Equity Peak]]-Tabla336106734814[[#This Row],[Equity]])/Tabla336106734814[[#This Row],[Equity Peak]],"")</f>
        <v>2.6875483372003094E-2</v>
      </c>
      <c r="V32" s="209">
        <f t="shared" si="7"/>
        <v>-0.78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0.16666666667151731</v>
      </c>
      <c r="AE32" s="210">
        <f t="shared" si="16"/>
        <v>0</v>
      </c>
      <c r="AF32" s="210">
        <f t="shared" si="17"/>
        <v>0.16666666667151731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44287.333333333336</v>
      </c>
      <c r="F33" s="200" t="s">
        <v>122</v>
      </c>
      <c r="G33" s="201">
        <v>0.75436000000000003</v>
      </c>
      <c r="H33" s="201">
        <v>0.75866</v>
      </c>
      <c r="I33" s="202">
        <f t="shared" si="1"/>
        <v>4.2999999999999705E-3</v>
      </c>
      <c r="J33" s="201">
        <v>0.73145000000000004</v>
      </c>
      <c r="K33" s="199">
        <v>44287.662499999999</v>
      </c>
      <c r="L33" s="201">
        <v>0.75866</v>
      </c>
      <c r="M33" s="203">
        <f t="shared" si="2"/>
        <v>-4.3E-3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3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101440</v>
      </c>
      <c r="T33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33" s="208">
        <f ca="1">IF(Tabla336106734814[[#This Row],[Equity]]&lt;Tabla336106734814[[#This Row],[Equity Peak]],(Tabla336106734814[[#This Row],[Equity Peak]]-Tabla336106734814[[#This Row],[Equity]])/Tabla336106734814[[#This Row],[Equity Peak]],"")</f>
        <v>1.9334880123743233E-2</v>
      </c>
      <c r="V33" s="209">
        <f t="shared" si="7"/>
        <v>-1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0.32916666666278616</v>
      </c>
      <c r="AE33" s="210">
        <f t="shared" si="16"/>
        <v>0</v>
      </c>
      <c r="AF33" s="210">
        <f t="shared" si="17"/>
        <v>0.32916666666278616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44273.166666666664</v>
      </c>
      <c r="F34" s="200" t="s">
        <v>122</v>
      </c>
      <c r="G34" s="201">
        <v>0.78278999999999999</v>
      </c>
      <c r="H34" s="201">
        <v>0.77820999999999996</v>
      </c>
      <c r="I34" s="202">
        <f t="shared" si="1"/>
        <v>4.5800000000000285E-3</v>
      </c>
      <c r="J34" s="201">
        <v>0.80722000000000005</v>
      </c>
      <c r="K34" s="199">
        <v>44273.65</v>
      </c>
      <c r="L34" s="201">
        <v>0.77820999999999996</v>
      </c>
      <c r="M34" s="203">
        <f t="shared" si="2"/>
        <v>-4.5999999999999999E-3</v>
      </c>
      <c r="N34" s="204">
        <f t="shared" si="3"/>
        <v>-1</v>
      </c>
      <c r="O34" s="205">
        <f t="shared" si="4"/>
        <v>0</v>
      </c>
      <c r="P34" s="206">
        <f t="shared" si="5"/>
        <v>0</v>
      </c>
      <c r="Q34" s="206">
        <f t="shared" si="6"/>
        <v>-1</v>
      </c>
      <c r="R34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4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102440</v>
      </c>
      <c r="T34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34" s="208">
        <f ca="1">IF(Tabla336106734814[[#This Row],[Equity]]&lt;Tabla336106734814[[#This Row],[Equity Peak]],(Tabla336106734814[[#This Row],[Equity Peak]]-Tabla336106734814[[#This Row],[Equity]])/Tabla336106734814[[#This Row],[Equity Peak]],"")</f>
        <v>9.6674400618716166E-3</v>
      </c>
      <c r="V34" s="209">
        <f t="shared" si="7"/>
        <v>-1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0.48333333333721384</v>
      </c>
      <c r="AE34" s="210">
        <f t="shared" si="16"/>
        <v>0</v>
      </c>
      <c r="AF34" s="210">
        <f t="shared" si="17"/>
        <v>0.48333333333721384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ref="D35:D37" si="19">IF(E35&lt;&gt;"",IF(K35&lt;&gt;"","C","O"),"")</f>
        <v>C</v>
      </c>
      <c r="E35" s="199">
        <v>44236.166666666664</v>
      </c>
      <c r="F35" s="200" t="s">
        <v>122</v>
      </c>
      <c r="G35" s="201">
        <v>0.77161000000000002</v>
      </c>
      <c r="H35" s="201">
        <v>0.76809000000000005</v>
      </c>
      <c r="I35" s="202">
        <f t="shared" ref="I35:I37" si="20">ABS(G35-H35)</f>
        <v>3.5199999999999676E-3</v>
      </c>
      <c r="J35" s="201">
        <v>0.79035999999999995</v>
      </c>
      <c r="K35" s="199">
        <v>44249.140277777777</v>
      </c>
      <c r="L35" s="201">
        <v>0.79035999999999995</v>
      </c>
      <c r="M35" s="203">
        <f t="shared" ref="M35:M37" si="21">ROUND(IF(C35="L",(L35-G35),(G35-L35)),4)</f>
        <v>1.8700000000000001E-2</v>
      </c>
      <c r="N35" s="204">
        <f t="shared" ref="N35:N37" si="22">IFERROR(ROUND((M35/I35),2),"")</f>
        <v>5.31</v>
      </c>
      <c r="O35" s="205">
        <f t="shared" ref="O35:O37" si="23">IF(D35="O",IF(N35&lt;0,N35,0),0)</f>
        <v>0</v>
      </c>
      <c r="P35" s="206">
        <f t="shared" ref="P35:P37" si="24">IF(N35&gt;= 0,N35,0)</f>
        <v>5.31</v>
      </c>
      <c r="Q35" s="206">
        <f t="shared" ref="Q35:Q37" si="25">IF(N35&lt;0,N35,0)</f>
        <v>0</v>
      </c>
      <c r="R35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5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103440</v>
      </c>
      <c r="T35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103440</v>
      </c>
      <c r="U35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35" s="209">
        <f t="shared" ref="V35:V37" si="26">IF(B35="FX",N35,0)</f>
        <v>5.31</v>
      </c>
      <c r="W35" s="209">
        <f t="shared" ref="W35:W37" si="27">IF(D35="O",IF(V35&lt;0,V35,0),0)</f>
        <v>0</v>
      </c>
      <c r="X35" s="209">
        <f t="shared" ref="X35:X37" si="28">IF(B35="COM",N35,0)</f>
        <v>0</v>
      </c>
      <c r="Y35" s="209">
        <f t="shared" ref="Y35:Y37" si="29">IF(D35="O",IF(X35&lt;0,X35,0),0)</f>
        <v>0</v>
      </c>
      <c r="Z35" s="209">
        <f t="shared" ref="Z35:Z37" si="30">IF(B35="IND",N35,0)</f>
        <v>0</v>
      </c>
      <c r="AA35" s="205">
        <f t="shared" ref="AA35:AA37" si="31">IF(D35="O",IF(Z35&lt;0,Z35,0),0)</f>
        <v>0</v>
      </c>
      <c r="AB35" s="209">
        <f t="shared" ref="AB35:AB37" si="32">IF(B35="CRYPTO",N35,0)</f>
        <v>0</v>
      </c>
      <c r="AC35" s="205">
        <f t="shared" ref="AC35:AC37" si="33">IF(D35="O",IF(AB35&lt;0,AB35,0),0)</f>
        <v>0</v>
      </c>
      <c r="AD35" s="210">
        <f t="shared" ref="AD35:AD37" si="34">IF(K35&lt;&gt;"",K35-E35,0)</f>
        <v>12.973611111112405</v>
      </c>
      <c r="AE35" s="210">
        <f t="shared" ref="AE35:AE37" si="35">IF(N35&gt;0,AD35,0)</f>
        <v>12.973611111112405</v>
      </c>
      <c r="AF35" s="210">
        <f t="shared" ref="AF35:AF37" si="36">IF(N35&lt;0,AD35,0)</f>
        <v>0</v>
      </c>
      <c r="AG35" s="210">
        <f t="shared" ref="AG35:AG37" si="37">IF(N35=0,AD35,0)</f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44223.017361111109</v>
      </c>
      <c r="F36" s="200" t="s">
        <v>122</v>
      </c>
      <c r="G36" s="201">
        <v>0.77385999999999999</v>
      </c>
      <c r="H36" s="201">
        <v>0.76985000000000003</v>
      </c>
      <c r="I36" s="202">
        <f t="shared" si="20"/>
        <v>4.009999999999958E-3</v>
      </c>
      <c r="J36" s="201">
        <v>0.79522999999999999</v>
      </c>
      <c r="K36" s="199">
        <v>44223.594444444447</v>
      </c>
      <c r="L36" s="201">
        <v>0.76985000000000003</v>
      </c>
      <c r="M36" s="203">
        <f t="shared" si="21"/>
        <v>-4.0000000000000001E-3</v>
      </c>
      <c r="N36" s="204">
        <f t="shared" si="22"/>
        <v>-1</v>
      </c>
      <c r="O36" s="205">
        <f t="shared" si="23"/>
        <v>0</v>
      </c>
      <c r="P36" s="206">
        <f t="shared" si="24"/>
        <v>0</v>
      </c>
      <c r="Q36" s="206">
        <f t="shared" si="25"/>
        <v>-1</v>
      </c>
      <c r="R36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Yes</v>
      </c>
      <c r="S36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98130</v>
      </c>
      <c r="T36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100000</v>
      </c>
      <c r="U36" s="208">
        <f ca="1">IF(Tabla336106734814[[#This Row],[Equity]]&lt;Tabla336106734814[[#This Row],[Equity Peak]],(Tabla336106734814[[#This Row],[Equity Peak]]-Tabla336106734814[[#This Row],[Equity]])/Tabla336106734814[[#This Row],[Equity Peak]],"")</f>
        <v>1.8700000000000001E-2</v>
      </c>
      <c r="V36" s="209">
        <f t="shared" si="26"/>
        <v>-1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0.57708333333721384</v>
      </c>
      <c r="AE36" s="210">
        <f t="shared" si="35"/>
        <v>0</v>
      </c>
      <c r="AF36" s="210">
        <f t="shared" si="36"/>
        <v>0.57708333333721384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19"/>
        <v>C</v>
      </c>
      <c r="E37" s="199">
        <v>44216.833333333336</v>
      </c>
      <c r="F37" s="200" t="s">
        <v>122</v>
      </c>
      <c r="G37" s="201">
        <v>0.77363000000000004</v>
      </c>
      <c r="H37" s="201">
        <v>0.77039999999999997</v>
      </c>
      <c r="I37" s="202">
        <f t="shared" si="20"/>
        <v>3.2300000000000662E-3</v>
      </c>
      <c r="J37" s="201">
        <v>0.79083000000000003</v>
      </c>
      <c r="K37" s="199">
        <v>44218.558333333334</v>
      </c>
      <c r="L37" s="201">
        <v>0.77087000000000006</v>
      </c>
      <c r="M37" s="203">
        <f t="shared" si="21"/>
        <v>-2.8E-3</v>
      </c>
      <c r="N37" s="204">
        <f t="shared" si="22"/>
        <v>-0.87</v>
      </c>
      <c r="O37" s="205">
        <f t="shared" si="23"/>
        <v>0</v>
      </c>
      <c r="P37" s="206">
        <f t="shared" si="24"/>
        <v>0</v>
      </c>
      <c r="Q37" s="206">
        <f t="shared" si="25"/>
        <v>-0.87</v>
      </c>
      <c r="R3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Yes</v>
      </c>
      <c r="S3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99130</v>
      </c>
      <c r="T3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100000</v>
      </c>
      <c r="U37" s="208">
        <f ca="1">IF(Tabla336106734814[[#This Row],[Equity]]&lt;Tabla336106734814[[#This Row],[Equity Peak]],(Tabla336106734814[[#This Row],[Equity Peak]]-Tabla336106734814[[#This Row],[Equity]])/Tabla336106734814[[#This Row],[Equity Peak]],"")</f>
        <v>8.6999999999999994E-3</v>
      </c>
      <c r="V37" s="209">
        <f t="shared" si="26"/>
        <v>-0.87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1.7249999999985448</v>
      </c>
      <c r="AE37" s="210">
        <f t="shared" si="35"/>
        <v>0</v>
      </c>
      <c r="AF37" s="210">
        <f t="shared" si="36"/>
        <v>1.7249999999985448</v>
      </c>
      <c r="AG37" s="210">
        <f t="shared" si="37"/>
        <v>0</v>
      </c>
    </row>
  </sheetData>
  <sheetProtection algorithmName="SHA-512" hashValue="0isOOfwg87KwXiU1L8HsEsQLWc9Su1itQPho+yY+brVvxf55j9Gd+JVeXRYacxIQvhS0XOkVmSqlez6lVect4A==" saltValue="qHFD1gFk7xJp/lzsog61J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9" priority="3" operator="equal">
      <formula>"OK"</formula>
    </cfRule>
    <cfRule type="cellIs" dxfId="838" priority="4" operator="equal">
      <formula>"warning"</formula>
    </cfRule>
  </conditionalFormatting>
  <conditionalFormatting sqref="F13">
    <cfRule type="cellIs" dxfId="837" priority="1" operator="equal">
      <formula>"OK"</formula>
    </cfRule>
    <cfRule type="cellIs" dxfId="836" priority="2" operator="equal">
      <formula>"Error!!"</formula>
    </cfRule>
  </conditionalFormatting>
  <conditionalFormatting sqref="E15:H15 K15:L15">
    <cfRule type="expression" dxfId="835" priority="5">
      <formula>+$D15=#REF!</formula>
    </cfRule>
    <cfRule type="expression" dxfId="834" priority="6">
      <formula>+$D15=#REF!</formula>
    </cfRule>
  </conditionalFormatting>
  <conditionalFormatting sqref="D15 K16:L16 D16:H37 J17:L37">
    <cfRule type="expression" dxfId="833" priority="7">
      <formula>+$D15=$AG$8</formula>
    </cfRule>
    <cfRule type="expression" dxfId="83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1B0E86E7-AA74-4F77-8A53-CE4E8C11CDB7}">
      <formula1>$AE$4:$AE$6</formula1>
    </dataValidation>
    <dataValidation type="list" allowBlank="1" showInputMessage="1" showErrorMessage="1" promptTitle="Trade Direction" prompt="Select from List" sqref="C15:C16" xr:uid="{63A65E5F-B023-4B6E-928F-F2F594D9B5B2}">
      <formula1>$AG$4:$AG$5</formula1>
    </dataValidation>
    <dataValidation type="list" allowBlank="1" showInputMessage="1" showErrorMessage="1" promptTitle="Instrument Type" prompt="Select Type from List_x000a_" sqref="B17:B37" xr:uid="{3D23378C-5B30-48F2-96E1-64D7629B8A44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B706-A3BD-43E2-BE2F-6DCC54C96192}">
  <sheetPr codeName="Hoja25">
    <pageSetUpPr fitToPage="1"/>
  </sheetPr>
  <dimension ref="A1:AX60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COUNTA(Tabla336106734819[Inst])</f>
        <v>44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6.93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6.93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COUNTIF(Tabla336106734819[No. of Rs],"&gt;0")</f>
        <v>13</v>
      </c>
      <c r="G7" s="24">
        <f>IFERROR((F7/$F$6),"")</f>
        <v>0.29545454545454547</v>
      </c>
      <c r="H7" s="78">
        <f>IFERROR((+P13/F7),"")</f>
        <v>1.9361538461538466</v>
      </c>
      <c r="I7" s="227">
        <f>H7/H9</f>
        <v>3.2906123481781391</v>
      </c>
      <c r="J7" s="227">
        <f>AVERAGE(Tabla336106734819[No. of Rs])</f>
        <v>0.1575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OFFSET(Tabla336106734819[[#Headers],[Equity]],1,0)</f>
        <v>106930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COUNTIF(Tabla336106734819[No. of Rs],"&lt;0")</f>
        <v>31</v>
      </c>
      <c r="G9" s="32">
        <f>IFERROR((F9/$F$6),"")</f>
        <v>0.70454545454545459</v>
      </c>
      <c r="H9" s="79">
        <f>IFERROR((-Q13/F9),"")</f>
        <v>0.58838709677419343</v>
      </c>
      <c r="I9" s="229"/>
      <c r="J9" s="229"/>
      <c r="K9" s="149"/>
      <c r="L9" s="230" t="s">
        <v>106</v>
      </c>
      <c r="M9" s="231"/>
      <c r="N9" s="125">
        <f ca="1">MAX(Tabla336106734819[Drawdown])</f>
        <v>5.4227578032398263E-2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OFFSET(Tabla336106734819[[#Headers],[Drawdown]],1,0)</f>
        <v>2.8615552325581394E-2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IF(COUNTIFS(Tabla336106734819[O/C],"O")&lt;1,"None",COUNTIFS(Tabla336106734819[O/C],"O"))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SUM(Tabla336106734819[No. of Rs])</f>
        <v>6.93</v>
      </c>
      <c r="O13" s="42">
        <f>SUM(Tabla336106734819[Heat])</f>
        <v>0</v>
      </c>
      <c r="P13" s="43">
        <f>SUM(Tabla336106734819[[ TR WIN]])</f>
        <v>25.170000000000005</v>
      </c>
      <c r="Q13" s="43">
        <f>SUM(Tabla336106734819[[ TR LOSS]])</f>
        <v>-18.239999999999995</v>
      </c>
      <c r="R13" s="114"/>
      <c r="S13" s="115"/>
      <c r="T13" s="115"/>
      <c r="U13" s="121"/>
      <c r="V13" s="44">
        <f>SUM(Tabla336106734819[Currency])</f>
        <v>6.93</v>
      </c>
      <c r="W13" s="44">
        <f>SUM(Tabla336106734819[Heat3])</f>
        <v>0</v>
      </c>
      <c r="X13" s="44">
        <f>SUM(Tabla336106734819[Commodities])</f>
        <v>0</v>
      </c>
      <c r="Y13" s="44">
        <f>SUM(Tabla336106734819[Heat4])</f>
        <v>0</v>
      </c>
      <c r="Z13" s="44">
        <f>SUM(Tabla336106734819[Index])</f>
        <v>0</v>
      </c>
      <c r="AA13" s="44">
        <f>SUM(Tabla336106734819[Heat5])</f>
        <v>0</v>
      </c>
      <c r="AB13" s="44">
        <f>SUM(Tabla336106734819[Cryptocurrency])</f>
        <v>0</v>
      </c>
      <c r="AC13" s="44">
        <f>SUM(Tabla336106734819[Heat6])</f>
        <v>0</v>
      </c>
      <c r="AD13" s="75">
        <f>AVERAGEIF(Tabla336106734819[Length of 
Trade],"&lt;&gt;0")</f>
        <v>2.2936868686877214</v>
      </c>
      <c r="AE13" s="75">
        <f>AVERAGEIF(Tabla336106734819[Win],"&lt;&gt;0")</f>
        <v>4.32238247863223</v>
      </c>
      <c r="AF13" s="75">
        <f>AVERAGEIF(Tabla336106734819[Loss],"&lt;&gt;0")</f>
        <v>1.4429435483884112</v>
      </c>
      <c r="AG13" s="76" t="e">
        <f>AVERAGEIF(Tabla336106734819[Breakeven],"&lt;&gt;0")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2" si="0">IF(E17&lt;&gt;"",IF(K17&lt;&gt;"","C","O"),"")</f>
        <v>C</v>
      </c>
      <c r="E17" s="199">
        <v>44552.017361111109</v>
      </c>
      <c r="F17" s="200" t="s">
        <v>121</v>
      </c>
      <c r="G17" s="201">
        <v>1.5763400000000001</v>
      </c>
      <c r="H17" s="201">
        <v>1.58324</v>
      </c>
      <c r="I17" s="202">
        <f t="shared" ref="I17:I32" si="1">ABS(G17-H17)</f>
        <v>6.8999999999999062E-3</v>
      </c>
      <c r="J17" s="201">
        <v>1.50271</v>
      </c>
      <c r="K17" s="199">
        <v>44552.304166666669</v>
      </c>
      <c r="L17" s="201">
        <v>1.5828599999999999</v>
      </c>
      <c r="M17" s="203">
        <f t="shared" ref="M17:M32" si="2">ROUND(IF(C17="L",(L17-G17),(G17-L17)),4)</f>
        <v>-6.4999999999999997E-3</v>
      </c>
      <c r="N17" s="204">
        <f t="shared" ref="N17:N32" si="3">IFERROR(ROUND((M17/I17),2),"")</f>
        <v>-0.94</v>
      </c>
      <c r="O17" s="205">
        <f t="shared" ref="O17:O32" si="4">IF(D17="O",IF(N17&lt;0,N17,0),0)</f>
        <v>0</v>
      </c>
      <c r="P17" s="206">
        <f t="shared" ref="P17:P32" si="5">IF(N17&gt;= 0,N17,0)</f>
        <v>0</v>
      </c>
      <c r="Q17" s="206">
        <f t="shared" ref="Q17:Q32" si="6">IF(N17&lt;0,N17,0)</f>
        <v>-0.94</v>
      </c>
      <c r="R1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106930</v>
      </c>
      <c r="T1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110080</v>
      </c>
      <c r="U17" s="208">
        <f ca="1">IF(Tabla336106734819[[#This Row],[Equity]]&lt;Tabla336106734819[[#This Row],[Equity Peak]],(Tabla336106734819[[#This Row],[Equity Peak]]-Tabla336106734819[[#This Row],[Equity]])/Tabla336106734819[[#This Row],[Equity Peak]],"")</f>
        <v>2.8615552325581394E-2</v>
      </c>
      <c r="V17" s="209">
        <f t="shared" ref="V17:V32" si="7">IF(B17="FX",N17,0)</f>
        <v>-0.94</v>
      </c>
      <c r="W17" s="209">
        <f t="shared" ref="W17:W32" si="8">IF(D17="O",IF(V17&lt;0,V17,0),0)</f>
        <v>0</v>
      </c>
      <c r="X17" s="209">
        <f t="shared" ref="X17:X32" si="9">IF(B17="COM",N17,0)</f>
        <v>0</v>
      </c>
      <c r="Y17" s="209">
        <f t="shared" ref="Y17:Y32" si="10">IF(D17="O",IF(X17&lt;0,X17,0),0)</f>
        <v>0</v>
      </c>
      <c r="Z17" s="209">
        <f t="shared" ref="Z17:Z32" si="11">IF(B17="IND",N17,0)</f>
        <v>0</v>
      </c>
      <c r="AA17" s="205">
        <f t="shared" ref="AA17:AA32" si="12">IF(D17="O",IF(Z17&lt;0,Z17,0),0)</f>
        <v>0</v>
      </c>
      <c r="AB17" s="209">
        <f t="shared" ref="AB17:AB32" si="13">IF(B17="CRYPTO",N17,0)</f>
        <v>0</v>
      </c>
      <c r="AC17" s="205">
        <f t="shared" ref="AC17:AC32" si="14">IF(D17="O",IF(AB17&lt;0,AB17,0),0)</f>
        <v>0</v>
      </c>
      <c r="AD17" s="210">
        <f t="shared" ref="AD17:AD32" si="15">IF(K17&lt;&gt;"",K17-E17,0)</f>
        <v>0.28680555555911269</v>
      </c>
      <c r="AE17" s="210">
        <f t="shared" ref="AE17:AE32" si="16">IF(N17&gt;0,AD17,0)</f>
        <v>0</v>
      </c>
      <c r="AF17" s="210">
        <f t="shared" ref="AF17:AF32" si="17">IF(N17&lt;0,AD17,0)</f>
        <v>0.28680555555911269</v>
      </c>
      <c r="AG17" s="210">
        <f t="shared" ref="AG17:AG32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44550.5</v>
      </c>
      <c r="F18" s="200" t="s">
        <v>121</v>
      </c>
      <c r="G18" s="201">
        <v>1.5879700000000001</v>
      </c>
      <c r="H18" s="201">
        <v>1.5797000000000001</v>
      </c>
      <c r="I18" s="202">
        <f t="shared" si="1"/>
        <v>8.2699999999999996E-3</v>
      </c>
      <c r="J18" s="201">
        <v>1.6762300000000001</v>
      </c>
      <c r="K18" s="199">
        <v>44551.709722222222</v>
      </c>
      <c r="L18" s="201">
        <v>1.5797000000000001</v>
      </c>
      <c r="M18" s="203">
        <f t="shared" si="2"/>
        <v>-8.3000000000000001E-3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107870</v>
      </c>
      <c r="T1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110080</v>
      </c>
      <c r="U18" s="208">
        <f ca="1">IF(Tabla336106734819[[#This Row],[Equity]]&lt;Tabla336106734819[[#This Row],[Equity Peak]],(Tabla336106734819[[#This Row],[Equity Peak]]-Tabla336106734819[[#This Row],[Equity]])/Tabla336106734819[[#This Row],[Equity Peak]],"")</f>
        <v>2.0076308139534885E-2</v>
      </c>
      <c r="V18" s="209">
        <f t="shared" si="7"/>
        <v>-1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1.2097222222218988</v>
      </c>
      <c r="AE18" s="210">
        <f t="shared" si="16"/>
        <v>0</v>
      </c>
      <c r="AF18" s="210">
        <f t="shared" si="17"/>
        <v>1.2097222222218988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44545.666666666664</v>
      </c>
      <c r="F19" s="200" t="s">
        <v>121</v>
      </c>
      <c r="G19" s="201">
        <v>1.5771599999999999</v>
      </c>
      <c r="H19" s="201">
        <v>1.5845400000000001</v>
      </c>
      <c r="I19" s="202">
        <f t="shared" si="1"/>
        <v>7.3800000000001642E-3</v>
      </c>
      <c r="J19" s="201">
        <v>1.49847</v>
      </c>
      <c r="K19" s="199">
        <v>44546.911805555559</v>
      </c>
      <c r="L19" s="201">
        <v>1.57925</v>
      </c>
      <c r="M19" s="203">
        <f t="shared" si="2"/>
        <v>-2.0999999999999999E-3</v>
      </c>
      <c r="N19" s="204">
        <f t="shared" si="3"/>
        <v>-0.28000000000000003</v>
      </c>
      <c r="O19" s="205">
        <f t="shared" si="4"/>
        <v>0</v>
      </c>
      <c r="P19" s="206">
        <f t="shared" si="5"/>
        <v>0</v>
      </c>
      <c r="Q19" s="206">
        <f t="shared" si="6"/>
        <v>-0.28000000000000003</v>
      </c>
      <c r="R1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108870</v>
      </c>
      <c r="T1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110080</v>
      </c>
      <c r="U19" s="208">
        <f ca="1">IF(Tabla336106734819[[#This Row],[Equity]]&lt;Tabla336106734819[[#This Row],[Equity Peak]],(Tabla336106734819[[#This Row],[Equity Peak]]-Tabla336106734819[[#This Row],[Equity]])/Tabla336106734819[[#This Row],[Equity Peak]],"")</f>
        <v>1.0992005813953489E-2</v>
      </c>
      <c r="V19" s="209">
        <f t="shared" si="7"/>
        <v>-0.28000000000000003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1.2451388888948713</v>
      </c>
      <c r="AE19" s="210">
        <f t="shared" si="16"/>
        <v>0</v>
      </c>
      <c r="AF19" s="210">
        <f t="shared" si="17"/>
        <v>1.2451388888948713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44544.166666666664</v>
      </c>
      <c r="F20" s="200" t="s">
        <v>121</v>
      </c>
      <c r="G20" s="201">
        <v>1.5863799999999999</v>
      </c>
      <c r="H20" s="201">
        <v>1.5797099999999999</v>
      </c>
      <c r="I20" s="202">
        <f t="shared" si="1"/>
        <v>6.6699999999999537E-3</v>
      </c>
      <c r="J20" s="201">
        <v>1.6574899999999999</v>
      </c>
      <c r="K20" s="199">
        <v>44544.424305555556</v>
      </c>
      <c r="L20" s="201">
        <v>1.58016</v>
      </c>
      <c r="M20" s="203">
        <f t="shared" si="2"/>
        <v>-6.1999999999999998E-3</v>
      </c>
      <c r="N20" s="204">
        <f t="shared" si="3"/>
        <v>-0.93</v>
      </c>
      <c r="O20" s="205">
        <f t="shared" si="4"/>
        <v>0</v>
      </c>
      <c r="P20" s="206">
        <f t="shared" si="5"/>
        <v>0</v>
      </c>
      <c r="Q20" s="206">
        <f t="shared" si="6"/>
        <v>-0.93</v>
      </c>
      <c r="R2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109150</v>
      </c>
      <c r="T2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110080</v>
      </c>
      <c r="U20" s="208">
        <f ca="1">IF(Tabla336106734819[[#This Row],[Equity]]&lt;Tabla336106734819[[#This Row],[Equity Peak]],(Tabla336106734819[[#This Row],[Equity Peak]]-Tabla336106734819[[#This Row],[Equity]])/Tabla336106734819[[#This Row],[Equity Peak]],"")</f>
        <v>8.4484011627906971E-3</v>
      </c>
      <c r="V20" s="209">
        <f t="shared" si="7"/>
        <v>-0.93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0.25763888889196096</v>
      </c>
      <c r="AE20" s="210">
        <f t="shared" si="16"/>
        <v>0</v>
      </c>
      <c r="AF20" s="210">
        <f t="shared" si="17"/>
        <v>0.25763888889196096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44525.5</v>
      </c>
      <c r="F21" s="200" t="s">
        <v>121</v>
      </c>
      <c r="G21" s="201">
        <v>1.5610200000000001</v>
      </c>
      <c r="H21" s="201">
        <v>1.55464</v>
      </c>
      <c r="I21" s="202">
        <f t="shared" si="1"/>
        <v>6.3800000000000523E-3</v>
      </c>
      <c r="J21" s="201">
        <v>1.6290899999999999</v>
      </c>
      <c r="K21" s="199">
        <v>44529.168749999997</v>
      </c>
      <c r="L21" s="201">
        <v>1.5793900000000001</v>
      </c>
      <c r="M21" s="203">
        <f t="shared" si="2"/>
        <v>1.84E-2</v>
      </c>
      <c r="N21" s="204">
        <f t="shared" si="3"/>
        <v>2.88</v>
      </c>
      <c r="O21" s="205">
        <f t="shared" si="4"/>
        <v>0</v>
      </c>
      <c r="P21" s="206">
        <f t="shared" si="5"/>
        <v>2.88</v>
      </c>
      <c r="Q21" s="206">
        <f t="shared" si="6"/>
        <v>0</v>
      </c>
      <c r="R2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110080</v>
      </c>
      <c r="T2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110080</v>
      </c>
      <c r="U21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21" s="209">
        <f t="shared" si="7"/>
        <v>2.88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3.6687499999970896</v>
      </c>
      <c r="AE21" s="210">
        <f t="shared" si="16"/>
        <v>3.6687499999970896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44522.333333333336</v>
      </c>
      <c r="F22" s="200" t="s">
        <v>121</v>
      </c>
      <c r="G22" s="201">
        <v>1.5546199999999999</v>
      </c>
      <c r="H22" s="201">
        <v>1.56087</v>
      </c>
      <c r="I22" s="202">
        <f t="shared" si="1"/>
        <v>6.2500000000000888E-3</v>
      </c>
      <c r="J22" s="201">
        <v>1.4879599999999999</v>
      </c>
      <c r="K22" s="199">
        <v>44523.321527777778</v>
      </c>
      <c r="L22" s="201">
        <v>1.55735</v>
      </c>
      <c r="M22" s="203">
        <f t="shared" si="2"/>
        <v>-2.7000000000000001E-3</v>
      </c>
      <c r="N22" s="204">
        <f t="shared" si="3"/>
        <v>-0.43</v>
      </c>
      <c r="O22" s="205">
        <f t="shared" si="4"/>
        <v>0</v>
      </c>
      <c r="P22" s="206">
        <f t="shared" si="5"/>
        <v>0</v>
      </c>
      <c r="Q22" s="206">
        <f t="shared" si="6"/>
        <v>-0.43</v>
      </c>
      <c r="R2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107200</v>
      </c>
      <c r="T2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2" s="208">
        <f ca="1">IF(Tabla336106734819[[#This Row],[Equity]]&lt;Tabla336106734819[[#This Row],[Equity Peak]],(Tabla336106734819[[#This Row],[Equity Peak]]-Tabla336106734819[[#This Row],[Equity]])/Tabla336106734819[[#This Row],[Equity Peak]],"")</f>
        <v>1.6603981286120541E-2</v>
      </c>
      <c r="V22" s="209">
        <f t="shared" si="7"/>
        <v>-0.43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0.9881944444423425</v>
      </c>
      <c r="AE22" s="210">
        <f t="shared" si="16"/>
        <v>0</v>
      </c>
      <c r="AF22" s="210">
        <f t="shared" si="17"/>
        <v>0.9881944444423425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44518.833333333336</v>
      </c>
      <c r="F23" s="200" t="s">
        <v>121</v>
      </c>
      <c r="G23" s="201">
        <v>1.5626599999999999</v>
      </c>
      <c r="H23" s="201">
        <v>1.5556099999999999</v>
      </c>
      <c r="I23" s="202">
        <f t="shared" si="1"/>
        <v>7.0500000000000007E-3</v>
      </c>
      <c r="J23" s="201">
        <v>1.6378600000000001</v>
      </c>
      <c r="K23" s="199">
        <v>44522.251388888886</v>
      </c>
      <c r="L23" s="201">
        <v>1.5556099999999999</v>
      </c>
      <c r="M23" s="203">
        <f t="shared" si="2"/>
        <v>-7.1000000000000004E-3</v>
      </c>
      <c r="N23" s="204">
        <f t="shared" si="3"/>
        <v>-1.01</v>
      </c>
      <c r="O23" s="205">
        <f t="shared" si="4"/>
        <v>0</v>
      </c>
      <c r="P23" s="206">
        <f t="shared" si="5"/>
        <v>0</v>
      </c>
      <c r="Q23" s="206">
        <f t="shared" si="6"/>
        <v>-1.01</v>
      </c>
      <c r="R2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107630</v>
      </c>
      <c r="T2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3" s="208">
        <f ca="1">IF(Tabla336106734819[[#This Row],[Equity]]&lt;Tabla336106734819[[#This Row],[Equity Peak]],(Tabla336106734819[[#This Row],[Equity Peak]]-Tabla336106734819[[#This Row],[Equity]])/Tabla336106734819[[#This Row],[Equity Peak]],"")</f>
        <v>1.2659389046876433E-2</v>
      </c>
      <c r="V23" s="209">
        <f t="shared" si="7"/>
        <v>-1.01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3.4180555555503815</v>
      </c>
      <c r="AE23" s="210">
        <f t="shared" si="16"/>
        <v>0</v>
      </c>
      <c r="AF23" s="210">
        <f t="shared" si="17"/>
        <v>3.4180555555503815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44515.5</v>
      </c>
      <c r="F24" s="200" t="s">
        <v>121</v>
      </c>
      <c r="G24" s="201">
        <v>1.55538</v>
      </c>
      <c r="H24" s="201">
        <v>1.56084</v>
      </c>
      <c r="I24" s="202">
        <f t="shared" si="1"/>
        <v>5.4600000000000204E-3</v>
      </c>
      <c r="J24" s="201">
        <v>1.49709</v>
      </c>
      <c r="K24" s="199">
        <v>44517.104861111111</v>
      </c>
      <c r="L24" s="201">
        <v>1.5525</v>
      </c>
      <c r="M24" s="203">
        <f t="shared" si="2"/>
        <v>2.8999999999999998E-3</v>
      </c>
      <c r="N24" s="204">
        <f t="shared" si="3"/>
        <v>0.53</v>
      </c>
      <c r="O24" s="205">
        <f t="shared" si="4"/>
        <v>0</v>
      </c>
      <c r="P24" s="206">
        <f t="shared" si="5"/>
        <v>0.53</v>
      </c>
      <c r="Q24" s="206">
        <f t="shared" si="6"/>
        <v>0</v>
      </c>
      <c r="R2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108640</v>
      </c>
      <c r="T2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4" s="208">
        <f ca="1">IF(Tabla336106734819[[#This Row],[Equity]]&lt;Tabla336106734819[[#This Row],[Equity Peak]],(Tabla336106734819[[#This Row],[Equity Peak]]-Tabla336106734819[[#This Row],[Equity]])/Tabla336106734819[[#This Row],[Equity Peak]],"")</f>
        <v>3.3941840198146961E-3</v>
      </c>
      <c r="V24" s="209">
        <f t="shared" si="7"/>
        <v>0.53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1.6048611111109494</v>
      </c>
      <c r="AE24" s="210">
        <f t="shared" si="16"/>
        <v>1.6048611111109494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44476.017361111109</v>
      </c>
      <c r="F25" s="200" t="s">
        <v>121</v>
      </c>
      <c r="G25" s="201">
        <v>1.58846</v>
      </c>
      <c r="H25" s="201">
        <v>1.5953599999999999</v>
      </c>
      <c r="I25" s="202">
        <f t="shared" si="1"/>
        <v>6.8999999999999062E-3</v>
      </c>
      <c r="J25" s="201">
        <v>1.51481</v>
      </c>
      <c r="K25" s="199">
        <v>44487.558333333334</v>
      </c>
      <c r="L25" s="201">
        <v>1.5688800000000001</v>
      </c>
      <c r="M25" s="203">
        <f t="shared" si="2"/>
        <v>1.9599999999999999E-2</v>
      </c>
      <c r="N25" s="204">
        <f t="shared" si="3"/>
        <v>2.84</v>
      </c>
      <c r="O25" s="205">
        <f t="shared" si="4"/>
        <v>0</v>
      </c>
      <c r="P25" s="206">
        <f t="shared" si="5"/>
        <v>2.84</v>
      </c>
      <c r="Q25" s="206">
        <f t="shared" si="6"/>
        <v>0</v>
      </c>
      <c r="R2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108110</v>
      </c>
      <c r="T2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5" s="208">
        <f ca="1">IF(Tabla336106734819[[#This Row],[Equity]]&lt;Tabla336106734819[[#This Row],[Equity Peak]],(Tabla336106734819[[#This Row],[Equity Peak]]-Tabla336106734819[[#This Row],[Equity]])/Tabla336106734819[[#This Row],[Equity Peak]],"")</f>
        <v>8.2561232914411514E-3</v>
      </c>
      <c r="V25" s="209">
        <f t="shared" si="7"/>
        <v>2.84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11.540972222224809</v>
      </c>
      <c r="AE25" s="210">
        <f t="shared" si="16"/>
        <v>11.540972222224809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44469.666666666664</v>
      </c>
      <c r="F26" s="200" t="s">
        <v>121</v>
      </c>
      <c r="G26" s="201">
        <v>1.60768</v>
      </c>
      <c r="H26" s="201">
        <v>1.6153900000000001</v>
      </c>
      <c r="I26" s="202">
        <f t="shared" si="1"/>
        <v>7.7100000000001057E-3</v>
      </c>
      <c r="J26" s="201">
        <v>1.52542</v>
      </c>
      <c r="K26" s="199">
        <v>44470.39166666667</v>
      </c>
      <c r="L26" s="201">
        <v>1.60927</v>
      </c>
      <c r="M26" s="203">
        <f t="shared" si="2"/>
        <v>-1.6000000000000001E-3</v>
      </c>
      <c r="N26" s="204">
        <f t="shared" si="3"/>
        <v>-0.21</v>
      </c>
      <c r="O26" s="205">
        <f t="shared" si="4"/>
        <v>0</v>
      </c>
      <c r="P26" s="206">
        <f t="shared" si="5"/>
        <v>0</v>
      </c>
      <c r="Q26" s="206">
        <f t="shared" si="6"/>
        <v>-0.21</v>
      </c>
      <c r="R2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105270</v>
      </c>
      <c r="T2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6" s="208">
        <f ca="1">IF(Tabla336106734819[[#This Row],[Equity]]&lt;Tabla336106734819[[#This Row],[Equity Peak]],(Tabla336106734819[[#This Row],[Equity Peak]]-Tabla336106734819[[#This Row],[Equity]])/Tabla336106734819[[#This Row],[Equity Peak]],"")</f>
        <v>3.4308779011099896E-2</v>
      </c>
      <c r="V26" s="209">
        <f t="shared" si="7"/>
        <v>-0.21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0.72500000000582077</v>
      </c>
      <c r="AE26" s="210">
        <f t="shared" si="16"/>
        <v>0</v>
      </c>
      <c r="AF26" s="210">
        <f t="shared" si="17"/>
        <v>0.72500000000582077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44468.017361111109</v>
      </c>
      <c r="F27" s="200" t="s">
        <v>121</v>
      </c>
      <c r="G27" s="201">
        <v>1.6131</v>
      </c>
      <c r="H27" s="201">
        <v>1.60545</v>
      </c>
      <c r="I27" s="202">
        <f t="shared" si="1"/>
        <v>7.6499999999999346E-3</v>
      </c>
      <c r="J27" s="201">
        <v>1.6947000000000001</v>
      </c>
      <c r="K27" s="199">
        <v>44469.652083333334</v>
      </c>
      <c r="L27" s="201">
        <v>1.60781</v>
      </c>
      <c r="M27" s="203">
        <f t="shared" si="2"/>
        <v>-5.3E-3</v>
      </c>
      <c r="N27" s="204">
        <f t="shared" si="3"/>
        <v>-0.69</v>
      </c>
      <c r="O27" s="205">
        <f t="shared" si="4"/>
        <v>0</v>
      </c>
      <c r="P27" s="206">
        <f t="shared" si="5"/>
        <v>0</v>
      </c>
      <c r="Q27" s="206">
        <f t="shared" si="6"/>
        <v>-0.69</v>
      </c>
      <c r="R2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105480</v>
      </c>
      <c r="T2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7" s="208">
        <f ca="1">IF(Tabla336106734819[[#This Row],[Equity]]&lt;Tabla336106734819[[#This Row],[Equity Peak]],(Tabla336106734819[[#This Row],[Equity Peak]]-Tabla336106734819[[#This Row],[Equity]])/Tabla336106734819[[#This Row],[Equity Peak]],"")</f>
        <v>3.2382350243096963E-2</v>
      </c>
      <c r="V27" s="209">
        <f t="shared" si="7"/>
        <v>-0.69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1.6347222222248092</v>
      </c>
      <c r="AE27" s="210">
        <f t="shared" si="16"/>
        <v>0</v>
      </c>
      <c r="AF27" s="210">
        <f t="shared" si="17"/>
        <v>1.6347222222248092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44466.333333333336</v>
      </c>
      <c r="F28" s="200" t="s">
        <v>121</v>
      </c>
      <c r="G28" s="201">
        <v>1.60968</v>
      </c>
      <c r="H28" s="201">
        <v>1.61643</v>
      </c>
      <c r="I28" s="202">
        <f t="shared" si="1"/>
        <v>6.7500000000000338E-3</v>
      </c>
      <c r="J28" s="201">
        <v>1.5376300000000001</v>
      </c>
      <c r="K28" s="199">
        <v>44467.536805555559</v>
      </c>
      <c r="L28" s="201">
        <v>1.60999</v>
      </c>
      <c r="M28" s="203">
        <f t="shared" si="2"/>
        <v>-2.9999999999999997E-4</v>
      </c>
      <c r="N28" s="204">
        <f t="shared" si="3"/>
        <v>-0.04</v>
      </c>
      <c r="O28" s="205">
        <f t="shared" si="4"/>
        <v>0</v>
      </c>
      <c r="P28" s="206">
        <f t="shared" si="5"/>
        <v>0</v>
      </c>
      <c r="Q28" s="206">
        <f t="shared" si="6"/>
        <v>-0.04</v>
      </c>
      <c r="R2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106170</v>
      </c>
      <c r="T2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8" s="208">
        <f ca="1">IF(Tabla336106734819[[#This Row],[Equity]]&lt;Tabla336106734819[[#This Row],[Equity Peak]],(Tabla336106734819[[#This Row],[Equity Peak]]-Tabla336106734819[[#This Row],[Equity]])/Tabla336106734819[[#This Row],[Equity Peak]],"")</f>
        <v>2.6052655719658747E-2</v>
      </c>
      <c r="V28" s="209">
        <f t="shared" si="7"/>
        <v>-0.04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1.203472222223354</v>
      </c>
      <c r="AE28" s="210">
        <f t="shared" si="16"/>
        <v>0</v>
      </c>
      <c r="AF28" s="210">
        <f t="shared" si="17"/>
        <v>1.203472222223354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44463.666666666664</v>
      </c>
      <c r="F29" s="200" t="s">
        <v>121</v>
      </c>
      <c r="G29" s="201">
        <v>1.61683</v>
      </c>
      <c r="H29" s="201">
        <v>1.6096200000000001</v>
      </c>
      <c r="I29" s="202">
        <f t="shared" si="1"/>
        <v>7.2099999999999387E-3</v>
      </c>
      <c r="J29" s="201">
        <v>1.6937</v>
      </c>
      <c r="K29" s="199">
        <v>44466.17291666667</v>
      </c>
      <c r="L29" s="201">
        <v>1.6096200000000001</v>
      </c>
      <c r="M29" s="203">
        <f t="shared" si="2"/>
        <v>-7.1999999999999998E-3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106210</v>
      </c>
      <c r="T2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29" s="208">
        <f ca="1">IF(Tabla336106734819[[#This Row],[Equity]]&lt;Tabla336106734819[[#This Row],[Equity Peak]],(Tabla336106734819[[#This Row],[Equity Peak]]-Tabla336106734819[[#This Row],[Equity]])/Tabla336106734819[[#This Row],[Equity Peak]],"")</f>
        <v>2.5685716906705808E-2</v>
      </c>
      <c r="V29" s="209">
        <f t="shared" si="7"/>
        <v>-1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2.5062500000058208</v>
      </c>
      <c r="AE29" s="210">
        <f t="shared" si="16"/>
        <v>0</v>
      </c>
      <c r="AF29" s="210">
        <f t="shared" si="17"/>
        <v>2.5062500000058208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0"/>
        <v>C</v>
      </c>
      <c r="E30" s="199">
        <v>44462.833333333336</v>
      </c>
      <c r="F30" s="200" t="s">
        <v>121</v>
      </c>
      <c r="G30" s="201">
        <v>1.60789</v>
      </c>
      <c r="H30" s="201">
        <v>1.6154900000000001</v>
      </c>
      <c r="I30" s="202">
        <f t="shared" si="1"/>
        <v>7.6000000000000512E-3</v>
      </c>
      <c r="J30" s="201">
        <v>1.5268299999999999</v>
      </c>
      <c r="K30" s="199">
        <v>44463.463194444441</v>
      </c>
      <c r="L30" s="201">
        <v>1.6137699999999999</v>
      </c>
      <c r="M30" s="203">
        <f t="shared" si="2"/>
        <v>-5.8999999999999999E-3</v>
      </c>
      <c r="N30" s="204">
        <f t="shared" si="3"/>
        <v>-0.78</v>
      </c>
      <c r="O30" s="205">
        <f t="shared" si="4"/>
        <v>0</v>
      </c>
      <c r="P30" s="206">
        <f t="shared" si="5"/>
        <v>0</v>
      </c>
      <c r="Q30" s="206">
        <f t="shared" si="6"/>
        <v>-0.78</v>
      </c>
      <c r="R3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107210</v>
      </c>
      <c r="T3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30" s="208">
        <f ca="1">IF(Tabla336106734819[[#This Row],[Equity]]&lt;Tabla336106734819[[#This Row],[Equity Peak]],(Tabla336106734819[[#This Row],[Equity Peak]]-Tabla336106734819[[#This Row],[Equity]])/Tabla336106734819[[#This Row],[Equity Peak]],"")</f>
        <v>1.6512246582882303E-2</v>
      </c>
      <c r="V30" s="209">
        <f t="shared" si="7"/>
        <v>-0.78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0.62986111110512866</v>
      </c>
      <c r="AE30" s="210">
        <f t="shared" si="16"/>
        <v>0</v>
      </c>
      <c r="AF30" s="210">
        <f t="shared" si="17"/>
        <v>0.62986111110512866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44453.5</v>
      </c>
      <c r="F31" s="200" t="s">
        <v>121</v>
      </c>
      <c r="G31" s="201">
        <v>1.6100099999999999</v>
      </c>
      <c r="H31" s="201">
        <v>1.6030500000000001</v>
      </c>
      <c r="I31" s="202">
        <f t="shared" si="1"/>
        <v>6.9599999999998552E-3</v>
      </c>
      <c r="J31" s="201">
        <v>1.6841999999999999</v>
      </c>
      <c r="K31" s="199">
        <v>44455.64166666667</v>
      </c>
      <c r="L31" s="201">
        <v>1.60748</v>
      </c>
      <c r="M31" s="203">
        <f t="shared" si="2"/>
        <v>-2.5000000000000001E-3</v>
      </c>
      <c r="N31" s="204">
        <f t="shared" si="3"/>
        <v>-0.36</v>
      </c>
      <c r="O31" s="205">
        <f t="shared" si="4"/>
        <v>0</v>
      </c>
      <c r="P31" s="206">
        <f t="shared" si="5"/>
        <v>0</v>
      </c>
      <c r="Q31" s="206">
        <f t="shared" si="6"/>
        <v>-0.36</v>
      </c>
      <c r="R3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107990</v>
      </c>
      <c r="T3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31" s="208">
        <f ca="1">IF(Tabla336106734819[[#This Row],[Equity]]&lt;Tabla336106734819[[#This Row],[Equity Peak]],(Tabla336106734819[[#This Row],[Equity Peak]]-Tabla336106734819[[#This Row],[Equity]])/Tabla336106734819[[#This Row],[Equity Peak]],"")</f>
        <v>9.3569397302999732E-3</v>
      </c>
      <c r="V31" s="209">
        <f t="shared" si="7"/>
        <v>-0.36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2.1416666666700621</v>
      </c>
      <c r="AE31" s="210">
        <f t="shared" si="16"/>
        <v>0</v>
      </c>
      <c r="AF31" s="210">
        <f t="shared" si="17"/>
        <v>2.1416666666700621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13</v>
      </c>
      <c r="D32" s="198" t="str">
        <f t="shared" si="0"/>
        <v>C</v>
      </c>
      <c r="E32" s="199">
        <v>44438.017361111109</v>
      </c>
      <c r="F32" s="200" t="s">
        <v>121</v>
      </c>
      <c r="G32" s="201">
        <v>1.6138300000000001</v>
      </c>
      <c r="H32" s="201">
        <v>1.6190100000000001</v>
      </c>
      <c r="I32" s="202">
        <f t="shared" si="1"/>
        <v>5.1799999999999624E-3</v>
      </c>
      <c r="J32" s="201">
        <v>1.5586199999999999</v>
      </c>
      <c r="K32" s="199">
        <v>44438.25</v>
      </c>
      <c r="L32" s="201">
        <v>1.61727</v>
      </c>
      <c r="M32" s="203">
        <f t="shared" si="2"/>
        <v>-3.3999999999999998E-3</v>
      </c>
      <c r="N32" s="204">
        <f t="shared" si="3"/>
        <v>-0.66</v>
      </c>
      <c r="O32" s="205">
        <f t="shared" si="4"/>
        <v>0</v>
      </c>
      <c r="P32" s="206">
        <f t="shared" si="5"/>
        <v>0</v>
      </c>
      <c r="Q32" s="206">
        <f t="shared" si="6"/>
        <v>-0.66</v>
      </c>
      <c r="R3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108350</v>
      </c>
      <c r="T3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32" s="208">
        <f ca="1">IF(Tabla336106734819[[#This Row],[Equity]]&lt;Tabla336106734819[[#This Row],[Equity Peak]],(Tabla336106734819[[#This Row],[Equity Peak]]-Tabla336106734819[[#This Row],[Equity]])/Tabla336106734819[[#This Row],[Equity Peak]],"")</f>
        <v>6.0544904137235112E-3</v>
      </c>
      <c r="V32" s="209">
        <f t="shared" si="7"/>
        <v>-0.66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0.23263888889050577</v>
      </c>
      <c r="AE32" s="210">
        <f t="shared" si="16"/>
        <v>0</v>
      </c>
      <c r="AF32" s="210">
        <f t="shared" si="17"/>
        <v>0.23263888889050577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ref="D33:D60" si="19">IF(E33&lt;&gt;"",IF(K33&lt;&gt;"","C","O"),"")</f>
        <v>C</v>
      </c>
      <c r="E33" s="199">
        <v>44424.017361111109</v>
      </c>
      <c r="F33" s="200" t="s">
        <v>121</v>
      </c>
      <c r="G33" s="201">
        <v>1.6000799999999999</v>
      </c>
      <c r="H33" s="201">
        <v>1.5963400000000001</v>
      </c>
      <c r="I33" s="202">
        <f t="shared" ref="I33:I60" si="20">ABS(G33-H33)</f>
        <v>3.7399999999998546E-3</v>
      </c>
      <c r="J33" s="201">
        <v>1.64001</v>
      </c>
      <c r="K33" s="199">
        <v>44428.35</v>
      </c>
      <c r="L33" s="201">
        <v>1.64001</v>
      </c>
      <c r="M33" s="203">
        <f t="shared" ref="M33:M60" si="21">ROUND(IF(C33="L",(L33-G33),(G33-L33)),4)</f>
        <v>3.9899999999999998E-2</v>
      </c>
      <c r="N33" s="204">
        <f t="shared" ref="N33:N60" si="22">IFERROR(ROUND((M33/I33),2),"")</f>
        <v>10.67</v>
      </c>
      <c r="O33" s="205">
        <f t="shared" ref="O33:O60" si="23">IF(D33="O",IF(N33&lt;0,N33,0),0)</f>
        <v>0</v>
      </c>
      <c r="P33" s="206">
        <f t="shared" ref="P33:P60" si="24">IF(N33&gt;= 0,N33,0)</f>
        <v>10.67</v>
      </c>
      <c r="Q33" s="206">
        <f t="shared" ref="Q33:Q60" si="25">IF(N33&lt;0,N33,0)</f>
        <v>0</v>
      </c>
      <c r="R3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109010</v>
      </c>
      <c r="T3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109010</v>
      </c>
      <c r="U33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33" s="209">
        <f t="shared" ref="V33:V60" si="26">IF(B33="FX",N33,0)</f>
        <v>10.67</v>
      </c>
      <c r="W33" s="209">
        <f t="shared" ref="W33:W60" si="27">IF(D33="O",IF(V33&lt;0,V33,0),0)</f>
        <v>0</v>
      </c>
      <c r="X33" s="209">
        <f t="shared" ref="X33:X60" si="28">IF(B33="COM",N33,0)</f>
        <v>0</v>
      </c>
      <c r="Y33" s="209">
        <f t="shared" ref="Y33:Y60" si="29">IF(D33="O",IF(X33&lt;0,X33,0),0)</f>
        <v>0</v>
      </c>
      <c r="Z33" s="209">
        <f t="shared" ref="Z33:Z60" si="30">IF(B33="IND",N33,0)</f>
        <v>0</v>
      </c>
      <c r="AA33" s="205">
        <f t="shared" ref="AA33:AA60" si="31">IF(D33="O",IF(Z33&lt;0,Z33,0),0)</f>
        <v>0</v>
      </c>
      <c r="AB33" s="209">
        <f t="shared" ref="AB33:AB60" si="32">IF(B33="CRYPTO",N33,0)</f>
        <v>0</v>
      </c>
      <c r="AC33" s="205">
        <f t="shared" ref="AC33:AC60" si="33">IF(D33="O",IF(AB33&lt;0,AB33,0),0)</f>
        <v>0</v>
      </c>
      <c r="AD33" s="210">
        <f t="shared" ref="AD33:AD60" si="34">IF(K33&lt;&gt;"",K33-E33,0)</f>
        <v>4.3326388888890506</v>
      </c>
      <c r="AE33" s="210">
        <f t="shared" ref="AE33:AE60" si="35">IF(N33&gt;0,AD33,0)</f>
        <v>4.3326388888890506</v>
      </c>
      <c r="AF33" s="210">
        <f t="shared" ref="AF33:AF60" si="36">IF(N33&lt;0,AD33,0)</f>
        <v>0</v>
      </c>
      <c r="AG33" s="210">
        <f t="shared" ref="AG33:AG60" si="37">IF(N33=0,AD33,0)</f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44396.166666666664</v>
      </c>
      <c r="F34" s="200" t="s">
        <v>121</v>
      </c>
      <c r="G34" s="201">
        <v>1.5995699999999999</v>
      </c>
      <c r="H34" s="201">
        <v>1.59379</v>
      </c>
      <c r="I34" s="202">
        <f t="shared" si="20"/>
        <v>5.7799999999998963E-3</v>
      </c>
      <c r="J34" s="201">
        <v>1.66117</v>
      </c>
      <c r="K34" s="199">
        <v>44399</v>
      </c>
      <c r="L34" s="201">
        <v>1.60165</v>
      </c>
      <c r="M34" s="203">
        <f t="shared" si="21"/>
        <v>2.0999999999999999E-3</v>
      </c>
      <c r="N34" s="204">
        <f t="shared" si="22"/>
        <v>0.36</v>
      </c>
      <c r="O34" s="205">
        <f t="shared" si="23"/>
        <v>0</v>
      </c>
      <c r="P34" s="206">
        <f t="shared" si="24"/>
        <v>0.36</v>
      </c>
      <c r="Q34" s="206">
        <f t="shared" si="25"/>
        <v>0</v>
      </c>
      <c r="R3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98340</v>
      </c>
      <c r="T3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34" s="208">
        <f ca="1">IF(Tabla336106734819[[#This Row],[Equity]]&lt;Tabla336106734819[[#This Row],[Equity Peak]],(Tabla336106734819[[#This Row],[Equity Peak]]-Tabla336106734819[[#This Row],[Equity]])/Tabla336106734819[[#This Row],[Equity Peak]],"")</f>
        <v>2.8644804425128408E-2</v>
      </c>
      <c r="V34" s="209">
        <f t="shared" si="26"/>
        <v>0.36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2.8333333333357587</v>
      </c>
      <c r="AE34" s="210">
        <f t="shared" si="35"/>
        <v>2.8333333333357587</v>
      </c>
      <c r="AF34" s="210">
        <f t="shared" si="36"/>
        <v>0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19"/>
        <v>C</v>
      </c>
      <c r="E35" s="199">
        <v>44385.333333333336</v>
      </c>
      <c r="F35" s="200" t="s">
        <v>121</v>
      </c>
      <c r="G35" s="201">
        <v>1.58019</v>
      </c>
      <c r="H35" s="201">
        <v>1.57257</v>
      </c>
      <c r="I35" s="202">
        <f t="shared" si="20"/>
        <v>7.6199999999999601E-3</v>
      </c>
      <c r="J35" s="201">
        <v>1.6614500000000001</v>
      </c>
      <c r="K35" s="199">
        <v>44386.754861111112</v>
      </c>
      <c r="L35" s="201">
        <v>1.5852200000000001</v>
      </c>
      <c r="M35" s="203">
        <f t="shared" si="21"/>
        <v>5.0000000000000001E-3</v>
      </c>
      <c r="N35" s="204">
        <f t="shared" si="22"/>
        <v>0.66</v>
      </c>
      <c r="O35" s="205">
        <f t="shared" si="23"/>
        <v>0</v>
      </c>
      <c r="P35" s="206">
        <f t="shared" si="24"/>
        <v>0.66</v>
      </c>
      <c r="Q35" s="206">
        <f t="shared" si="25"/>
        <v>0</v>
      </c>
      <c r="R3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97980</v>
      </c>
      <c r="T3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35" s="208">
        <f ca="1">IF(Tabla336106734819[[#This Row],[Equity]]&lt;Tabla336106734819[[#This Row],[Equity Peak]],(Tabla336106734819[[#This Row],[Equity Peak]]-Tabla336106734819[[#This Row],[Equity]])/Tabla336106734819[[#This Row],[Equity Peak]],"")</f>
        <v>3.2200711181351246E-2</v>
      </c>
      <c r="V35" s="209">
        <f t="shared" si="26"/>
        <v>0.66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1.421527777776646</v>
      </c>
      <c r="AE35" s="210">
        <f t="shared" si="35"/>
        <v>1.421527777776646</v>
      </c>
      <c r="AF35" s="210">
        <f t="shared" si="36"/>
        <v>0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13</v>
      </c>
      <c r="D36" s="198" t="str">
        <f t="shared" si="19"/>
        <v>C</v>
      </c>
      <c r="E36" s="199">
        <v>44382.5</v>
      </c>
      <c r="F36" s="200" t="s">
        <v>121</v>
      </c>
      <c r="G36" s="201">
        <v>1.57602</v>
      </c>
      <c r="H36" s="201">
        <v>1.5811299999999999</v>
      </c>
      <c r="I36" s="202">
        <f t="shared" si="20"/>
        <v>5.1099999999999479E-3</v>
      </c>
      <c r="J36" s="201">
        <v>1.5215099999999999</v>
      </c>
      <c r="K36" s="199">
        <v>44383.712500000001</v>
      </c>
      <c r="L36" s="201">
        <v>1.57009</v>
      </c>
      <c r="M36" s="203">
        <f t="shared" si="21"/>
        <v>5.8999999999999999E-3</v>
      </c>
      <c r="N36" s="204">
        <f t="shared" si="22"/>
        <v>1.1499999999999999</v>
      </c>
      <c r="O36" s="205">
        <f t="shared" si="23"/>
        <v>0</v>
      </c>
      <c r="P36" s="206">
        <f t="shared" si="24"/>
        <v>1.1499999999999999</v>
      </c>
      <c r="Q36" s="206">
        <f t="shared" si="25"/>
        <v>0</v>
      </c>
      <c r="R3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97320</v>
      </c>
      <c r="T3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36" s="208">
        <f ca="1">IF(Tabla336106734819[[#This Row],[Equity]]&lt;Tabla336106734819[[#This Row],[Equity Peak]],(Tabla336106734819[[#This Row],[Equity Peak]]-Tabla336106734819[[#This Row],[Equity]])/Tabla336106734819[[#This Row],[Equity Peak]],"")</f>
        <v>3.8719873567759779E-2</v>
      </c>
      <c r="V36" s="209">
        <f t="shared" si="26"/>
        <v>1.1499999999999999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1.2125000000014552</v>
      </c>
      <c r="AE36" s="210">
        <f t="shared" si="35"/>
        <v>1.2125000000014552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19"/>
        <v>C</v>
      </c>
      <c r="E37" s="199">
        <v>44376.333333333336</v>
      </c>
      <c r="F37" s="200" t="s">
        <v>121</v>
      </c>
      <c r="G37" s="201">
        <v>1.5771999999999999</v>
      </c>
      <c r="H37" s="201">
        <v>1.57311</v>
      </c>
      <c r="I37" s="202">
        <f t="shared" si="20"/>
        <v>4.089999999999927E-3</v>
      </c>
      <c r="J37" s="201">
        <v>1.6208100000000001</v>
      </c>
      <c r="K37" s="199">
        <v>44377.745833333334</v>
      </c>
      <c r="L37" s="201">
        <v>1.5788599999999999</v>
      </c>
      <c r="M37" s="203">
        <f t="shared" si="21"/>
        <v>1.6999999999999999E-3</v>
      </c>
      <c r="N37" s="204">
        <f t="shared" si="22"/>
        <v>0.42</v>
      </c>
      <c r="O37" s="205">
        <f t="shared" si="23"/>
        <v>0</v>
      </c>
      <c r="P37" s="206">
        <f t="shared" si="24"/>
        <v>0.42</v>
      </c>
      <c r="Q37" s="206">
        <f t="shared" si="25"/>
        <v>0</v>
      </c>
      <c r="R3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96170</v>
      </c>
      <c r="T3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37" s="208">
        <f ca="1">IF(Tabla336106734819[[#This Row],[Equity]]&lt;Tabla336106734819[[#This Row],[Equity Peak]],(Tabla336106734819[[#This Row],[Equity Peak]]-Tabla336106734819[[#This Row],[Equity]])/Tabla336106734819[[#This Row],[Equity Peak]],"")</f>
        <v>5.0079020150138286E-2</v>
      </c>
      <c r="V37" s="209">
        <f t="shared" si="26"/>
        <v>0.42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1.4124999999985448</v>
      </c>
      <c r="AE37" s="210">
        <f t="shared" si="35"/>
        <v>1.4124999999985448</v>
      </c>
      <c r="AF37" s="210">
        <f t="shared" si="36"/>
        <v>0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13</v>
      </c>
      <c r="D38" s="198" t="str">
        <f t="shared" si="19"/>
        <v>C</v>
      </c>
      <c r="E38" s="199">
        <v>44371.017361111109</v>
      </c>
      <c r="F38" s="200" t="s">
        <v>121</v>
      </c>
      <c r="G38" s="201">
        <v>1.5740799999999999</v>
      </c>
      <c r="H38" s="201">
        <v>1.5796600000000001</v>
      </c>
      <c r="I38" s="202">
        <f t="shared" si="20"/>
        <v>5.5800000000001404E-3</v>
      </c>
      <c r="J38" s="201">
        <v>1.5145599999999999</v>
      </c>
      <c r="K38" s="199">
        <v>44375.495833333334</v>
      </c>
      <c r="L38" s="201">
        <v>1.57473</v>
      </c>
      <c r="M38" s="203">
        <f t="shared" si="21"/>
        <v>-6.9999999999999999E-4</v>
      </c>
      <c r="N38" s="204">
        <f t="shared" si="22"/>
        <v>-0.13</v>
      </c>
      <c r="O38" s="205">
        <f t="shared" si="23"/>
        <v>0</v>
      </c>
      <c r="P38" s="206">
        <f t="shared" si="24"/>
        <v>0</v>
      </c>
      <c r="Q38" s="206">
        <f t="shared" si="25"/>
        <v>-0.13</v>
      </c>
      <c r="R3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95750</v>
      </c>
      <c r="T3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38" s="208">
        <f ca="1">IF(Tabla336106734819[[#This Row],[Equity]]&lt;Tabla336106734819[[#This Row],[Equity Peak]],(Tabla336106734819[[#This Row],[Equity Peak]]-Tabla336106734819[[#This Row],[Equity]])/Tabla336106734819[[#This Row],[Equity Peak]],"")</f>
        <v>5.4227578032398263E-2</v>
      </c>
      <c r="V38" s="209">
        <f t="shared" si="26"/>
        <v>-0.13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4.4784722222248092</v>
      </c>
      <c r="AE38" s="210">
        <f t="shared" si="35"/>
        <v>0</v>
      </c>
      <c r="AF38" s="210">
        <f t="shared" si="36"/>
        <v>4.4784722222248092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19"/>
        <v>C</v>
      </c>
      <c r="E39" s="199">
        <v>44368.017361111109</v>
      </c>
      <c r="F39" s="200" t="s">
        <v>121</v>
      </c>
      <c r="G39" s="201">
        <v>1.5848100000000001</v>
      </c>
      <c r="H39" s="201">
        <v>1.57751</v>
      </c>
      <c r="I39" s="202">
        <f t="shared" si="20"/>
        <v>7.3000000000000842E-3</v>
      </c>
      <c r="J39" s="201">
        <v>1.66272</v>
      </c>
      <c r="K39" s="199">
        <v>44368.21875</v>
      </c>
      <c r="L39" s="201">
        <v>1.57856</v>
      </c>
      <c r="M39" s="203">
        <f t="shared" si="21"/>
        <v>-6.3E-3</v>
      </c>
      <c r="N39" s="204">
        <f t="shared" si="22"/>
        <v>-0.86</v>
      </c>
      <c r="O39" s="205">
        <f t="shared" si="23"/>
        <v>0</v>
      </c>
      <c r="P39" s="206">
        <f t="shared" si="24"/>
        <v>0</v>
      </c>
      <c r="Q39" s="206">
        <f t="shared" si="25"/>
        <v>-0.86</v>
      </c>
      <c r="R3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95880</v>
      </c>
      <c r="T3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39" s="208">
        <f ca="1">IF(Tabla336106734819[[#This Row],[Equity]]&lt;Tabla336106734819[[#This Row],[Equity Peak]],(Tabla336106734819[[#This Row],[Equity Peak]]-Tabla336106734819[[#This Row],[Equity]])/Tabla336106734819[[#This Row],[Equity Peak]],"")</f>
        <v>5.2943500592651127E-2</v>
      </c>
      <c r="V39" s="209">
        <f t="shared" si="26"/>
        <v>-0.86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0.20138888889050577</v>
      </c>
      <c r="AE39" s="210">
        <f t="shared" si="35"/>
        <v>0</v>
      </c>
      <c r="AF39" s="210">
        <f t="shared" si="36"/>
        <v>0.20138888889050577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19"/>
        <v>C</v>
      </c>
      <c r="E40" s="199">
        <v>44362.5</v>
      </c>
      <c r="F40" s="200" t="s">
        <v>121</v>
      </c>
      <c r="G40" s="201">
        <v>1.57704</v>
      </c>
      <c r="H40" s="201">
        <v>1.57212</v>
      </c>
      <c r="I40" s="202">
        <f t="shared" si="20"/>
        <v>4.9200000000000355E-3</v>
      </c>
      <c r="J40" s="201">
        <v>1.6294999999999999</v>
      </c>
      <c r="K40" s="199">
        <v>44363.537499999999</v>
      </c>
      <c r="L40" s="201">
        <v>1.5727</v>
      </c>
      <c r="M40" s="203">
        <f t="shared" si="21"/>
        <v>-4.3E-3</v>
      </c>
      <c r="N40" s="204">
        <f t="shared" si="22"/>
        <v>-0.87</v>
      </c>
      <c r="O40" s="205">
        <f t="shared" si="23"/>
        <v>0</v>
      </c>
      <c r="P40" s="206">
        <f t="shared" si="24"/>
        <v>0</v>
      </c>
      <c r="Q40" s="206">
        <f t="shared" si="25"/>
        <v>-0.87</v>
      </c>
      <c r="R4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96740</v>
      </c>
      <c r="T4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0" s="208">
        <f ca="1">IF(Tabla336106734819[[#This Row],[Equity]]&lt;Tabla336106734819[[#This Row],[Equity Peak]],(Tabla336106734819[[#This Row],[Equity Peak]]-Tabla336106734819[[#This Row],[Equity]])/Tabla336106734819[[#This Row],[Equity Peak]],"")</f>
        <v>4.4448834452785461E-2</v>
      </c>
      <c r="V40" s="209">
        <f t="shared" si="26"/>
        <v>-0.87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1.0374999999985448</v>
      </c>
      <c r="AE40" s="210">
        <f t="shared" si="35"/>
        <v>0</v>
      </c>
      <c r="AF40" s="210">
        <f t="shared" si="36"/>
        <v>1.0374999999985448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15</v>
      </c>
      <c r="D41" s="198" t="str">
        <f t="shared" si="19"/>
        <v>C</v>
      </c>
      <c r="E41" s="199">
        <v>44356.833333333336</v>
      </c>
      <c r="F41" s="200" t="s">
        <v>121</v>
      </c>
      <c r="G41" s="201">
        <v>1.57504</v>
      </c>
      <c r="H41" s="201">
        <v>1.57117</v>
      </c>
      <c r="I41" s="202">
        <f t="shared" si="20"/>
        <v>3.8700000000000401E-3</v>
      </c>
      <c r="J41" s="201">
        <v>1.6163400000000001</v>
      </c>
      <c r="K41" s="199">
        <v>44357.337500000001</v>
      </c>
      <c r="L41" s="201">
        <v>1.5726899999999999</v>
      </c>
      <c r="M41" s="203">
        <f t="shared" si="21"/>
        <v>-2.3999999999999998E-3</v>
      </c>
      <c r="N41" s="204">
        <f t="shared" si="22"/>
        <v>-0.62</v>
      </c>
      <c r="O41" s="205">
        <f t="shared" si="23"/>
        <v>0</v>
      </c>
      <c r="P41" s="206">
        <f t="shared" si="24"/>
        <v>0</v>
      </c>
      <c r="Q41" s="206">
        <f t="shared" si="25"/>
        <v>-0.62</v>
      </c>
      <c r="R4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97610</v>
      </c>
      <c r="T4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1" s="208">
        <f ca="1">IF(Tabla336106734819[[#This Row],[Equity]]&lt;Tabla336106734819[[#This Row],[Equity Peak]],(Tabla336106734819[[#This Row],[Equity Peak]]-Tabla336106734819[[#This Row],[Equity]])/Tabla336106734819[[#This Row],[Equity Peak]],"")</f>
        <v>3.5855393125246937E-2</v>
      </c>
      <c r="V41" s="209">
        <f t="shared" si="26"/>
        <v>-0.62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0.50416666666569654</v>
      </c>
      <c r="AE41" s="210">
        <f t="shared" si="35"/>
        <v>0</v>
      </c>
      <c r="AF41" s="210">
        <f t="shared" si="36"/>
        <v>0.50416666666569654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15</v>
      </c>
      <c r="D42" s="198" t="str">
        <f t="shared" si="19"/>
        <v>C</v>
      </c>
      <c r="E42" s="199">
        <v>44328.5</v>
      </c>
      <c r="F42" s="200" t="s">
        <v>121</v>
      </c>
      <c r="G42" s="201">
        <v>1.5547800000000001</v>
      </c>
      <c r="H42" s="201">
        <v>1.5488200000000001</v>
      </c>
      <c r="I42" s="202">
        <f t="shared" si="20"/>
        <v>5.9599999999999653E-3</v>
      </c>
      <c r="J42" s="201">
        <v>1.61835</v>
      </c>
      <c r="K42" s="199">
        <v>44334.214583333334</v>
      </c>
      <c r="L42" s="201">
        <v>1.5607800000000001</v>
      </c>
      <c r="M42" s="203">
        <f t="shared" si="21"/>
        <v>6.0000000000000001E-3</v>
      </c>
      <c r="N42" s="204">
        <f t="shared" si="22"/>
        <v>1.01</v>
      </c>
      <c r="O42" s="205">
        <f t="shared" si="23"/>
        <v>0</v>
      </c>
      <c r="P42" s="206">
        <f t="shared" si="24"/>
        <v>1.01</v>
      </c>
      <c r="Q42" s="206">
        <f t="shared" si="25"/>
        <v>0</v>
      </c>
      <c r="R4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98230</v>
      </c>
      <c r="T4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2" s="208">
        <f ca="1">IF(Tabla336106734819[[#This Row],[Equity]]&lt;Tabla336106734819[[#This Row],[Equity Peak]],(Tabla336106734819[[#This Row],[Equity Peak]]-Tabla336106734819[[#This Row],[Equity]])/Tabla336106734819[[#This Row],[Equity Peak]],"")</f>
        <v>2.973133148952983E-2</v>
      </c>
      <c r="V42" s="209">
        <f t="shared" si="26"/>
        <v>1.01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5.7145833333343035</v>
      </c>
      <c r="AE42" s="210">
        <f t="shared" si="35"/>
        <v>5.7145833333343035</v>
      </c>
      <c r="AF42" s="210">
        <f t="shared" si="36"/>
        <v>0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13</v>
      </c>
      <c r="D43" s="198" t="str">
        <f t="shared" si="19"/>
        <v>C</v>
      </c>
      <c r="E43" s="199">
        <v>44321.666666666664</v>
      </c>
      <c r="F43" s="200" t="s">
        <v>121</v>
      </c>
      <c r="G43" s="201">
        <v>1.5504199999999999</v>
      </c>
      <c r="H43" s="201">
        <v>1.55643</v>
      </c>
      <c r="I43" s="202">
        <f t="shared" si="20"/>
        <v>6.0100000000000708E-3</v>
      </c>
      <c r="J43" s="201">
        <v>1.4863500000000001</v>
      </c>
      <c r="K43" s="199">
        <v>44322.23541666667</v>
      </c>
      <c r="L43" s="201">
        <v>1.55521</v>
      </c>
      <c r="M43" s="203">
        <f t="shared" si="21"/>
        <v>-4.7999999999999996E-3</v>
      </c>
      <c r="N43" s="204">
        <f t="shared" si="22"/>
        <v>-0.8</v>
      </c>
      <c r="O43" s="205">
        <f t="shared" si="23"/>
        <v>0</v>
      </c>
      <c r="P43" s="206">
        <f t="shared" si="24"/>
        <v>0</v>
      </c>
      <c r="Q43" s="206">
        <f t="shared" si="25"/>
        <v>-0.8</v>
      </c>
      <c r="R4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97220</v>
      </c>
      <c r="T4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3" s="208">
        <f ca="1">IF(Tabla336106734819[[#This Row],[Equity]]&lt;Tabla336106734819[[#This Row],[Equity Peak]],(Tabla336106734819[[#This Row],[Equity Peak]]-Tabla336106734819[[#This Row],[Equity]])/Tabla336106734819[[#This Row],[Equity Peak]],"")</f>
        <v>3.9707625444488345E-2</v>
      </c>
      <c r="V43" s="209">
        <f t="shared" si="26"/>
        <v>-0.8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0.56875000000582077</v>
      </c>
      <c r="AE43" s="210">
        <f t="shared" si="35"/>
        <v>0</v>
      </c>
      <c r="AF43" s="210">
        <f t="shared" si="36"/>
        <v>0.56875000000582077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19"/>
        <v>C</v>
      </c>
      <c r="E44" s="199">
        <v>44314.017361111109</v>
      </c>
      <c r="F44" s="200" t="s">
        <v>121</v>
      </c>
      <c r="G44" s="201">
        <v>1.5564899999999999</v>
      </c>
      <c r="H44" s="201">
        <v>1.5512699999999999</v>
      </c>
      <c r="I44" s="202">
        <f t="shared" si="20"/>
        <v>5.2200000000000024E-3</v>
      </c>
      <c r="J44" s="201">
        <v>1.61219</v>
      </c>
      <c r="K44" s="199">
        <v>44319.750694444447</v>
      </c>
      <c r="L44" s="201">
        <v>1.5550999999999999</v>
      </c>
      <c r="M44" s="203">
        <f t="shared" si="21"/>
        <v>-1.4E-3</v>
      </c>
      <c r="N44" s="204">
        <f t="shared" si="22"/>
        <v>-0.27</v>
      </c>
      <c r="O44" s="205">
        <f t="shared" si="23"/>
        <v>0</v>
      </c>
      <c r="P44" s="206">
        <f t="shared" si="24"/>
        <v>0</v>
      </c>
      <c r="Q44" s="206">
        <f t="shared" si="25"/>
        <v>-0.27</v>
      </c>
      <c r="R4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98020</v>
      </c>
      <c r="T4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4" s="208">
        <f ca="1">IF(Tabla336106734819[[#This Row],[Equity]]&lt;Tabla336106734819[[#This Row],[Equity Peak]],(Tabla336106734819[[#This Row],[Equity Peak]]-Tabla336106734819[[#This Row],[Equity]])/Tabla336106734819[[#This Row],[Equity Peak]],"")</f>
        <v>3.1805610430659818E-2</v>
      </c>
      <c r="V44" s="209">
        <f t="shared" si="26"/>
        <v>-0.27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5.7333333333372138</v>
      </c>
      <c r="AE44" s="210">
        <f t="shared" si="35"/>
        <v>0</v>
      </c>
      <c r="AF44" s="210">
        <f t="shared" si="36"/>
        <v>5.7333333333372138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13</v>
      </c>
      <c r="D45" s="198" t="str">
        <f t="shared" si="19"/>
        <v>C</v>
      </c>
      <c r="E45" s="199">
        <v>44313.017361111109</v>
      </c>
      <c r="F45" s="200" t="s">
        <v>121</v>
      </c>
      <c r="G45" s="201">
        <v>1.54765</v>
      </c>
      <c r="H45" s="201">
        <v>1.5544500000000001</v>
      </c>
      <c r="I45" s="202">
        <f t="shared" si="20"/>
        <v>6.8000000000001393E-3</v>
      </c>
      <c r="J45" s="201">
        <v>1.47512</v>
      </c>
      <c r="K45" s="199">
        <v>44313.67291666667</v>
      </c>
      <c r="L45" s="201">
        <v>1.5544500000000001</v>
      </c>
      <c r="M45" s="203">
        <f t="shared" si="21"/>
        <v>-6.7999999999999996E-3</v>
      </c>
      <c r="N45" s="204">
        <f t="shared" si="22"/>
        <v>-1</v>
      </c>
      <c r="O45" s="205">
        <f t="shared" si="23"/>
        <v>0</v>
      </c>
      <c r="P45" s="206">
        <f t="shared" si="24"/>
        <v>0</v>
      </c>
      <c r="Q45" s="206">
        <f t="shared" si="25"/>
        <v>-1</v>
      </c>
      <c r="R4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98290</v>
      </c>
      <c r="T4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5" s="208">
        <f ca="1">IF(Tabla336106734819[[#This Row],[Equity]]&lt;Tabla336106734819[[#This Row],[Equity Peak]],(Tabla336106734819[[#This Row],[Equity Peak]]-Tabla336106734819[[#This Row],[Equity]])/Tabla336106734819[[#This Row],[Equity Peak]],"")</f>
        <v>2.9138680363492691E-2</v>
      </c>
      <c r="V45" s="209">
        <f t="shared" si="26"/>
        <v>-1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0.65555555556056788</v>
      </c>
      <c r="AE45" s="210">
        <f t="shared" si="35"/>
        <v>0</v>
      </c>
      <c r="AF45" s="210">
        <f t="shared" si="36"/>
        <v>0.65555555556056788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19"/>
        <v>C</v>
      </c>
      <c r="E46" s="199">
        <v>44307.017361111109</v>
      </c>
      <c r="F46" s="200" t="s">
        <v>121</v>
      </c>
      <c r="G46" s="201">
        <v>1.55776</v>
      </c>
      <c r="H46" s="201">
        <v>1.55105</v>
      </c>
      <c r="I46" s="202">
        <f t="shared" si="20"/>
        <v>6.7099999999999937E-3</v>
      </c>
      <c r="J46" s="201">
        <v>1.62931</v>
      </c>
      <c r="K46" s="199">
        <v>44307.723611111112</v>
      </c>
      <c r="L46" s="201">
        <v>1.5532300000000001</v>
      </c>
      <c r="M46" s="203">
        <f t="shared" si="21"/>
        <v>-4.4999999999999997E-3</v>
      </c>
      <c r="N46" s="204">
        <f t="shared" si="22"/>
        <v>-0.67</v>
      </c>
      <c r="O46" s="205">
        <f t="shared" si="23"/>
        <v>0</v>
      </c>
      <c r="P46" s="206">
        <f t="shared" si="24"/>
        <v>0</v>
      </c>
      <c r="Q46" s="206">
        <f t="shared" si="25"/>
        <v>-0.67</v>
      </c>
      <c r="R4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99290</v>
      </c>
      <c r="T4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6" s="208">
        <f ca="1">IF(Tabla336106734819[[#This Row],[Equity]]&lt;Tabla336106734819[[#This Row],[Equity Peak]],(Tabla336106734819[[#This Row],[Equity Peak]]-Tabla336106734819[[#This Row],[Equity]])/Tabla336106734819[[#This Row],[Equity Peak]],"")</f>
        <v>1.9261161596207034E-2</v>
      </c>
      <c r="V46" s="209">
        <f t="shared" si="26"/>
        <v>-0.67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0.70625000000291038</v>
      </c>
      <c r="AE46" s="210">
        <f t="shared" si="35"/>
        <v>0</v>
      </c>
      <c r="AF46" s="210">
        <f t="shared" si="36"/>
        <v>0.70625000000291038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44301.166666666664</v>
      </c>
      <c r="F47" s="200" t="s">
        <v>121</v>
      </c>
      <c r="G47" s="201">
        <v>1.5487200000000001</v>
      </c>
      <c r="H47" s="201">
        <v>1.55433</v>
      </c>
      <c r="I47" s="202">
        <f t="shared" si="20"/>
        <v>5.6099999999998929E-3</v>
      </c>
      <c r="J47" s="201">
        <v>1.4888600000000001</v>
      </c>
      <c r="K47" s="199">
        <v>44302.772916666669</v>
      </c>
      <c r="L47" s="201">
        <v>1.54976</v>
      </c>
      <c r="M47" s="203">
        <f t="shared" si="21"/>
        <v>-1E-3</v>
      </c>
      <c r="N47" s="204">
        <f t="shared" si="22"/>
        <v>-0.18</v>
      </c>
      <c r="O47" s="205">
        <f t="shared" si="23"/>
        <v>0</v>
      </c>
      <c r="P47" s="206">
        <f t="shared" si="24"/>
        <v>0</v>
      </c>
      <c r="Q47" s="206">
        <f t="shared" si="25"/>
        <v>-0.18</v>
      </c>
      <c r="R4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99960</v>
      </c>
      <c r="T4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7" s="208">
        <f ca="1">IF(Tabla336106734819[[#This Row],[Equity]]&lt;Tabla336106734819[[#This Row],[Equity Peak]],(Tabla336106734819[[#This Row],[Equity Peak]]-Tabla336106734819[[#This Row],[Equity]])/Tabla336106734819[[#This Row],[Equity Peak]],"")</f>
        <v>1.2643224022125641E-2</v>
      </c>
      <c r="V47" s="209">
        <f t="shared" si="26"/>
        <v>-0.18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1.6062500000043656</v>
      </c>
      <c r="AE47" s="210">
        <f t="shared" si="35"/>
        <v>0</v>
      </c>
      <c r="AF47" s="210">
        <f t="shared" si="36"/>
        <v>1.6062500000043656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15</v>
      </c>
      <c r="D48" s="198" t="str">
        <f t="shared" si="19"/>
        <v>C</v>
      </c>
      <c r="E48" s="199">
        <v>44292.5</v>
      </c>
      <c r="F48" s="200" t="s">
        <v>121</v>
      </c>
      <c r="G48" s="201">
        <v>1.54881</v>
      </c>
      <c r="H48" s="201">
        <v>1.5431900000000001</v>
      </c>
      <c r="I48" s="202">
        <f t="shared" si="20"/>
        <v>5.6199999999999584E-3</v>
      </c>
      <c r="J48" s="201">
        <v>1.6088</v>
      </c>
      <c r="K48" s="199">
        <v>44300.400694444441</v>
      </c>
      <c r="L48" s="201">
        <v>1.55846</v>
      </c>
      <c r="M48" s="203">
        <f t="shared" si="21"/>
        <v>9.5999999999999992E-3</v>
      </c>
      <c r="N48" s="204">
        <f t="shared" si="22"/>
        <v>1.71</v>
      </c>
      <c r="O48" s="205">
        <f t="shared" si="23"/>
        <v>0</v>
      </c>
      <c r="P48" s="206">
        <f t="shared" si="24"/>
        <v>1.71</v>
      </c>
      <c r="Q48" s="206">
        <f t="shared" si="25"/>
        <v>0</v>
      </c>
      <c r="R4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100140</v>
      </c>
      <c r="T4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8" s="208">
        <f ca="1">IF(Tabla336106734819[[#This Row],[Equity]]&lt;Tabla336106734819[[#This Row],[Equity Peak]],(Tabla336106734819[[#This Row],[Equity Peak]]-Tabla336106734819[[#This Row],[Equity]])/Tabla336106734819[[#This Row],[Equity Peak]],"")</f>
        <v>1.0865270644014224E-2</v>
      </c>
      <c r="V48" s="209">
        <f t="shared" si="26"/>
        <v>1.71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7.9006944444408873</v>
      </c>
      <c r="AE48" s="210">
        <f t="shared" si="35"/>
        <v>7.9006944444408873</v>
      </c>
      <c r="AF48" s="210">
        <f t="shared" si="36"/>
        <v>0</v>
      </c>
      <c r="AG48" s="210">
        <f t="shared" si="37"/>
        <v>0</v>
      </c>
    </row>
    <row r="49" spans="2:33" ht="15" customHeight="1" x14ac:dyDescent="0.3">
      <c r="B49" s="196" t="s">
        <v>7</v>
      </c>
      <c r="C49" s="197" t="s">
        <v>13</v>
      </c>
      <c r="D49" s="198" t="str">
        <f t="shared" si="19"/>
        <v>C</v>
      </c>
      <c r="E49" s="199">
        <v>44291.017361111109</v>
      </c>
      <c r="F49" s="200" t="s">
        <v>121</v>
      </c>
      <c r="G49" s="201">
        <v>1.5456300000000001</v>
      </c>
      <c r="H49" s="201">
        <v>1.5528999999999999</v>
      </c>
      <c r="I49" s="202">
        <f t="shared" si="20"/>
        <v>7.2699999999998877E-3</v>
      </c>
      <c r="J49" s="201">
        <v>1.4680899999999999</v>
      </c>
      <c r="K49" s="199">
        <v>44292.450694444444</v>
      </c>
      <c r="L49" s="201">
        <v>1.548</v>
      </c>
      <c r="M49" s="203">
        <f t="shared" si="21"/>
        <v>-2.3999999999999998E-3</v>
      </c>
      <c r="N49" s="204">
        <f t="shared" si="22"/>
        <v>-0.33</v>
      </c>
      <c r="O49" s="205">
        <f t="shared" si="23"/>
        <v>0</v>
      </c>
      <c r="P49" s="206">
        <f t="shared" si="24"/>
        <v>0</v>
      </c>
      <c r="Q49" s="206">
        <f t="shared" si="25"/>
        <v>-0.33</v>
      </c>
      <c r="R4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98430</v>
      </c>
      <c r="T4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49" s="208">
        <f ca="1">IF(Tabla336106734819[[#This Row],[Equity]]&lt;Tabla336106734819[[#This Row],[Equity Peak]],(Tabla336106734819[[#This Row],[Equity Peak]]-Tabla336106734819[[#This Row],[Equity]])/Tabla336106734819[[#This Row],[Equity Peak]],"")</f>
        <v>2.77558277360727E-2</v>
      </c>
      <c r="V49" s="209">
        <f t="shared" si="26"/>
        <v>-0.33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1.4333333333343035</v>
      </c>
      <c r="AE49" s="210">
        <f t="shared" si="35"/>
        <v>0</v>
      </c>
      <c r="AF49" s="210">
        <f t="shared" si="36"/>
        <v>1.4333333333343035</v>
      </c>
      <c r="AG49" s="210">
        <f t="shared" si="37"/>
        <v>0</v>
      </c>
    </row>
    <row r="50" spans="2:33" ht="15" customHeight="1" x14ac:dyDescent="0.3">
      <c r="B50" s="196" t="s">
        <v>7</v>
      </c>
      <c r="C50" s="197" t="s">
        <v>15</v>
      </c>
      <c r="D50" s="198" t="str">
        <f t="shared" si="19"/>
        <v>C</v>
      </c>
      <c r="E50" s="199">
        <v>44287.333333333336</v>
      </c>
      <c r="F50" s="200" t="s">
        <v>121</v>
      </c>
      <c r="G50" s="201">
        <v>1.5529999999999999</v>
      </c>
      <c r="H50" s="201">
        <v>1.5465899999999999</v>
      </c>
      <c r="I50" s="202">
        <f t="shared" si="20"/>
        <v>6.4100000000000268E-3</v>
      </c>
      <c r="J50" s="201">
        <v>1.6213500000000001</v>
      </c>
      <c r="K50" s="199">
        <v>44287.712500000001</v>
      </c>
      <c r="L50" s="201">
        <v>1.5465899999999999</v>
      </c>
      <c r="M50" s="203">
        <f t="shared" si="21"/>
        <v>-6.4000000000000003E-3</v>
      </c>
      <c r="N50" s="204">
        <f t="shared" si="22"/>
        <v>-1</v>
      </c>
      <c r="O50" s="205">
        <f t="shared" si="23"/>
        <v>0</v>
      </c>
      <c r="P50" s="206">
        <f t="shared" si="24"/>
        <v>0</v>
      </c>
      <c r="Q50" s="206">
        <f t="shared" si="25"/>
        <v>-1</v>
      </c>
      <c r="R5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98760</v>
      </c>
      <c r="T5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0" s="208">
        <f ca="1">IF(Tabla336106734819[[#This Row],[Equity]]&lt;Tabla336106734819[[#This Row],[Equity Peak]],(Tabla336106734819[[#This Row],[Equity Peak]]-Tabla336106734819[[#This Row],[Equity]])/Tabla336106734819[[#This Row],[Equity Peak]],"")</f>
        <v>2.449624654286843E-2</v>
      </c>
      <c r="V50" s="209">
        <f t="shared" si="26"/>
        <v>-1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0.37916666666569654</v>
      </c>
      <c r="AE50" s="210">
        <f t="shared" si="35"/>
        <v>0</v>
      </c>
      <c r="AF50" s="210">
        <f t="shared" si="36"/>
        <v>0.37916666666569654</v>
      </c>
      <c r="AG50" s="210">
        <f t="shared" si="37"/>
        <v>0</v>
      </c>
    </row>
    <row r="51" spans="2:33" ht="15" customHeight="1" x14ac:dyDescent="0.3">
      <c r="B51" s="196" t="s">
        <v>7</v>
      </c>
      <c r="C51" s="197" t="s">
        <v>13</v>
      </c>
      <c r="D51" s="198" t="str">
        <f t="shared" si="19"/>
        <v>C</v>
      </c>
      <c r="E51" s="199">
        <v>44284.333333333336</v>
      </c>
      <c r="F51" s="200" t="s">
        <v>121</v>
      </c>
      <c r="G51" s="201">
        <v>1.54356</v>
      </c>
      <c r="H51" s="201">
        <v>1.5495699999999999</v>
      </c>
      <c r="I51" s="202">
        <f t="shared" si="20"/>
        <v>6.0099999999998488E-3</v>
      </c>
      <c r="J51" s="201">
        <v>1.47949</v>
      </c>
      <c r="K51" s="199">
        <v>44285.745833333334</v>
      </c>
      <c r="L51" s="201">
        <v>1.5437700000000001</v>
      </c>
      <c r="M51" s="203">
        <f t="shared" si="21"/>
        <v>-2.0000000000000001E-4</v>
      </c>
      <c r="N51" s="204">
        <f t="shared" si="22"/>
        <v>-0.03</v>
      </c>
      <c r="O51" s="205">
        <f t="shared" si="23"/>
        <v>0</v>
      </c>
      <c r="P51" s="206">
        <f t="shared" si="24"/>
        <v>0</v>
      </c>
      <c r="Q51" s="206">
        <f t="shared" si="25"/>
        <v>-0.03</v>
      </c>
      <c r="R5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99760</v>
      </c>
      <c r="T5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1" s="208">
        <f ca="1">IF(Tabla336106734819[[#This Row],[Equity]]&lt;Tabla336106734819[[#This Row],[Equity Peak]],(Tabla336106734819[[#This Row],[Equity Peak]]-Tabla336106734819[[#This Row],[Equity]])/Tabla336106734819[[#This Row],[Equity Peak]],"")</f>
        <v>1.4618727775582773E-2</v>
      </c>
      <c r="V51" s="209">
        <f t="shared" si="26"/>
        <v>-0.03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1.4124999999985448</v>
      </c>
      <c r="AE51" s="210">
        <f t="shared" si="35"/>
        <v>0</v>
      </c>
      <c r="AF51" s="210">
        <f t="shared" si="36"/>
        <v>1.4124999999985448</v>
      </c>
      <c r="AG51" s="210">
        <f t="shared" si="37"/>
        <v>0</v>
      </c>
    </row>
    <row r="52" spans="2:33" ht="15" customHeight="1" x14ac:dyDescent="0.3">
      <c r="B52" s="196" t="s">
        <v>7</v>
      </c>
      <c r="C52" s="197" t="s">
        <v>13</v>
      </c>
      <c r="D52" s="198" t="str">
        <f t="shared" si="19"/>
        <v>C</v>
      </c>
      <c r="E52" s="199">
        <v>44263.166666666664</v>
      </c>
      <c r="F52" s="200" t="s">
        <v>121</v>
      </c>
      <c r="G52" s="201">
        <v>1.5470600000000001</v>
      </c>
      <c r="H52" s="201">
        <v>1.5565800000000001</v>
      </c>
      <c r="I52" s="202">
        <f t="shared" si="20"/>
        <v>9.5199999999999729E-3</v>
      </c>
      <c r="J52" s="201">
        <v>1.4455499999999999</v>
      </c>
      <c r="K52" s="199">
        <v>44270.777083333334</v>
      </c>
      <c r="L52" s="201">
        <v>1.54541</v>
      </c>
      <c r="M52" s="203">
        <f t="shared" si="21"/>
        <v>1.6999999999999999E-3</v>
      </c>
      <c r="N52" s="204">
        <f t="shared" si="22"/>
        <v>0.18</v>
      </c>
      <c r="O52" s="205">
        <f t="shared" si="23"/>
        <v>0</v>
      </c>
      <c r="P52" s="206">
        <f t="shared" si="24"/>
        <v>0.18</v>
      </c>
      <c r="Q52" s="206">
        <f t="shared" si="25"/>
        <v>0</v>
      </c>
      <c r="R5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99790</v>
      </c>
      <c r="T5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2" s="208">
        <f ca="1">IF(Tabla336106734819[[#This Row],[Equity]]&lt;Tabla336106734819[[#This Row],[Equity Peak]],(Tabla336106734819[[#This Row],[Equity Peak]]-Tabla336106734819[[#This Row],[Equity]])/Tabla336106734819[[#This Row],[Equity Peak]],"")</f>
        <v>1.4322402212564204E-2</v>
      </c>
      <c r="V52" s="209">
        <f t="shared" si="26"/>
        <v>0.18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7.6104166666700621</v>
      </c>
      <c r="AE52" s="210">
        <f t="shared" si="35"/>
        <v>7.6104166666700621</v>
      </c>
      <c r="AF52" s="210">
        <f t="shared" si="36"/>
        <v>0</v>
      </c>
      <c r="AG52" s="210">
        <f t="shared" si="37"/>
        <v>0</v>
      </c>
    </row>
    <row r="53" spans="2:33" ht="15" customHeight="1" x14ac:dyDescent="0.3">
      <c r="B53" s="196" t="s">
        <v>7</v>
      </c>
      <c r="C53" s="197" t="s">
        <v>15</v>
      </c>
      <c r="D53" s="198" t="str">
        <f t="shared" si="19"/>
        <v>C</v>
      </c>
      <c r="E53" s="199">
        <v>44260.5</v>
      </c>
      <c r="F53" s="200" t="s">
        <v>121</v>
      </c>
      <c r="G53" s="201">
        <v>1.55396</v>
      </c>
      <c r="H53" s="201">
        <v>1.5450699999999999</v>
      </c>
      <c r="I53" s="202">
        <f t="shared" si="20"/>
        <v>8.8900000000000645E-3</v>
      </c>
      <c r="J53" s="201">
        <v>1.64883</v>
      </c>
      <c r="K53" s="199">
        <v>44263.068749999999</v>
      </c>
      <c r="L53" s="201">
        <v>1.5450699999999999</v>
      </c>
      <c r="M53" s="203">
        <f t="shared" si="21"/>
        <v>-8.8999999999999999E-3</v>
      </c>
      <c r="N53" s="204">
        <f t="shared" si="22"/>
        <v>-1</v>
      </c>
      <c r="O53" s="205">
        <f t="shared" si="23"/>
        <v>0</v>
      </c>
      <c r="P53" s="206">
        <f t="shared" si="24"/>
        <v>0</v>
      </c>
      <c r="Q53" s="206">
        <f t="shared" si="25"/>
        <v>-1</v>
      </c>
      <c r="R5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99610</v>
      </c>
      <c r="T5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3" s="208">
        <f ca="1">IF(Tabla336106734819[[#This Row],[Equity]]&lt;Tabla336106734819[[#This Row],[Equity Peak]],(Tabla336106734819[[#This Row],[Equity Peak]]-Tabla336106734819[[#This Row],[Equity]])/Tabla336106734819[[#This Row],[Equity Peak]],"")</f>
        <v>1.6100355590675623E-2</v>
      </c>
      <c r="V53" s="209">
        <f t="shared" si="26"/>
        <v>-1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2.5687499999985448</v>
      </c>
      <c r="AE53" s="210">
        <f t="shared" si="35"/>
        <v>0</v>
      </c>
      <c r="AF53" s="210">
        <f t="shared" si="36"/>
        <v>2.5687499999985448</v>
      </c>
      <c r="AG53" s="210">
        <f t="shared" si="37"/>
        <v>0</v>
      </c>
    </row>
    <row r="54" spans="2:33" ht="15" customHeight="1" x14ac:dyDescent="0.3">
      <c r="B54" s="196" t="s">
        <v>7</v>
      </c>
      <c r="C54" s="197" t="s">
        <v>13</v>
      </c>
      <c r="D54" s="198" t="str">
        <f t="shared" si="19"/>
        <v>C</v>
      </c>
      <c r="E54" s="199">
        <v>44257.5</v>
      </c>
      <c r="F54" s="200" t="s">
        <v>121</v>
      </c>
      <c r="G54" s="201">
        <v>1.54833</v>
      </c>
      <c r="H54" s="201">
        <v>1.55837</v>
      </c>
      <c r="I54" s="202">
        <f t="shared" si="20"/>
        <v>1.0040000000000049E-2</v>
      </c>
      <c r="J54" s="201">
        <v>1.4412100000000001</v>
      </c>
      <c r="K54" s="199">
        <v>44259.01666666667</v>
      </c>
      <c r="L54" s="201">
        <v>1.55227</v>
      </c>
      <c r="M54" s="203">
        <f t="shared" si="21"/>
        <v>-3.8999999999999998E-3</v>
      </c>
      <c r="N54" s="204">
        <f t="shared" si="22"/>
        <v>-0.39</v>
      </c>
      <c r="O54" s="205">
        <f t="shared" si="23"/>
        <v>0</v>
      </c>
      <c r="P54" s="206">
        <f t="shared" si="24"/>
        <v>0</v>
      </c>
      <c r="Q54" s="206">
        <f t="shared" si="25"/>
        <v>-0.39</v>
      </c>
      <c r="R5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100610</v>
      </c>
      <c r="T5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4" s="208">
        <f ca="1">IF(Tabla336106734819[[#This Row],[Equity]]&lt;Tabla336106734819[[#This Row],[Equity Peak]],(Tabla336106734819[[#This Row],[Equity Peak]]-Tabla336106734819[[#This Row],[Equity]])/Tabla336106734819[[#This Row],[Equity Peak]],"")</f>
        <v>6.2228368233899645E-3</v>
      </c>
      <c r="V54" s="209">
        <f t="shared" si="26"/>
        <v>-0.39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1.5166666666700621</v>
      </c>
      <c r="AE54" s="210">
        <f t="shared" si="35"/>
        <v>0</v>
      </c>
      <c r="AF54" s="210">
        <f t="shared" si="36"/>
        <v>1.5166666666700621</v>
      </c>
      <c r="AG54" s="210">
        <f t="shared" si="37"/>
        <v>0</v>
      </c>
    </row>
    <row r="55" spans="2:33" ht="15" customHeight="1" x14ac:dyDescent="0.3">
      <c r="B55" s="196" t="s">
        <v>7</v>
      </c>
      <c r="C55" s="197" t="s">
        <v>15</v>
      </c>
      <c r="D55" s="198" t="str">
        <f t="shared" si="19"/>
        <v>C</v>
      </c>
      <c r="E55" s="199">
        <v>44253.666666666664</v>
      </c>
      <c r="F55" s="200" t="s">
        <v>121</v>
      </c>
      <c r="G55" s="201">
        <v>1.5572600000000001</v>
      </c>
      <c r="H55" s="201">
        <v>1.5480499999999999</v>
      </c>
      <c r="I55" s="202">
        <f t="shared" si="20"/>
        <v>9.2100000000001625E-3</v>
      </c>
      <c r="J55" s="201">
        <v>1.6554899999999999</v>
      </c>
      <c r="K55" s="199">
        <v>44256.386111111111</v>
      </c>
      <c r="L55" s="201">
        <v>1.55508</v>
      </c>
      <c r="M55" s="203">
        <f t="shared" si="21"/>
        <v>-2.2000000000000001E-3</v>
      </c>
      <c r="N55" s="204">
        <f t="shared" si="22"/>
        <v>-0.24</v>
      </c>
      <c r="O55" s="205">
        <f t="shared" si="23"/>
        <v>0</v>
      </c>
      <c r="P55" s="206">
        <f t="shared" si="24"/>
        <v>0</v>
      </c>
      <c r="Q55" s="206">
        <f t="shared" si="25"/>
        <v>-0.24</v>
      </c>
      <c r="R5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101000</v>
      </c>
      <c r="T5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5" s="208">
        <f ca="1">IF(Tabla336106734819[[#This Row],[Equity]]&lt;Tabla336106734819[[#This Row],[Equity Peak]],(Tabla336106734819[[#This Row],[Equity Peak]]-Tabla336106734819[[#This Row],[Equity]])/Tabla336106734819[[#This Row],[Equity Peak]],"")</f>
        <v>2.3706045041485581E-3</v>
      </c>
      <c r="V55" s="209">
        <f t="shared" si="26"/>
        <v>-0.24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2.7194444444467081</v>
      </c>
      <c r="AE55" s="210">
        <f t="shared" si="35"/>
        <v>0</v>
      </c>
      <c r="AF55" s="210">
        <f t="shared" si="36"/>
        <v>2.7194444444467081</v>
      </c>
      <c r="AG55" s="210">
        <f t="shared" si="37"/>
        <v>0</v>
      </c>
    </row>
    <row r="56" spans="2:33" ht="15" customHeight="1" x14ac:dyDescent="0.3">
      <c r="B56" s="196" t="s">
        <v>7</v>
      </c>
      <c r="C56" s="197" t="s">
        <v>13</v>
      </c>
      <c r="D56" s="198" t="str">
        <f t="shared" si="19"/>
        <v>C</v>
      </c>
      <c r="E56" s="199">
        <v>44246.5</v>
      </c>
      <c r="F56" s="200" t="s">
        <v>121</v>
      </c>
      <c r="G56" s="201">
        <v>1.5498099999999999</v>
      </c>
      <c r="H56" s="201">
        <v>1.55541</v>
      </c>
      <c r="I56" s="202">
        <f t="shared" si="20"/>
        <v>5.6000000000000494E-3</v>
      </c>
      <c r="J56" s="201">
        <v>1.4901</v>
      </c>
      <c r="K56" s="199">
        <v>44252.711111111108</v>
      </c>
      <c r="L56" s="201">
        <v>1.5344500000000001</v>
      </c>
      <c r="M56" s="203">
        <f t="shared" si="21"/>
        <v>1.54E-2</v>
      </c>
      <c r="N56" s="204">
        <f t="shared" si="22"/>
        <v>2.75</v>
      </c>
      <c r="O56" s="205">
        <f t="shared" si="23"/>
        <v>0</v>
      </c>
      <c r="P56" s="206">
        <f t="shared" si="24"/>
        <v>2.75</v>
      </c>
      <c r="Q56" s="206">
        <f t="shared" si="25"/>
        <v>0</v>
      </c>
      <c r="R5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101240</v>
      </c>
      <c r="T5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101240</v>
      </c>
      <c r="U56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56" s="209">
        <f t="shared" si="26"/>
        <v>2.75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0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6.211111111108039</v>
      </c>
      <c r="AE56" s="210">
        <f t="shared" si="35"/>
        <v>6.211111111108039</v>
      </c>
      <c r="AF56" s="210">
        <f t="shared" si="36"/>
        <v>0</v>
      </c>
      <c r="AG56" s="210">
        <f t="shared" si="37"/>
        <v>0</v>
      </c>
    </row>
    <row r="57" spans="2:33" ht="15" customHeight="1" x14ac:dyDescent="0.3">
      <c r="B57" s="196" t="s">
        <v>7</v>
      </c>
      <c r="C57" s="197" t="s">
        <v>13</v>
      </c>
      <c r="D57" s="198" t="str">
        <f t="shared" si="19"/>
        <v>C</v>
      </c>
      <c r="E57" s="199">
        <v>44244.833333333336</v>
      </c>
      <c r="F57" s="200" t="s">
        <v>121</v>
      </c>
      <c r="G57" s="201">
        <v>1.55382</v>
      </c>
      <c r="H57" s="201">
        <v>1.5587800000000001</v>
      </c>
      <c r="I57" s="202">
        <f t="shared" si="20"/>
        <v>4.9600000000000755E-3</v>
      </c>
      <c r="J57" s="201">
        <v>1.50088</v>
      </c>
      <c r="K57" s="199">
        <v>44245.711111111108</v>
      </c>
      <c r="L57" s="201">
        <v>1.5571299999999999</v>
      </c>
      <c r="M57" s="203">
        <f t="shared" si="21"/>
        <v>-3.3E-3</v>
      </c>
      <c r="N57" s="204">
        <f t="shared" si="22"/>
        <v>-0.67</v>
      </c>
      <c r="O57" s="205">
        <f t="shared" si="23"/>
        <v>0</v>
      </c>
      <c r="P57" s="206">
        <f t="shared" si="24"/>
        <v>0</v>
      </c>
      <c r="Q57" s="206">
        <f t="shared" si="25"/>
        <v>-0.67</v>
      </c>
      <c r="R5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98490</v>
      </c>
      <c r="T5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100010</v>
      </c>
      <c r="U57" s="208">
        <f ca="1">IF(Tabla336106734819[[#This Row],[Equity]]&lt;Tabla336106734819[[#This Row],[Equity Peak]],(Tabla336106734819[[#This Row],[Equity Peak]]-Tabla336106734819[[#This Row],[Equity]])/Tabla336106734819[[#This Row],[Equity Peak]],"")</f>
        <v>1.5198480151984802E-2</v>
      </c>
      <c r="V57" s="209">
        <f t="shared" si="26"/>
        <v>-0.67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0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0.87777777777228039</v>
      </c>
      <c r="AE57" s="210">
        <f t="shared" si="35"/>
        <v>0</v>
      </c>
      <c r="AF57" s="210">
        <f t="shared" si="36"/>
        <v>0.87777777777228039</v>
      </c>
      <c r="AG57" s="210">
        <f t="shared" si="37"/>
        <v>0</v>
      </c>
    </row>
    <row r="58" spans="2:33" ht="15" customHeight="1" x14ac:dyDescent="0.3">
      <c r="B58" s="196" t="s">
        <v>7</v>
      </c>
      <c r="C58" s="197" t="s">
        <v>13</v>
      </c>
      <c r="D58" s="198" t="str">
        <f t="shared" si="19"/>
        <v>C</v>
      </c>
      <c r="E58" s="199">
        <v>44242.333333333336</v>
      </c>
      <c r="F58" s="200" t="s">
        <v>121</v>
      </c>
      <c r="G58" s="201">
        <v>1.5589</v>
      </c>
      <c r="H58" s="201">
        <v>1.5633300000000001</v>
      </c>
      <c r="I58" s="202">
        <f t="shared" si="20"/>
        <v>4.430000000000156E-3</v>
      </c>
      <c r="J58" s="201">
        <v>1.51163</v>
      </c>
      <c r="K58" s="199">
        <v>44243.606944444444</v>
      </c>
      <c r="L58" s="201">
        <v>1.56124</v>
      </c>
      <c r="M58" s="203">
        <f t="shared" si="21"/>
        <v>-2.3E-3</v>
      </c>
      <c r="N58" s="204">
        <f t="shared" si="22"/>
        <v>-0.52</v>
      </c>
      <c r="O58" s="205">
        <f t="shared" si="23"/>
        <v>0</v>
      </c>
      <c r="P58" s="206">
        <f t="shared" si="24"/>
        <v>0</v>
      </c>
      <c r="Q58" s="206">
        <f t="shared" si="25"/>
        <v>-0.52</v>
      </c>
      <c r="R5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99160</v>
      </c>
      <c r="T5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100010</v>
      </c>
      <c r="U58" s="208">
        <f ca="1">IF(Tabla336106734819[[#This Row],[Equity]]&lt;Tabla336106734819[[#This Row],[Equity Peak]],(Tabla336106734819[[#This Row],[Equity Peak]]-Tabla336106734819[[#This Row],[Equity]])/Tabla336106734819[[#This Row],[Equity Peak]],"")</f>
        <v>8.4991500849915004E-3</v>
      </c>
      <c r="V58" s="209">
        <f t="shared" si="26"/>
        <v>-0.52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0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1.273611111108039</v>
      </c>
      <c r="AE58" s="210">
        <f t="shared" si="35"/>
        <v>0</v>
      </c>
      <c r="AF58" s="210">
        <f t="shared" si="36"/>
        <v>1.273611111108039</v>
      </c>
      <c r="AG58" s="210">
        <f t="shared" si="37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19"/>
        <v>C</v>
      </c>
      <c r="E59" s="199">
        <v>44231.166666666664</v>
      </c>
      <c r="F59" s="200" t="s">
        <v>121</v>
      </c>
      <c r="G59" s="201">
        <v>1.5750599999999999</v>
      </c>
      <c r="H59" s="201">
        <v>1.5811900000000001</v>
      </c>
      <c r="I59" s="202">
        <f t="shared" si="20"/>
        <v>6.1300000000001909E-3</v>
      </c>
      <c r="J59" s="201">
        <v>1.5096700000000001</v>
      </c>
      <c r="K59" s="199">
        <v>44231.745833333334</v>
      </c>
      <c r="L59" s="201">
        <v>1.57701</v>
      </c>
      <c r="M59" s="203">
        <f t="shared" si="21"/>
        <v>-2E-3</v>
      </c>
      <c r="N59" s="204">
        <f t="shared" si="22"/>
        <v>-0.33</v>
      </c>
      <c r="O59" s="205">
        <f t="shared" si="23"/>
        <v>0</v>
      </c>
      <c r="P59" s="206">
        <f t="shared" si="24"/>
        <v>0</v>
      </c>
      <c r="Q59" s="206">
        <f t="shared" si="25"/>
        <v>-0.33</v>
      </c>
      <c r="R5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99680</v>
      </c>
      <c r="T5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100010</v>
      </c>
      <c r="U59" s="208">
        <f ca="1">IF(Tabla336106734819[[#This Row],[Equity]]&lt;Tabla336106734819[[#This Row],[Equity Peak]],(Tabla336106734819[[#This Row],[Equity Peak]]-Tabla336106734819[[#This Row],[Equity]])/Tabla336106734819[[#This Row],[Equity Peak]],"")</f>
        <v>3.2996700329967002E-3</v>
      </c>
      <c r="V59" s="209">
        <f t="shared" si="26"/>
        <v>-0.33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0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0.57916666667006211</v>
      </c>
      <c r="AE59" s="210">
        <f t="shared" si="35"/>
        <v>0</v>
      </c>
      <c r="AF59" s="210">
        <f t="shared" si="36"/>
        <v>0.57916666667006211</v>
      </c>
      <c r="AG59" s="210">
        <f t="shared" si="37"/>
        <v>0</v>
      </c>
    </row>
    <row r="60" spans="2:33" ht="15" customHeight="1" x14ac:dyDescent="0.3">
      <c r="B60" s="196" t="s">
        <v>7</v>
      </c>
      <c r="C60" s="197" t="s">
        <v>15</v>
      </c>
      <c r="D60" s="198" t="str">
        <f t="shared" si="19"/>
        <v>C</v>
      </c>
      <c r="E60" s="199">
        <v>44224.017361111109</v>
      </c>
      <c r="F60" s="200" t="s">
        <v>121</v>
      </c>
      <c r="G60" s="201">
        <v>1.5813200000000001</v>
      </c>
      <c r="H60" s="201">
        <v>1.57439</v>
      </c>
      <c r="I60" s="202">
        <f t="shared" si="20"/>
        <v>6.9300000000001027E-3</v>
      </c>
      <c r="J60" s="201">
        <v>1.65527</v>
      </c>
      <c r="K60" s="199">
        <v>44224.744444444441</v>
      </c>
      <c r="L60" s="201">
        <v>1.5813999999999999</v>
      </c>
      <c r="M60" s="203">
        <f t="shared" si="21"/>
        <v>1E-4</v>
      </c>
      <c r="N60" s="204">
        <f t="shared" si="22"/>
        <v>0.01</v>
      </c>
      <c r="O60" s="205">
        <f t="shared" si="23"/>
        <v>0</v>
      </c>
      <c r="P60" s="206">
        <f t="shared" si="24"/>
        <v>0.01</v>
      </c>
      <c r="Q60" s="206">
        <f t="shared" si="25"/>
        <v>0</v>
      </c>
      <c r="R6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6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100010</v>
      </c>
      <c r="T6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100010</v>
      </c>
      <c r="U60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60" s="209">
        <f t="shared" si="26"/>
        <v>0.01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0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0.72708333333139308</v>
      </c>
      <c r="AE60" s="210">
        <f t="shared" si="35"/>
        <v>0.72708333333139308</v>
      </c>
      <c r="AF60" s="210">
        <f t="shared" si="36"/>
        <v>0</v>
      </c>
      <c r="AG60" s="210">
        <f t="shared" si="37"/>
        <v>0</v>
      </c>
    </row>
  </sheetData>
  <sheetProtection algorithmName="SHA-512" hashValue="3Y9MKYwYZYbvQjJ+GdIx04jCtY0dMUqzokd0psKewKQXf93cddbpLsXsgZgwPhAkxbOCCGXDpDi0CDaQEXTtCA==" saltValue="2de7tYry3Dl4BtkwGkn2I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97" priority="3" operator="equal">
      <formula>"OK"</formula>
    </cfRule>
    <cfRule type="cellIs" dxfId="796" priority="4" operator="equal">
      <formula>"warning"</formula>
    </cfRule>
  </conditionalFormatting>
  <conditionalFormatting sqref="F13">
    <cfRule type="cellIs" dxfId="795" priority="1" operator="equal">
      <formula>"OK"</formula>
    </cfRule>
    <cfRule type="cellIs" dxfId="794" priority="2" operator="equal">
      <formula>"Error!!"</formula>
    </cfRule>
  </conditionalFormatting>
  <conditionalFormatting sqref="E15:H15 K15:L15">
    <cfRule type="expression" dxfId="793" priority="5">
      <formula>+$D15=#REF!</formula>
    </cfRule>
    <cfRule type="expression" dxfId="792" priority="6">
      <formula>+$D15=#REF!</formula>
    </cfRule>
  </conditionalFormatting>
  <conditionalFormatting sqref="D15 K16:L16 D16:H60 J17:L60">
    <cfRule type="expression" dxfId="791" priority="7">
      <formula>+$D15=$AG$8</formula>
    </cfRule>
    <cfRule type="expression" dxfId="79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CACED4D6-3A4D-4FD6-8764-1FA24516C595}">
      <formula1>$AE$4:$AE$6</formula1>
    </dataValidation>
    <dataValidation type="list" allowBlank="1" showInputMessage="1" showErrorMessage="1" promptTitle="Trade Direction" prompt="Select from List" sqref="C15:C16" xr:uid="{67EC2409-49F2-4DCC-BAAD-68831F517FD9}">
      <formula1>$AG$4:$AG$5</formula1>
    </dataValidation>
    <dataValidation type="list" allowBlank="1" showInputMessage="1" showErrorMessage="1" promptTitle="Instrument Type" prompt="Select Type from List_x000a_" sqref="B17:B60" xr:uid="{1BC89FD7-AD55-4CBD-8578-A3E5B531A0F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B3AD-E300-442C-B436-3D7BD23C75F3}">
  <sheetPr codeName="Hoja21">
    <pageSetUpPr fitToPage="1"/>
  </sheetPr>
  <dimension ref="A1:AX2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COUNTA(Tabla336106734815[Inst])</f>
        <v>12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3.76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3.76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COUNTIF(Tabla336106734815[No. of Rs],"&gt;0")</f>
        <v>4</v>
      </c>
      <c r="G7" s="24">
        <f>IFERROR((F7/$F$6),"")</f>
        <v>0.33333333333333331</v>
      </c>
      <c r="H7" s="78">
        <f>IFERROR((+P13/F7),"")</f>
        <v>2.665</v>
      </c>
      <c r="I7" s="227">
        <f>H7/H9</f>
        <v>3.0898550724637688</v>
      </c>
      <c r="J7" s="227">
        <f>AVERAGE(Tabla336106734815[No. of Rs])</f>
        <v>0.3133333333333333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COUNTIF(Tabla336106734815[No.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OFFSET(Tabla336106734815[[#Headers],[Equity]],1,0)</f>
        <v>103760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COUNTIF(Tabla336106734815[No. of Rs],"&lt;0")</f>
        <v>8</v>
      </c>
      <c r="G9" s="32">
        <f>IFERROR((F9/$F$6),"")</f>
        <v>0.66666666666666663</v>
      </c>
      <c r="H9" s="79">
        <f>IFERROR((-Q13/F9),"")</f>
        <v>0.86249999999999982</v>
      </c>
      <c r="I9" s="229"/>
      <c r="J9" s="229"/>
      <c r="K9" s="149"/>
      <c r="L9" s="230" t="s">
        <v>106</v>
      </c>
      <c r="M9" s="231"/>
      <c r="N9" s="125">
        <f ca="1">MAX(Tabla336106734815[Drawdown])</f>
        <v>3.8675109595713589E-2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OFFSET(Tabla336106734815[[#Headers],[Drawdown]],1,0)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COUNTIF(Tabla336106734815[Heat],"&lt;0")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IF(COUNTIFS(Tabla336106734815[O/C],"O")&lt;1,"None",COUNTIFS(Tabla336106734815[O/C],"O"))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SUM(Tabla336106734815[No. of Rs])</f>
        <v>3.76</v>
      </c>
      <c r="O13" s="42">
        <f>SUM(Tabla336106734815[Heat])</f>
        <v>0</v>
      </c>
      <c r="P13" s="43">
        <f>SUM(Tabla336106734815[[ TR WIN]])</f>
        <v>10.66</v>
      </c>
      <c r="Q13" s="43">
        <f>SUM(Tabla336106734815[[ TR LOSS]])</f>
        <v>-6.8999999999999986</v>
      </c>
      <c r="R13" s="114"/>
      <c r="S13" s="115"/>
      <c r="T13" s="115"/>
      <c r="U13" s="121"/>
      <c r="V13" s="44">
        <f>SUM(Tabla336106734815[Currency])</f>
        <v>3.76</v>
      </c>
      <c r="W13" s="44">
        <f>SUM(Tabla336106734815[Heat3])</f>
        <v>0</v>
      </c>
      <c r="X13" s="44">
        <f>SUM(Tabla336106734815[Commodities])</f>
        <v>0</v>
      </c>
      <c r="Y13" s="44">
        <f>SUM(Tabla336106734815[Heat4])</f>
        <v>0</v>
      </c>
      <c r="Z13" s="44">
        <f>SUM(Tabla336106734815[Index])</f>
        <v>0</v>
      </c>
      <c r="AA13" s="44">
        <f>SUM(Tabla336106734815[Heat5])</f>
        <v>0</v>
      </c>
      <c r="AB13" s="44">
        <f>SUM(Tabla336106734815[Cryptocurrency])</f>
        <v>0</v>
      </c>
      <c r="AC13" s="44">
        <f>SUM(Tabla336106734815[Heat6])</f>
        <v>0</v>
      </c>
      <c r="AD13" s="75">
        <f>AVERAGEIF(Tabla336106734815[Length of 
Trade],"&lt;&gt;0")</f>
        <v>4.4101851851858855</v>
      </c>
      <c r="AE13" s="75">
        <f>AVERAGEIF(Tabla336106734815[Win],"&lt;&gt;0")</f>
        <v>6.9114583333321207</v>
      </c>
      <c r="AF13" s="75">
        <f>AVERAGEIF(Tabla336106734815[Loss],"&lt;&gt;0")</f>
        <v>3.1595486111127684</v>
      </c>
      <c r="AG13" s="76" t="e">
        <f>AVERAGEIF(Tabla336106734815[Breakeven],"&lt;&gt;0")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28" si="0">IF(E17&lt;&gt;"",IF(K17&lt;&gt;"","C","O"),"")</f>
        <v>C</v>
      </c>
      <c r="E17" s="199">
        <v>44553.017361111109</v>
      </c>
      <c r="F17" s="200" t="s">
        <v>120</v>
      </c>
      <c r="G17" s="201">
        <v>0.84794999999999998</v>
      </c>
      <c r="H17" s="201">
        <v>0.85019</v>
      </c>
      <c r="I17" s="202">
        <f t="shared" ref="I17:I28" si="1">ABS(G17-H17)</f>
        <v>2.2400000000000198E-3</v>
      </c>
      <c r="J17" s="201">
        <v>0.84197999999999995</v>
      </c>
      <c r="K17" s="199">
        <v>44553.612500000003</v>
      </c>
      <c r="L17" s="201">
        <v>0.84197999999999995</v>
      </c>
      <c r="M17" s="203">
        <f t="shared" ref="M17:M28" si="2">ROUND(IF(C17="L",(L17-G17),(G17-L17)),4)</f>
        <v>6.0000000000000001E-3</v>
      </c>
      <c r="N17" s="204">
        <f t="shared" ref="N17:N28" si="3">IFERROR(ROUND((M17/I17),2),"")</f>
        <v>2.68</v>
      </c>
      <c r="O17" s="205">
        <f t="shared" ref="O17:O28" si="4">IF(D17="O",IF(N17&lt;0,N17,0),0)</f>
        <v>0</v>
      </c>
      <c r="P17" s="206">
        <f t="shared" ref="P17:P28" si="5">IF(N17&gt;= 0,N17,0)</f>
        <v>2.68</v>
      </c>
      <c r="Q17" s="206">
        <f t="shared" ref="Q17:Q28" si="6">IF(N17&lt;0,N17,0)</f>
        <v>0</v>
      </c>
      <c r="R17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7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103760</v>
      </c>
      <c r="T17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103760</v>
      </c>
      <c r="U17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17" s="209">
        <f t="shared" ref="V17:V28" si="7">IF(B17="FX",N17,0)</f>
        <v>2.68</v>
      </c>
      <c r="W17" s="209">
        <f t="shared" ref="W17:W28" si="8">IF(D17="O",IF(V17&lt;0,V17,0),0)</f>
        <v>0</v>
      </c>
      <c r="X17" s="209">
        <f t="shared" ref="X17:X28" si="9">IF(B17="COM",N17,0)</f>
        <v>0</v>
      </c>
      <c r="Y17" s="209">
        <f t="shared" ref="Y17:Y28" si="10">IF(D17="O",IF(X17&lt;0,X17,0),0)</f>
        <v>0</v>
      </c>
      <c r="Z17" s="209">
        <f t="shared" ref="Z17:Z28" si="11">IF(B17="IND",N17,0)</f>
        <v>0</v>
      </c>
      <c r="AA17" s="205">
        <f t="shared" ref="AA17:AA28" si="12">IF(D17="O",IF(Z17&lt;0,Z17,0),0)</f>
        <v>0</v>
      </c>
      <c r="AB17" s="209">
        <f t="shared" ref="AB17:AB28" si="13">IF(B17="CRYPTO",N17,0)</f>
        <v>0</v>
      </c>
      <c r="AC17" s="205">
        <f t="shared" ref="AC17:AC28" si="14">IF(D17="O",IF(AB17&lt;0,AB17,0),0)</f>
        <v>0</v>
      </c>
      <c r="AD17" s="210">
        <f t="shared" ref="AD17:AD28" si="15">IF(K17&lt;&gt;"",K17-E17,0)</f>
        <v>0.59513888889341615</v>
      </c>
      <c r="AE17" s="210">
        <f t="shared" ref="AE17:AE28" si="16">IF(N17&gt;0,AD17,0)</f>
        <v>0.59513888889341615</v>
      </c>
      <c r="AF17" s="210">
        <f t="shared" ref="AF17:AF28" si="17">IF(N17&lt;0,AD17,0)</f>
        <v>0</v>
      </c>
      <c r="AG17" s="210">
        <f t="shared" ref="AG17:AG28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44516.833333333336</v>
      </c>
      <c r="F18" s="200" t="s">
        <v>120</v>
      </c>
      <c r="G18" s="201">
        <v>0.84353999999999996</v>
      </c>
      <c r="H18" s="201">
        <v>0.84643999999999997</v>
      </c>
      <c r="I18" s="202">
        <f t="shared" si="1"/>
        <v>2.9000000000000137E-3</v>
      </c>
      <c r="J18" s="201">
        <v>0.83579000000000003</v>
      </c>
      <c r="K18" s="199">
        <v>44526.379861111112</v>
      </c>
      <c r="L18" s="201">
        <v>0.84433000000000002</v>
      </c>
      <c r="M18" s="203">
        <f t="shared" si="2"/>
        <v>-8.0000000000000004E-4</v>
      </c>
      <c r="N18" s="204">
        <f t="shared" si="3"/>
        <v>-0.28000000000000003</v>
      </c>
      <c r="O18" s="205">
        <f t="shared" si="4"/>
        <v>0</v>
      </c>
      <c r="P18" s="206">
        <f t="shared" si="5"/>
        <v>0</v>
      </c>
      <c r="Q18" s="206">
        <f t="shared" si="6"/>
        <v>-0.28000000000000003</v>
      </c>
      <c r="R18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8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101080</v>
      </c>
      <c r="T18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18" s="208">
        <f ca="1">IF(Tabla336106734815[[#This Row],[Equity]]&lt;Tabla336106734815[[#This Row],[Equity Peak]],(Tabla336106734815[[#This Row],[Equity Peak]]-Tabla336106734815[[#This Row],[Equity]])/Tabla336106734815[[#This Row],[Equity Peak]],"")</f>
        <v>1.5294690696541647E-2</v>
      </c>
      <c r="V18" s="209">
        <f t="shared" si="7"/>
        <v>-0.28000000000000003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9.546527777776646</v>
      </c>
      <c r="AE18" s="210">
        <f t="shared" si="16"/>
        <v>0</v>
      </c>
      <c r="AF18" s="210">
        <f t="shared" si="17"/>
        <v>9.546527777776646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44474.333333333336</v>
      </c>
      <c r="F19" s="200" t="s">
        <v>120</v>
      </c>
      <c r="G19" s="201">
        <v>0.85318000000000005</v>
      </c>
      <c r="H19" s="201">
        <v>0.85582999999999998</v>
      </c>
      <c r="I19" s="202">
        <f t="shared" si="1"/>
        <v>2.6499999999999302E-3</v>
      </c>
      <c r="J19" s="201">
        <v>0.84611999999999998</v>
      </c>
      <c r="K19" s="199">
        <v>44483.537499999999</v>
      </c>
      <c r="L19" s="201">
        <v>0.84611999999999998</v>
      </c>
      <c r="M19" s="203">
        <f t="shared" si="2"/>
        <v>7.1000000000000004E-3</v>
      </c>
      <c r="N19" s="204">
        <f t="shared" si="3"/>
        <v>2.68</v>
      </c>
      <c r="O19" s="205">
        <f t="shared" si="4"/>
        <v>0</v>
      </c>
      <c r="P19" s="206">
        <f t="shared" si="5"/>
        <v>2.68</v>
      </c>
      <c r="Q19" s="206">
        <f t="shared" si="6"/>
        <v>0</v>
      </c>
      <c r="R19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9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101360</v>
      </c>
      <c r="T19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19" s="208">
        <f ca="1">IF(Tabla336106734815[[#This Row],[Equity]]&lt;Tabla336106734815[[#This Row],[Equity Peak]],(Tabla336106734815[[#This Row],[Equity Peak]]-Tabla336106734815[[#This Row],[Equity]])/Tabla336106734815[[#This Row],[Equity Peak]],"")</f>
        <v>1.2566975158304919E-2</v>
      </c>
      <c r="V19" s="209">
        <f t="shared" si="7"/>
        <v>2.68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9.2041666666627862</v>
      </c>
      <c r="AE19" s="210">
        <f t="shared" si="16"/>
        <v>9.2041666666627862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44467.666666666664</v>
      </c>
      <c r="F20" s="200" t="s">
        <v>120</v>
      </c>
      <c r="G20" s="201">
        <v>0.86231999999999998</v>
      </c>
      <c r="H20" s="201">
        <v>0.85890999999999995</v>
      </c>
      <c r="I20" s="202">
        <f t="shared" si="1"/>
        <v>3.4100000000000241E-3</v>
      </c>
      <c r="J20" s="201">
        <v>0.87141000000000002</v>
      </c>
      <c r="K20" s="199">
        <v>44469.714583333334</v>
      </c>
      <c r="L20" s="201">
        <v>0.85890999999999995</v>
      </c>
      <c r="M20" s="203">
        <f t="shared" si="2"/>
        <v>-3.3999999999999998E-3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0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98680</v>
      </c>
      <c r="T20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0" s="208">
        <f ca="1">IF(Tabla336106734815[[#This Row],[Equity]]&lt;Tabla336106734815[[#This Row],[Equity Peak]],(Tabla336106734815[[#This Row],[Equity Peak]]-Tabla336106734815[[#This Row],[Equity]])/Tabla336106734815[[#This Row],[Equity Peak]],"")</f>
        <v>3.8675109595713589E-2</v>
      </c>
      <c r="V20" s="209">
        <f t="shared" si="7"/>
        <v>-1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2.0479166666700621</v>
      </c>
      <c r="AE20" s="210">
        <f t="shared" si="16"/>
        <v>0</v>
      </c>
      <c r="AF20" s="210">
        <f t="shared" si="17"/>
        <v>2.0479166666700621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44467.017361111109</v>
      </c>
      <c r="F21" s="200" t="s">
        <v>120</v>
      </c>
      <c r="G21" s="201">
        <v>0.85353999999999997</v>
      </c>
      <c r="H21" s="201">
        <v>0.85609999999999997</v>
      </c>
      <c r="I21" s="202">
        <f t="shared" si="1"/>
        <v>2.5600000000000067E-3</v>
      </c>
      <c r="J21" s="201">
        <v>0.84672000000000003</v>
      </c>
      <c r="K21" s="199">
        <v>44467.542361111111</v>
      </c>
      <c r="L21" s="201">
        <v>0.85609999999999997</v>
      </c>
      <c r="M21" s="203">
        <f t="shared" si="2"/>
        <v>-2.5999999999999999E-3</v>
      </c>
      <c r="N21" s="204">
        <f t="shared" si="3"/>
        <v>-1.02</v>
      </c>
      <c r="O21" s="205">
        <f t="shared" si="4"/>
        <v>0</v>
      </c>
      <c r="P21" s="206">
        <f t="shared" si="5"/>
        <v>0</v>
      </c>
      <c r="Q21" s="206">
        <f t="shared" si="6"/>
        <v>-1.02</v>
      </c>
      <c r="R21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1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99680</v>
      </c>
      <c r="T21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1" s="208">
        <f ca="1">IF(Tabla336106734815[[#This Row],[Equity]]&lt;Tabla336106734815[[#This Row],[Equity Peak]],(Tabla336106734815[[#This Row],[Equity Peak]]-Tabla336106734815[[#This Row],[Equity]])/Tabla336106734815[[#This Row],[Equity Peak]],"")</f>
        <v>2.8933268387725281E-2</v>
      </c>
      <c r="V21" s="209">
        <f t="shared" si="7"/>
        <v>-1.02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0.52500000000145519</v>
      </c>
      <c r="AE21" s="210">
        <f t="shared" si="16"/>
        <v>0</v>
      </c>
      <c r="AF21" s="210">
        <f t="shared" si="17"/>
        <v>0.52500000000145519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44449.666666666664</v>
      </c>
      <c r="F22" s="200" t="s">
        <v>120</v>
      </c>
      <c r="G22" s="201">
        <v>0.85209999999999997</v>
      </c>
      <c r="H22" s="201">
        <v>0.85438999999999998</v>
      </c>
      <c r="I22" s="202">
        <f t="shared" si="1"/>
        <v>2.2900000000000142E-3</v>
      </c>
      <c r="J22" s="201">
        <v>0.84599000000000002</v>
      </c>
      <c r="K22" s="199">
        <v>44449.745833333334</v>
      </c>
      <c r="L22" s="201">
        <v>0.85438999999999998</v>
      </c>
      <c r="M22" s="203">
        <f t="shared" si="2"/>
        <v>-2.3E-3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2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100700</v>
      </c>
      <c r="T22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2" s="208">
        <f ca="1">IF(Tabla336106734815[[#This Row],[Equity]]&lt;Tabla336106734815[[#This Row],[Equity Peak]],(Tabla336106734815[[#This Row],[Equity Peak]]-Tabla336106734815[[#This Row],[Equity]])/Tabla336106734815[[#This Row],[Equity Peak]],"")</f>
        <v>1.8996590355577204E-2</v>
      </c>
      <c r="V22" s="209">
        <f t="shared" si="7"/>
        <v>-1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7.9166666670062114E-2</v>
      </c>
      <c r="AE22" s="210">
        <f t="shared" si="16"/>
        <v>0</v>
      </c>
      <c r="AF22" s="210">
        <f t="shared" si="17"/>
        <v>7.9166666670062114E-2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44403.5</v>
      </c>
      <c r="F23" s="200" t="s">
        <v>120</v>
      </c>
      <c r="G23" s="201">
        <v>0.85585999999999995</v>
      </c>
      <c r="H23" s="201">
        <v>0.85894999999999999</v>
      </c>
      <c r="I23" s="202">
        <f t="shared" si="1"/>
        <v>3.0900000000000372E-3</v>
      </c>
      <c r="J23" s="201">
        <v>0.84762999999999999</v>
      </c>
      <c r="K23" s="199">
        <v>44414.650694444441</v>
      </c>
      <c r="L23" s="201">
        <v>0.84762999999999999</v>
      </c>
      <c r="M23" s="203">
        <f t="shared" si="2"/>
        <v>8.2000000000000007E-3</v>
      </c>
      <c r="N23" s="204">
        <f t="shared" si="3"/>
        <v>2.65</v>
      </c>
      <c r="O23" s="205">
        <f t="shared" si="4"/>
        <v>0</v>
      </c>
      <c r="P23" s="206">
        <f t="shared" si="5"/>
        <v>2.65</v>
      </c>
      <c r="Q23" s="206">
        <f t="shared" si="6"/>
        <v>0</v>
      </c>
      <c r="R23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3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101700</v>
      </c>
      <c r="T23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3" s="208">
        <f ca="1">IF(Tabla336106734815[[#This Row],[Equity]]&lt;Tabla336106734815[[#This Row],[Equity Peak]],(Tabla336106734815[[#This Row],[Equity Peak]]-Tabla336106734815[[#This Row],[Equity]])/Tabla336106734815[[#This Row],[Equity Peak]],"")</f>
        <v>9.2547491475888938E-3</v>
      </c>
      <c r="V23" s="209">
        <f t="shared" si="7"/>
        <v>2.65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11.150694444440887</v>
      </c>
      <c r="AE23" s="210">
        <f t="shared" si="16"/>
        <v>11.150694444440887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44382.666666666664</v>
      </c>
      <c r="F24" s="200" t="s">
        <v>120</v>
      </c>
      <c r="G24" s="201">
        <v>0.85682000000000003</v>
      </c>
      <c r="H24" s="201">
        <v>0.85931999999999997</v>
      </c>
      <c r="I24" s="202">
        <f t="shared" si="1"/>
        <v>2.4999999999999467E-3</v>
      </c>
      <c r="J24" s="201">
        <v>0.85014999999999996</v>
      </c>
      <c r="K24" s="199">
        <v>44385.537499999999</v>
      </c>
      <c r="L24" s="201">
        <v>0.85865999999999998</v>
      </c>
      <c r="M24" s="203">
        <f t="shared" si="2"/>
        <v>-1.8E-3</v>
      </c>
      <c r="N24" s="204">
        <f t="shared" si="3"/>
        <v>-0.72</v>
      </c>
      <c r="O24" s="205">
        <f t="shared" si="4"/>
        <v>0</v>
      </c>
      <c r="P24" s="206">
        <f t="shared" si="5"/>
        <v>0</v>
      </c>
      <c r="Q24" s="206">
        <f t="shared" si="6"/>
        <v>-0.72</v>
      </c>
      <c r="R24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4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99050</v>
      </c>
      <c r="T24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4" s="208">
        <f ca="1">IF(Tabla336106734815[[#This Row],[Equity]]&lt;Tabla336106734815[[#This Row],[Equity Peak]],(Tabla336106734815[[#This Row],[Equity Peak]]-Tabla336106734815[[#This Row],[Equity]])/Tabla336106734815[[#This Row],[Equity Peak]],"")</f>
        <v>3.5070628348757918E-2</v>
      </c>
      <c r="V24" s="209">
        <f t="shared" si="7"/>
        <v>-0.72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2.8708333333343035</v>
      </c>
      <c r="AE24" s="210">
        <f t="shared" si="16"/>
        <v>0</v>
      </c>
      <c r="AF24" s="210">
        <f t="shared" si="17"/>
        <v>2.8708333333343035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44344.017361111109</v>
      </c>
      <c r="F25" s="200" t="s">
        <v>120</v>
      </c>
      <c r="G25" s="201">
        <v>0.85816999999999999</v>
      </c>
      <c r="H25" s="201">
        <v>0.86062000000000005</v>
      </c>
      <c r="I25" s="202">
        <f t="shared" si="1"/>
        <v>2.4500000000000632E-3</v>
      </c>
      <c r="J25" s="201">
        <v>0.85163999999999995</v>
      </c>
      <c r="K25" s="199">
        <v>44344.73541666667</v>
      </c>
      <c r="L25" s="201">
        <v>0.86062000000000005</v>
      </c>
      <c r="M25" s="203">
        <f t="shared" si="2"/>
        <v>-2.5000000000000001E-3</v>
      </c>
      <c r="N25" s="204">
        <f t="shared" si="3"/>
        <v>-1.02</v>
      </c>
      <c r="O25" s="205">
        <f t="shared" si="4"/>
        <v>0</v>
      </c>
      <c r="P25" s="206">
        <f t="shared" si="5"/>
        <v>0</v>
      </c>
      <c r="Q25" s="206">
        <f t="shared" si="6"/>
        <v>-1.02</v>
      </c>
      <c r="R25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5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99770</v>
      </c>
      <c r="T25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5" s="208">
        <f ca="1">IF(Tabla336106734815[[#This Row],[Equity]]&lt;Tabla336106734815[[#This Row],[Equity Peak]],(Tabla336106734815[[#This Row],[Equity Peak]]-Tabla336106734815[[#This Row],[Equity]])/Tabla336106734815[[#This Row],[Equity Peak]],"")</f>
        <v>2.8056502679006331E-2</v>
      </c>
      <c r="V25" s="209">
        <f t="shared" si="7"/>
        <v>-1.02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0.71805555556056788</v>
      </c>
      <c r="AE25" s="210">
        <f t="shared" si="16"/>
        <v>0</v>
      </c>
      <c r="AF25" s="210">
        <f t="shared" si="17"/>
        <v>0.71805555556056788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44326.666666666664</v>
      </c>
      <c r="F26" s="200" t="s">
        <v>120</v>
      </c>
      <c r="G26" s="201">
        <v>0.86029999999999995</v>
      </c>
      <c r="H26" s="201">
        <v>0.86392999999999998</v>
      </c>
      <c r="I26" s="202">
        <f t="shared" si="1"/>
        <v>3.6300000000000221E-3</v>
      </c>
      <c r="J26" s="201">
        <v>0.85062000000000004</v>
      </c>
      <c r="K26" s="199">
        <v>44335.697916666664</v>
      </c>
      <c r="L26" s="201">
        <v>0.86341000000000001</v>
      </c>
      <c r="M26" s="203">
        <f t="shared" si="2"/>
        <v>-3.0999999999999999E-3</v>
      </c>
      <c r="N26" s="204">
        <f t="shared" si="3"/>
        <v>-0.85</v>
      </c>
      <c r="O26" s="205">
        <f t="shared" si="4"/>
        <v>0</v>
      </c>
      <c r="P26" s="206">
        <f t="shared" si="5"/>
        <v>0</v>
      </c>
      <c r="Q26" s="206">
        <f t="shared" si="6"/>
        <v>-0.85</v>
      </c>
      <c r="R26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6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100790</v>
      </c>
      <c r="T26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6" s="208">
        <f ca="1">IF(Tabla336106734815[[#This Row],[Equity]]&lt;Tabla336106734815[[#This Row],[Equity Peak]],(Tabla336106734815[[#This Row],[Equity Peak]]-Tabla336106734815[[#This Row],[Equity]])/Tabla336106734815[[#This Row],[Equity Peak]],"")</f>
        <v>1.8119824646858258E-2</v>
      </c>
      <c r="V26" s="209">
        <f t="shared" si="7"/>
        <v>-0.85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9.03125</v>
      </c>
      <c r="AE26" s="210">
        <f t="shared" si="16"/>
        <v>0</v>
      </c>
      <c r="AF26" s="210">
        <f t="shared" si="17"/>
        <v>9.03125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44322.017361111109</v>
      </c>
      <c r="F27" s="200" t="s">
        <v>120</v>
      </c>
      <c r="G27" s="201">
        <v>0.86314000000000002</v>
      </c>
      <c r="H27" s="201">
        <v>0.86561999999999995</v>
      </c>
      <c r="I27" s="202">
        <f t="shared" si="1"/>
        <v>2.4799999999999267E-3</v>
      </c>
      <c r="J27" s="201">
        <v>0.85653000000000001</v>
      </c>
      <c r="K27" s="199">
        <v>44322.474999999999</v>
      </c>
      <c r="L27" s="201">
        <v>0.86561999999999995</v>
      </c>
      <c r="M27" s="203">
        <f t="shared" si="2"/>
        <v>-2.5000000000000001E-3</v>
      </c>
      <c r="N27" s="204">
        <f t="shared" si="3"/>
        <v>-1.01</v>
      </c>
      <c r="O27" s="205">
        <f t="shared" si="4"/>
        <v>0</v>
      </c>
      <c r="P27" s="206">
        <f t="shared" si="5"/>
        <v>0</v>
      </c>
      <c r="Q27" s="206">
        <f t="shared" si="6"/>
        <v>-1.01</v>
      </c>
      <c r="R27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7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101640</v>
      </c>
      <c r="T27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7" s="208">
        <f ca="1">IF(Tabla336106734815[[#This Row],[Equity]]&lt;Tabla336106734815[[#This Row],[Equity Peak]],(Tabla336106734815[[#This Row],[Equity Peak]]-Tabla336106734815[[#This Row],[Equity]])/Tabla336106734815[[#This Row],[Equity Peak]],"")</f>
        <v>9.8392596200681925E-3</v>
      </c>
      <c r="V27" s="209">
        <f t="shared" si="7"/>
        <v>-1.01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0.45763888888905058</v>
      </c>
      <c r="AE27" s="210">
        <f t="shared" si="16"/>
        <v>0</v>
      </c>
      <c r="AF27" s="210">
        <f t="shared" si="17"/>
        <v>0.45763888888905058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44281.017361111109</v>
      </c>
      <c r="F28" s="200" t="s">
        <v>120</v>
      </c>
      <c r="G28" s="201">
        <v>0.85707999999999995</v>
      </c>
      <c r="H28" s="201">
        <v>0.85990999999999995</v>
      </c>
      <c r="I28" s="202">
        <f t="shared" si="1"/>
        <v>2.8299999999999992E-3</v>
      </c>
      <c r="J28" s="201">
        <v>0.84953000000000001</v>
      </c>
      <c r="K28" s="199">
        <v>44287.713194444441</v>
      </c>
      <c r="L28" s="201">
        <v>0.84953000000000001</v>
      </c>
      <c r="M28" s="203">
        <f t="shared" si="2"/>
        <v>7.4999999999999997E-3</v>
      </c>
      <c r="N28" s="204">
        <f t="shared" si="3"/>
        <v>2.65</v>
      </c>
      <c r="O28" s="205">
        <f t="shared" si="4"/>
        <v>0</v>
      </c>
      <c r="P28" s="206">
        <f t="shared" si="5"/>
        <v>2.65</v>
      </c>
      <c r="Q28" s="206">
        <f t="shared" si="6"/>
        <v>0</v>
      </c>
      <c r="R28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8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102650</v>
      </c>
      <c r="T28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102650</v>
      </c>
      <c r="U28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8" s="209">
        <f t="shared" si="7"/>
        <v>2.65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6.6958333333313931</v>
      </c>
      <c r="AE28" s="210">
        <f t="shared" si="16"/>
        <v>6.6958333333313931</v>
      </c>
      <c r="AF28" s="210">
        <f t="shared" si="17"/>
        <v>0</v>
      </c>
      <c r="AG28" s="210">
        <f t="shared" si="18"/>
        <v>0</v>
      </c>
    </row>
  </sheetData>
  <sheetProtection algorithmName="SHA-512" hashValue="S0LCOwxWVAQkucfBr3sTJn/2zukCTSvhstnpaf65UNEM76NdzVTxq9XcA20K9olY+TTvgHy24DNuwf8u5rjCUQ==" saltValue="SaxdeGiWye1BvWCZCL2aG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55" priority="3" operator="equal">
      <formula>"OK"</formula>
    </cfRule>
    <cfRule type="cellIs" dxfId="754" priority="4" operator="equal">
      <formula>"warning"</formula>
    </cfRule>
  </conditionalFormatting>
  <conditionalFormatting sqref="F13">
    <cfRule type="cellIs" dxfId="753" priority="1" operator="equal">
      <formula>"OK"</formula>
    </cfRule>
    <cfRule type="cellIs" dxfId="752" priority="2" operator="equal">
      <formula>"Error!!"</formula>
    </cfRule>
  </conditionalFormatting>
  <conditionalFormatting sqref="E15:H15 K15:L15">
    <cfRule type="expression" dxfId="751" priority="5">
      <formula>+$D15=#REF!</formula>
    </cfRule>
    <cfRule type="expression" dxfId="750" priority="6">
      <formula>+$D15=#REF!</formula>
    </cfRule>
  </conditionalFormatting>
  <conditionalFormatting sqref="D15 K16:L16 D16:H28 J17:L28">
    <cfRule type="expression" dxfId="749" priority="7">
      <formula>+$D15=$AG$8</formula>
    </cfRule>
    <cfRule type="expression" dxfId="74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A57D058-F62F-4B47-83E2-42C0EE52DCD8}">
      <formula1>$AE$4:$AE$6</formula1>
    </dataValidation>
    <dataValidation type="list" allowBlank="1" showInputMessage="1" showErrorMessage="1" promptTitle="Trade Direction" prompt="Select from List" sqref="C15:C16" xr:uid="{0AD16FF2-E36F-46EE-9496-CB794E598F75}">
      <formula1>$AG$4:$AG$5</formula1>
    </dataValidation>
    <dataValidation type="list" allowBlank="1" showInputMessage="1" showErrorMessage="1" promptTitle="Instrument Type" prompt="Select Type from List_x000a_" sqref="B17:B28" xr:uid="{2B7E2824-5C88-4F1D-8D44-5D2BC41AB99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B7A9-7552-4CBE-B4ED-D4D70AF3DA60}">
  <sheetPr codeName="Hoja22">
    <pageSetUpPr fitToPage="1"/>
  </sheetPr>
  <dimension ref="A1:AX50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COUNTA(Tabla336106734816[Inst])</f>
        <v>34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3.330000000000001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3.330000000000001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COUNTIF(Tabla336106734816[No. of Rs],"&gt;0")</f>
        <v>12</v>
      </c>
      <c r="G7" s="24">
        <f>IFERROR((F7/$F$6),"")</f>
        <v>0.35294117647058826</v>
      </c>
      <c r="H7" s="78">
        <f>IFERROR((+P13/F7),"")</f>
        <v>1.354166666666667</v>
      </c>
      <c r="I7" s="227">
        <f>H7/H9</f>
        <v>2.3058565531475748</v>
      </c>
      <c r="J7" s="227">
        <f>AVERAGE(Tabla336106734816[No. of Rs])</f>
        <v>9.7941176470588268E-2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OFFSET(Tabla336106734816[[#Headers],[Equity]],1,0)</f>
        <v>103330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COUNTIF(Tabla336106734816[No. of Rs],"&lt;0")</f>
        <v>22</v>
      </c>
      <c r="G9" s="32">
        <f>IFERROR((F9/$F$6),"")</f>
        <v>0.6470588235294118</v>
      </c>
      <c r="H9" s="79">
        <f>IFERROR((-Q13/F9),"")</f>
        <v>0.58727272727272739</v>
      </c>
      <c r="I9" s="229"/>
      <c r="J9" s="229"/>
      <c r="K9" s="149"/>
      <c r="L9" s="230" t="s">
        <v>106</v>
      </c>
      <c r="M9" s="231"/>
      <c r="N9" s="125">
        <f ca="1">MAX(Tabla336106734816[Drawdown])</f>
        <v>3.4700000000000002E-2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OFFSET(Tabla336106734816[[#Headers],[Drawdown]],1,0)</f>
        <v>5.8032691749685652E-4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IF(COUNTIFS(Tabla336106734816[O/C],"O")&lt;1,"None",COUNTIFS(Tabla336106734816[O/C],"O"))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SUM(Tabla336106734816[No. of Rs])</f>
        <v>3.330000000000001</v>
      </c>
      <c r="O13" s="42">
        <f>SUM(Tabla336106734816[Heat])</f>
        <v>0</v>
      </c>
      <c r="P13" s="43">
        <f>SUM(Tabla336106734816[[ TR WIN]])</f>
        <v>16.250000000000004</v>
      </c>
      <c r="Q13" s="43">
        <f>SUM(Tabla336106734816[[ TR LOSS]])</f>
        <v>-12.920000000000003</v>
      </c>
      <c r="R13" s="114"/>
      <c r="S13" s="115"/>
      <c r="T13" s="115"/>
      <c r="U13" s="121"/>
      <c r="V13" s="44">
        <f>SUM(Tabla336106734816[Currency])</f>
        <v>3.330000000000001</v>
      </c>
      <c r="W13" s="44">
        <f>SUM(Tabla336106734816[Heat3])</f>
        <v>0</v>
      </c>
      <c r="X13" s="44">
        <f>SUM(Tabla336106734816[Commodities])</f>
        <v>0</v>
      </c>
      <c r="Y13" s="44">
        <f>SUM(Tabla336106734816[Heat4])</f>
        <v>0</v>
      </c>
      <c r="Z13" s="44">
        <f>SUM(Tabla336106734816[Index])</f>
        <v>0</v>
      </c>
      <c r="AA13" s="44">
        <f>SUM(Tabla336106734816[Heat5])</f>
        <v>0</v>
      </c>
      <c r="AB13" s="44">
        <f>SUM(Tabla336106734816[Cryptocurrency])</f>
        <v>0</v>
      </c>
      <c r="AC13" s="44">
        <f>SUM(Tabla336106734816[Heat6])</f>
        <v>0</v>
      </c>
      <c r="AD13" s="75">
        <f>AVERAGEIF(Tabla336106734816[Length of 
Trade],"&lt;&gt;0")</f>
        <v>3.2953635620914987</v>
      </c>
      <c r="AE13" s="75">
        <f>AVERAGEIF(Tabla336106734816[Win],"&lt;&gt;0")</f>
        <v>6.1640625</v>
      </c>
      <c r="AF13" s="75">
        <f>AVERAGEIF(Tabla336106734816[Loss],"&lt;&gt;0")</f>
        <v>1.7306186868686795</v>
      </c>
      <c r="AG13" s="76" t="e">
        <f>AVERAGEIF(Tabla336106734816[Breakeven],"&lt;&gt;0")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18" si="0">IF(E17&lt;&gt;"",IF(K17&lt;&gt;"","C","O"),"")</f>
        <v>C</v>
      </c>
      <c r="E17" s="199">
        <v>44552.5</v>
      </c>
      <c r="F17" s="200" t="s">
        <v>119</v>
      </c>
      <c r="G17" s="201">
        <v>128.965</v>
      </c>
      <c r="H17" s="201">
        <v>128.21700000000001</v>
      </c>
      <c r="I17" s="202">
        <f t="shared" ref="I17:I18" si="1">ABS(G17-H17)</f>
        <v>0.74799999999999045</v>
      </c>
      <c r="J17" s="201">
        <v>131.95500000000001</v>
      </c>
      <c r="K17" s="199">
        <v>44558.734722222223</v>
      </c>
      <c r="L17" s="201">
        <v>129.64500000000001</v>
      </c>
      <c r="M17" s="203">
        <f t="shared" ref="M17:M18" si="2">ROUND(IF(C17="L",(L17-G17),(G17-L17)),4)</f>
        <v>0.68</v>
      </c>
      <c r="N17" s="204">
        <f t="shared" ref="N17:N18" si="3">IFERROR(ROUND((M17/I17),2),"")</f>
        <v>0.91</v>
      </c>
      <c r="O17" s="205">
        <f t="shared" ref="O17:O18" si="4">IF(D17="O",IF(N17&lt;0,N17,0),0)</f>
        <v>0</v>
      </c>
      <c r="P17" s="206">
        <f t="shared" ref="P17:P18" si="5">IF(N17&gt;= 0,N17,0)</f>
        <v>0.91</v>
      </c>
      <c r="Q17" s="206">
        <f t="shared" ref="Q17:Q18" si="6">IF(N17&lt;0,N17,0)</f>
        <v>0</v>
      </c>
      <c r="R1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103330</v>
      </c>
      <c r="T1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103390</v>
      </c>
      <c r="U17" s="208">
        <f ca="1">IF(Tabla336106734816[[#This Row],[Equity]]&lt;Tabla336106734816[[#This Row],[Equity Peak]],(Tabla336106734816[[#This Row],[Equity Peak]]-Tabla336106734816[[#This Row],[Equity]])/Tabla336106734816[[#This Row],[Equity Peak]],"")</f>
        <v>5.8032691749685652E-4</v>
      </c>
      <c r="V17" s="209">
        <f t="shared" ref="V17:V18" si="7">IF(B17="FX",N17,0)</f>
        <v>0.91</v>
      </c>
      <c r="W17" s="209">
        <f t="shared" ref="W17:W18" si="8">IF(D17="O",IF(V17&lt;0,V17,0),0)</f>
        <v>0</v>
      </c>
      <c r="X17" s="209">
        <f t="shared" ref="X17:X18" si="9">IF(B17="COM",N17,0)</f>
        <v>0</v>
      </c>
      <c r="Y17" s="209">
        <f t="shared" ref="Y17:Y18" si="10">IF(D17="O",IF(X17&lt;0,X17,0),0)</f>
        <v>0</v>
      </c>
      <c r="Z17" s="209">
        <f t="shared" ref="Z17:Z18" si="11">IF(B17="IND",N17,0)</f>
        <v>0</v>
      </c>
      <c r="AA17" s="205">
        <f t="shared" ref="AA17:AA18" si="12">IF(D17="O",IF(Z17&lt;0,Z17,0),0)</f>
        <v>0</v>
      </c>
      <c r="AB17" s="209">
        <f t="shared" ref="AB17:AB18" si="13">IF(B17="CRYPTO",N17,0)</f>
        <v>0</v>
      </c>
      <c r="AC17" s="205">
        <f t="shared" ref="AC17:AC18" si="14">IF(D17="O",IF(AB17&lt;0,AB17,0),0)</f>
        <v>0</v>
      </c>
      <c r="AD17" s="210">
        <f t="shared" ref="AD17:AD18" si="15">IF(K17&lt;&gt;"",K17-E17,0)</f>
        <v>6.234722222223354</v>
      </c>
      <c r="AE17" s="210">
        <f t="shared" ref="AE17:AE18" si="16">IF(N17&gt;0,AD17,0)</f>
        <v>6.234722222223354</v>
      </c>
      <c r="AF17" s="210">
        <f t="shared" ref="AF17:AF18" si="17">IF(N17&lt;0,AD17,0)</f>
        <v>0</v>
      </c>
      <c r="AG17" s="210">
        <f t="shared" ref="AG17:AG18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44547.666666666664</v>
      </c>
      <c r="F18" s="200" t="s">
        <v>119</v>
      </c>
      <c r="G18" s="201">
        <v>128.154</v>
      </c>
      <c r="H18" s="201">
        <v>129.232</v>
      </c>
      <c r="I18" s="202">
        <f t="shared" si="1"/>
        <v>1.078000000000003</v>
      </c>
      <c r="J18" s="201">
        <v>123.843</v>
      </c>
      <c r="K18" s="199">
        <v>44551.804166666669</v>
      </c>
      <c r="L18" s="201">
        <v>128.68899999999999</v>
      </c>
      <c r="M18" s="203">
        <f t="shared" si="2"/>
        <v>-0.53500000000000003</v>
      </c>
      <c r="N18" s="204">
        <f t="shared" si="3"/>
        <v>-0.5</v>
      </c>
      <c r="O18" s="205">
        <f t="shared" si="4"/>
        <v>0</v>
      </c>
      <c r="P18" s="206">
        <f t="shared" si="5"/>
        <v>0</v>
      </c>
      <c r="Q18" s="206">
        <f t="shared" si="6"/>
        <v>-0.5</v>
      </c>
      <c r="R1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102420</v>
      </c>
      <c r="T1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103390</v>
      </c>
      <c r="U18" s="208">
        <f ca="1">IF(Tabla336106734816[[#This Row],[Equity]]&lt;Tabla336106734816[[#This Row],[Equity Peak]],(Tabla336106734816[[#This Row],[Equity Peak]]-Tabla336106734816[[#This Row],[Equity]])/Tabla336106734816[[#This Row],[Equity Peak]],"")</f>
        <v>9.381951832865847E-3</v>
      </c>
      <c r="V18" s="209">
        <f t="shared" si="7"/>
        <v>-0.5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4.1375000000043656</v>
      </c>
      <c r="AE18" s="210">
        <f t="shared" si="16"/>
        <v>0</v>
      </c>
      <c r="AF18" s="210">
        <f t="shared" si="17"/>
        <v>4.1375000000043656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ref="D19:D50" si="19">IF(E19&lt;&gt;"",IF(K19&lt;&gt;"","C","O"),"")</f>
        <v>C</v>
      </c>
      <c r="E19" s="199">
        <v>44546.5</v>
      </c>
      <c r="F19" s="200" t="s">
        <v>119</v>
      </c>
      <c r="G19" s="201">
        <v>129.143</v>
      </c>
      <c r="H19" s="201">
        <v>128.38</v>
      </c>
      <c r="I19" s="202">
        <f t="shared" ref="I19:I50" si="20">ABS(G19-H19)</f>
        <v>0.76300000000000523</v>
      </c>
      <c r="J19" s="201">
        <v>132.19499999999999</v>
      </c>
      <c r="K19" s="199">
        <v>44546.705555555556</v>
      </c>
      <c r="L19" s="201">
        <v>128.78100000000001</v>
      </c>
      <c r="M19" s="203">
        <f t="shared" ref="M19:M50" si="21">ROUND(IF(C19="L",(L19-G19),(G19-L19)),4)</f>
        <v>-0.36199999999999999</v>
      </c>
      <c r="N19" s="204">
        <f t="shared" ref="N19:N50" si="22">IFERROR(ROUND((M19/I19),2),"")</f>
        <v>-0.47</v>
      </c>
      <c r="O19" s="205">
        <f t="shared" ref="O19:O50" si="23">IF(D19="O",IF(N19&lt;0,N19,0),0)</f>
        <v>0</v>
      </c>
      <c r="P19" s="206">
        <f t="shared" ref="P19:P50" si="24">IF(N19&gt;= 0,N19,0)</f>
        <v>0</v>
      </c>
      <c r="Q19" s="206">
        <f t="shared" ref="Q19:Q50" si="25">IF(N19&lt;0,N19,0)</f>
        <v>-0.47</v>
      </c>
      <c r="R1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102920</v>
      </c>
      <c r="T1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103390</v>
      </c>
      <c r="U19" s="208">
        <f ca="1">IF(Tabla336106734816[[#This Row],[Equity]]&lt;Tabla336106734816[[#This Row],[Equity Peak]],(Tabla336106734816[[#This Row],[Equity Peak]]-Tabla336106734816[[#This Row],[Equity]])/Tabla336106734816[[#This Row],[Equity Peak]],"")</f>
        <v>4.5458941870587096E-3</v>
      </c>
      <c r="V19" s="209">
        <f t="shared" ref="V19:V50" si="26">IF(B19="FX",N19,0)</f>
        <v>-0.47</v>
      </c>
      <c r="W19" s="209">
        <f t="shared" ref="W19:W50" si="27">IF(D19="O",IF(V19&lt;0,V19,0),0)</f>
        <v>0</v>
      </c>
      <c r="X19" s="209">
        <f t="shared" ref="X19:X50" si="28">IF(B19="COM",N19,0)</f>
        <v>0</v>
      </c>
      <c r="Y19" s="209">
        <f t="shared" ref="Y19:Y50" si="29">IF(D19="O",IF(X19&lt;0,X19,0),0)</f>
        <v>0</v>
      </c>
      <c r="Z19" s="209">
        <f t="shared" ref="Z19:Z50" si="30">IF(B19="IND",N19,0)</f>
        <v>0</v>
      </c>
      <c r="AA19" s="205">
        <f t="shared" ref="AA19:AA50" si="31">IF(D19="O",IF(Z19&lt;0,Z19,0),0)</f>
        <v>0</v>
      </c>
      <c r="AB19" s="209">
        <f t="shared" ref="AB19:AB50" si="32">IF(B19="CRYPTO",N19,0)</f>
        <v>0</v>
      </c>
      <c r="AC19" s="205">
        <f t="shared" ref="AC19:AC50" si="33">IF(D19="O",IF(AB19&lt;0,AB19,0),0)</f>
        <v>0</v>
      </c>
      <c r="AD19" s="210">
        <f t="shared" ref="AD19:AD50" si="34">IF(K19&lt;&gt;"",K19-E19,0)</f>
        <v>0.20555555555620231</v>
      </c>
      <c r="AE19" s="210">
        <f t="shared" ref="AE19:AE50" si="35">IF(N19&gt;0,AD19,0)</f>
        <v>0</v>
      </c>
      <c r="AF19" s="210">
        <f t="shared" ref="AF19:AF50" si="36">IF(N19&lt;0,AD19,0)</f>
        <v>0.20555555555620231</v>
      </c>
      <c r="AG19" s="210">
        <f t="shared" ref="AG19:AG50" si="37">IF(N19=0,AD19,0)</f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19"/>
        <v>C</v>
      </c>
      <c r="E20" s="199">
        <v>44505.166666666664</v>
      </c>
      <c r="F20" s="200" t="s">
        <v>119</v>
      </c>
      <c r="G20" s="201">
        <v>131.37799999999999</v>
      </c>
      <c r="H20" s="201">
        <v>132.19999999999999</v>
      </c>
      <c r="I20" s="202">
        <f t="shared" si="20"/>
        <v>0.82200000000000273</v>
      </c>
      <c r="J20" s="201">
        <v>128.09200000000001</v>
      </c>
      <c r="K20" s="199">
        <v>44510.670138888891</v>
      </c>
      <c r="L20" s="201">
        <v>131.19</v>
      </c>
      <c r="M20" s="203">
        <f t="shared" si="21"/>
        <v>0.188</v>
      </c>
      <c r="N20" s="204">
        <f t="shared" si="22"/>
        <v>0.23</v>
      </c>
      <c r="O20" s="205">
        <f t="shared" si="23"/>
        <v>0</v>
      </c>
      <c r="P20" s="206">
        <f t="shared" si="24"/>
        <v>0.23</v>
      </c>
      <c r="Q20" s="206">
        <f t="shared" si="25"/>
        <v>0</v>
      </c>
      <c r="R2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103390</v>
      </c>
      <c r="T2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103390</v>
      </c>
      <c r="U20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20" s="209">
        <f t="shared" si="26"/>
        <v>0.23</v>
      </c>
      <c r="W20" s="209">
        <f t="shared" si="27"/>
        <v>0</v>
      </c>
      <c r="X20" s="209">
        <f t="shared" si="28"/>
        <v>0</v>
      </c>
      <c r="Y20" s="209">
        <f t="shared" si="29"/>
        <v>0</v>
      </c>
      <c r="Z20" s="209">
        <f t="shared" si="30"/>
        <v>0</v>
      </c>
      <c r="AA20" s="205">
        <f t="shared" si="31"/>
        <v>0</v>
      </c>
      <c r="AB20" s="209">
        <f t="shared" si="32"/>
        <v>0</v>
      </c>
      <c r="AC20" s="205">
        <f t="shared" si="33"/>
        <v>0</v>
      </c>
      <c r="AD20" s="210">
        <f t="shared" si="34"/>
        <v>5.5034722222262644</v>
      </c>
      <c r="AE20" s="210">
        <f t="shared" si="35"/>
        <v>5.5034722222262644</v>
      </c>
      <c r="AF20" s="210">
        <f t="shared" si="36"/>
        <v>0</v>
      </c>
      <c r="AG20" s="210">
        <f t="shared" si="37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19"/>
        <v>C</v>
      </c>
      <c r="E21" s="199">
        <v>44477.833333333336</v>
      </c>
      <c r="F21" s="200" t="s">
        <v>119</v>
      </c>
      <c r="G21" s="201">
        <v>129.76</v>
      </c>
      <c r="H21" s="201">
        <v>129.06200000000001</v>
      </c>
      <c r="I21" s="202">
        <f t="shared" si="20"/>
        <v>0.69799999999997908</v>
      </c>
      <c r="J21" s="201">
        <v>132.55099999999999</v>
      </c>
      <c r="K21" s="199">
        <v>44484.433333333334</v>
      </c>
      <c r="L21" s="201">
        <v>132.55099999999999</v>
      </c>
      <c r="M21" s="203">
        <f t="shared" si="21"/>
        <v>2.7909999999999999</v>
      </c>
      <c r="N21" s="204">
        <f t="shared" si="22"/>
        <v>4</v>
      </c>
      <c r="O21" s="205">
        <f t="shared" si="23"/>
        <v>0</v>
      </c>
      <c r="P21" s="206">
        <f t="shared" si="24"/>
        <v>4</v>
      </c>
      <c r="Q21" s="206">
        <f t="shared" si="25"/>
        <v>0</v>
      </c>
      <c r="R2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103160</v>
      </c>
      <c r="T2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103160</v>
      </c>
      <c r="U21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21" s="209">
        <f t="shared" si="26"/>
        <v>4</v>
      </c>
      <c r="W21" s="209">
        <f t="shared" si="27"/>
        <v>0</v>
      </c>
      <c r="X21" s="209">
        <f t="shared" si="28"/>
        <v>0</v>
      </c>
      <c r="Y21" s="209">
        <f t="shared" si="29"/>
        <v>0</v>
      </c>
      <c r="Z21" s="209">
        <f t="shared" si="30"/>
        <v>0</v>
      </c>
      <c r="AA21" s="205">
        <f t="shared" si="31"/>
        <v>0</v>
      </c>
      <c r="AB21" s="209">
        <f t="shared" si="32"/>
        <v>0</v>
      </c>
      <c r="AC21" s="205">
        <f t="shared" si="33"/>
        <v>0</v>
      </c>
      <c r="AD21" s="210">
        <f t="shared" si="34"/>
        <v>6.5999999999985448</v>
      </c>
      <c r="AE21" s="210">
        <f t="shared" si="35"/>
        <v>6.5999999999985448</v>
      </c>
      <c r="AF21" s="210">
        <f t="shared" si="36"/>
        <v>0</v>
      </c>
      <c r="AG21" s="210">
        <f t="shared" si="37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19"/>
        <v>C</v>
      </c>
      <c r="E22" s="199">
        <v>44470.017361111109</v>
      </c>
      <c r="F22" s="200" t="s">
        <v>119</v>
      </c>
      <c r="G22" s="201">
        <v>128.88300000000001</v>
      </c>
      <c r="H22" s="201">
        <v>129.73500000000001</v>
      </c>
      <c r="I22" s="202">
        <f t="shared" si="20"/>
        <v>0.85200000000000387</v>
      </c>
      <c r="J22" s="201">
        <v>125.47499999999999</v>
      </c>
      <c r="K22" s="199">
        <v>44475.29791666667</v>
      </c>
      <c r="L22" s="201">
        <v>129.48500000000001</v>
      </c>
      <c r="M22" s="203">
        <f t="shared" si="21"/>
        <v>-0.60199999999999998</v>
      </c>
      <c r="N22" s="204">
        <f t="shared" si="22"/>
        <v>-0.71</v>
      </c>
      <c r="O22" s="205">
        <f t="shared" si="23"/>
        <v>0</v>
      </c>
      <c r="P22" s="206">
        <f t="shared" si="24"/>
        <v>0</v>
      </c>
      <c r="Q22" s="206">
        <f t="shared" si="25"/>
        <v>-0.71</v>
      </c>
      <c r="R2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99160</v>
      </c>
      <c r="T2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2" s="208">
        <f ca="1">IF(Tabla336106734816[[#This Row],[Equity]]&lt;Tabla336106734816[[#This Row],[Equity Peak]],(Tabla336106734816[[#This Row],[Equity Peak]]-Tabla336106734816[[#This Row],[Equity]])/Tabla336106734816[[#This Row],[Equity Peak]],"")</f>
        <v>1.3627772804138068E-2</v>
      </c>
      <c r="V22" s="209">
        <f t="shared" si="26"/>
        <v>-0.71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0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5.2805555555605679</v>
      </c>
      <c r="AE22" s="210">
        <f t="shared" si="35"/>
        <v>0</v>
      </c>
      <c r="AF22" s="210">
        <f t="shared" si="36"/>
        <v>5.2805555555605679</v>
      </c>
      <c r="AG22" s="210">
        <f t="shared" si="37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19"/>
        <v>C</v>
      </c>
      <c r="E23" s="199">
        <v>44463.333333333336</v>
      </c>
      <c r="F23" s="200" t="s">
        <v>119</v>
      </c>
      <c r="G23" s="201">
        <v>129.63200000000001</v>
      </c>
      <c r="H23" s="201">
        <v>128.89099999999999</v>
      </c>
      <c r="I23" s="202">
        <f t="shared" si="20"/>
        <v>0.74100000000001387</v>
      </c>
      <c r="J23" s="201">
        <v>132.59700000000001</v>
      </c>
      <c r="K23" s="199">
        <v>44468.433333333334</v>
      </c>
      <c r="L23" s="201">
        <v>129.87299999999999</v>
      </c>
      <c r="M23" s="203">
        <f t="shared" si="21"/>
        <v>0.24099999999999999</v>
      </c>
      <c r="N23" s="204">
        <f t="shared" si="22"/>
        <v>0.33</v>
      </c>
      <c r="O23" s="205">
        <f t="shared" si="23"/>
        <v>0</v>
      </c>
      <c r="P23" s="206">
        <f t="shared" si="24"/>
        <v>0.33</v>
      </c>
      <c r="Q23" s="206">
        <f t="shared" si="25"/>
        <v>0</v>
      </c>
      <c r="R2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99870</v>
      </c>
      <c r="T2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3" s="208">
        <f ca="1">IF(Tabla336106734816[[#This Row],[Equity]]&lt;Tabla336106734816[[#This Row],[Equity Peak]],(Tabla336106734816[[#This Row],[Equity Peak]]-Tabla336106734816[[#This Row],[Equity]])/Tabla336106734816[[#This Row],[Equity Peak]],"")</f>
        <v>6.5652044165920619E-3</v>
      </c>
      <c r="V23" s="209">
        <f t="shared" si="26"/>
        <v>0.33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0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5.0999999999985448</v>
      </c>
      <c r="AE23" s="210">
        <f t="shared" si="35"/>
        <v>5.0999999999985448</v>
      </c>
      <c r="AF23" s="210">
        <f t="shared" si="36"/>
        <v>0</v>
      </c>
      <c r="AG23" s="210">
        <f t="shared" si="37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19"/>
        <v>C</v>
      </c>
      <c r="E24" s="199">
        <v>44454.017361111109</v>
      </c>
      <c r="F24" s="200" t="s">
        <v>119</v>
      </c>
      <c r="G24" s="201">
        <v>129.5</v>
      </c>
      <c r="H24" s="201">
        <v>130.07599999999999</v>
      </c>
      <c r="I24" s="202">
        <f t="shared" si="20"/>
        <v>0.57599999999999341</v>
      </c>
      <c r="J24" s="201">
        <v>127.197</v>
      </c>
      <c r="K24" s="199">
        <v>44456.200694444444</v>
      </c>
      <c r="L24" s="201">
        <v>129.24700000000001</v>
      </c>
      <c r="M24" s="203">
        <f t="shared" si="21"/>
        <v>0.253</v>
      </c>
      <c r="N24" s="204">
        <f t="shared" si="22"/>
        <v>0.44</v>
      </c>
      <c r="O24" s="205">
        <f t="shared" si="23"/>
        <v>0</v>
      </c>
      <c r="P24" s="206">
        <f t="shared" si="24"/>
        <v>0.44</v>
      </c>
      <c r="Q24" s="206">
        <f t="shared" si="25"/>
        <v>0</v>
      </c>
      <c r="R2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99540</v>
      </c>
      <c r="T2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4" s="208">
        <f ca="1">IF(Tabla336106734816[[#This Row],[Equity]]&lt;Tabla336106734816[[#This Row],[Equity Peak]],(Tabla336106734816[[#This Row],[Equity Peak]]-Tabla336106734816[[#This Row],[Equity]])/Tabla336106734816[[#This Row],[Equity Peak]],"")</f>
        <v>9.8478066248880933E-3</v>
      </c>
      <c r="V24" s="209">
        <f t="shared" si="26"/>
        <v>0.44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0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2.1833333333343035</v>
      </c>
      <c r="AE24" s="210">
        <f t="shared" si="35"/>
        <v>2.1833333333343035</v>
      </c>
      <c r="AF24" s="210">
        <f t="shared" si="36"/>
        <v>0</v>
      </c>
      <c r="AG24" s="210">
        <f t="shared" si="37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19"/>
        <v>C</v>
      </c>
      <c r="E25" s="199">
        <v>44453.166666666664</v>
      </c>
      <c r="F25" s="200" t="s">
        <v>119</v>
      </c>
      <c r="G25" s="201">
        <v>129.94800000000001</v>
      </c>
      <c r="H25" s="201">
        <v>129.41800000000001</v>
      </c>
      <c r="I25" s="202">
        <f t="shared" si="20"/>
        <v>0.53000000000000114</v>
      </c>
      <c r="J25" s="201">
        <v>132.06700000000001</v>
      </c>
      <c r="K25" s="199">
        <v>44453.838194444441</v>
      </c>
      <c r="L25" s="201">
        <v>129.57599999999999</v>
      </c>
      <c r="M25" s="203">
        <f t="shared" si="21"/>
        <v>-0.372</v>
      </c>
      <c r="N25" s="204">
        <f t="shared" si="22"/>
        <v>-0.7</v>
      </c>
      <c r="O25" s="205">
        <f t="shared" si="23"/>
        <v>0</v>
      </c>
      <c r="P25" s="206">
        <f t="shared" si="24"/>
        <v>0</v>
      </c>
      <c r="Q25" s="206">
        <f t="shared" si="25"/>
        <v>-0.7</v>
      </c>
      <c r="R2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99100</v>
      </c>
      <c r="T2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5" s="208">
        <f ca="1">IF(Tabla336106734816[[#This Row],[Equity]]&lt;Tabla336106734816[[#This Row],[Equity Peak]],(Tabla336106734816[[#This Row],[Equity Peak]]-Tabla336106734816[[#This Row],[Equity]])/Tabla336106734816[[#This Row],[Equity Peak]],"")</f>
        <v>1.4224609569282801E-2</v>
      </c>
      <c r="V25" s="209">
        <f t="shared" si="26"/>
        <v>-0.7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0.67152777777664596</v>
      </c>
      <c r="AE25" s="210">
        <f t="shared" si="35"/>
        <v>0</v>
      </c>
      <c r="AF25" s="210">
        <f t="shared" si="36"/>
        <v>0.67152777777664596</v>
      </c>
      <c r="AG25" s="210">
        <f t="shared" si="37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44452.5</v>
      </c>
      <c r="F26" s="200" t="s">
        <v>119</v>
      </c>
      <c r="G26" s="201">
        <v>129.822</v>
      </c>
      <c r="H26" s="201">
        <v>130.393</v>
      </c>
      <c r="I26" s="202">
        <f t="shared" si="20"/>
        <v>0.57099999999999795</v>
      </c>
      <c r="J26" s="201">
        <v>127.538</v>
      </c>
      <c r="K26" s="199">
        <v>44453.166666666664</v>
      </c>
      <c r="L26" s="201">
        <v>129.94800000000001</v>
      </c>
      <c r="M26" s="203">
        <f t="shared" si="21"/>
        <v>-0.126</v>
      </c>
      <c r="N26" s="204">
        <f t="shared" si="22"/>
        <v>-0.22</v>
      </c>
      <c r="O26" s="205">
        <f t="shared" si="23"/>
        <v>0</v>
      </c>
      <c r="P26" s="206">
        <f t="shared" si="24"/>
        <v>0</v>
      </c>
      <c r="Q26" s="206">
        <f t="shared" si="25"/>
        <v>-0.22</v>
      </c>
      <c r="R2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99800</v>
      </c>
      <c r="T2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6" s="208">
        <f ca="1">IF(Tabla336106734816[[#This Row],[Equity]]&lt;Tabla336106734816[[#This Row],[Equity Peak]],(Tabla336106734816[[#This Row],[Equity Peak]]-Tabla336106734816[[#This Row],[Equity]])/Tabla336106734816[[#This Row],[Equity Peak]],"")</f>
        <v>7.2615139759275842E-3</v>
      </c>
      <c r="V26" s="209">
        <f t="shared" si="26"/>
        <v>-0.22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0.66666666666424135</v>
      </c>
      <c r="AE26" s="210">
        <f t="shared" si="35"/>
        <v>0</v>
      </c>
      <c r="AF26" s="210">
        <f t="shared" si="36"/>
        <v>0.66666666666424135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19"/>
        <v>C</v>
      </c>
      <c r="E27" s="199">
        <v>44434.166666666664</v>
      </c>
      <c r="F27" s="200" t="s">
        <v>119</v>
      </c>
      <c r="G27" s="201">
        <v>129.5</v>
      </c>
      <c r="H27" s="201">
        <v>128.96600000000001</v>
      </c>
      <c r="I27" s="202">
        <f t="shared" si="20"/>
        <v>0.53399999999999181</v>
      </c>
      <c r="J27" s="201">
        <v>131.63399999999999</v>
      </c>
      <c r="K27" s="199">
        <v>44442.744444444441</v>
      </c>
      <c r="L27" s="201">
        <v>130.24299999999999</v>
      </c>
      <c r="M27" s="203">
        <f t="shared" si="21"/>
        <v>0.74299999999999999</v>
      </c>
      <c r="N27" s="204">
        <f t="shared" si="22"/>
        <v>1.39</v>
      </c>
      <c r="O27" s="205">
        <f t="shared" si="23"/>
        <v>0</v>
      </c>
      <c r="P27" s="206">
        <f t="shared" si="24"/>
        <v>1.39</v>
      </c>
      <c r="Q27" s="206">
        <f t="shared" si="25"/>
        <v>0</v>
      </c>
      <c r="R2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100020</v>
      </c>
      <c r="T2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7" s="208">
        <f ca="1">IF(Tabla336106734816[[#This Row],[Equity]]&lt;Tabla336106734816[[#This Row],[Equity Peak]],(Tabla336106734816[[#This Row],[Equity Peak]]-Tabla336106734816[[#This Row],[Equity]])/Tabla336106734816[[#This Row],[Equity Peak]],"")</f>
        <v>5.0731125037302297E-3</v>
      </c>
      <c r="V27" s="209">
        <f t="shared" si="26"/>
        <v>1.39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8.577777777776646</v>
      </c>
      <c r="AE27" s="210">
        <f t="shared" si="35"/>
        <v>8.577777777776646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44427.5</v>
      </c>
      <c r="F28" s="200" t="s">
        <v>119</v>
      </c>
      <c r="G28" s="201">
        <v>128.09399999999999</v>
      </c>
      <c r="H28" s="201">
        <v>128.80600000000001</v>
      </c>
      <c r="I28" s="202">
        <f t="shared" si="20"/>
        <v>0.71200000000001751</v>
      </c>
      <c r="J28" s="201">
        <v>125.247</v>
      </c>
      <c r="K28" s="199">
        <v>44431.273611111108</v>
      </c>
      <c r="L28" s="201">
        <v>128.78299999999999</v>
      </c>
      <c r="M28" s="203">
        <f t="shared" si="21"/>
        <v>-0.68899999999999995</v>
      </c>
      <c r="N28" s="204">
        <f t="shared" si="22"/>
        <v>-0.97</v>
      </c>
      <c r="O28" s="205">
        <f t="shared" si="23"/>
        <v>0</v>
      </c>
      <c r="P28" s="206">
        <f t="shared" si="24"/>
        <v>0</v>
      </c>
      <c r="Q28" s="206">
        <f t="shared" si="25"/>
        <v>-0.97</v>
      </c>
      <c r="R2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98630</v>
      </c>
      <c r="T2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8" s="208">
        <f ca="1">IF(Tabla336106734816[[#This Row],[Equity]]&lt;Tabla336106734816[[#This Row],[Equity Peak]],(Tabla336106734816[[#This Row],[Equity Peak]]-Tabla336106734816[[#This Row],[Equity]])/Tabla336106734816[[#This Row],[Equity Peak]],"")</f>
        <v>1.8899830896249876E-2</v>
      </c>
      <c r="V28" s="209">
        <f t="shared" si="26"/>
        <v>-0.97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3.773611111108039</v>
      </c>
      <c r="AE28" s="210">
        <f t="shared" si="35"/>
        <v>0</v>
      </c>
      <c r="AF28" s="210">
        <f t="shared" si="36"/>
        <v>3.773611111108039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19"/>
        <v>C</v>
      </c>
      <c r="E29" s="199">
        <v>44425.833333333336</v>
      </c>
      <c r="F29" s="200" t="s">
        <v>119</v>
      </c>
      <c r="G29" s="201">
        <v>128.261</v>
      </c>
      <c r="H29" s="201">
        <v>128.923</v>
      </c>
      <c r="I29" s="202">
        <f t="shared" si="20"/>
        <v>0.66200000000000614</v>
      </c>
      <c r="J29" s="201">
        <v>125.61199999999999</v>
      </c>
      <c r="K29" s="199">
        <v>44426.879861111112</v>
      </c>
      <c r="L29" s="201">
        <v>128.87799999999999</v>
      </c>
      <c r="M29" s="203">
        <f t="shared" si="21"/>
        <v>-0.61699999999999999</v>
      </c>
      <c r="N29" s="204">
        <f t="shared" si="22"/>
        <v>-0.93</v>
      </c>
      <c r="O29" s="205">
        <f t="shared" si="23"/>
        <v>0</v>
      </c>
      <c r="P29" s="206">
        <f t="shared" si="24"/>
        <v>0</v>
      </c>
      <c r="Q29" s="206">
        <f t="shared" si="25"/>
        <v>-0.93</v>
      </c>
      <c r="R2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99600</v>
      </c>
      <c r="T2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29" s="208">
        <f ca="1">IF(Tabla336106734816[[#This Row],[Equity]]&lt;Tabla336106734816[[#This Row],[Equity Peak]],(Tabla336106734816[[#This Row],[Equity Peak]]-Tabla336106734816[[#This Row],[Equity]])/Tabla336106734816[[#This Row],[Equity Peak]],"")</f>
        <v>9.2509698597433593E-3</v>
      </c>
      <c r="V29" s="209">
        <f t="shared" si="26"/>
        <v>-0.93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1.046527777776646</v>
      </c>
      <c r="AE29" s="210">
        <f t="shared" si="35"/>
        <v>0</v>
      </c>
      <c r="AF29" s="210">
        <f t="shared" si="36"/>
        <v>1.046527777776646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19"/>
        <v>C</v>
      </c>
      <c r="E30" s="199">
        <v>44364.166666666664</v>
      </c>
      <c r="F30" s="200" t="s">
        <v>119</v>
      </c>
      <c r="G30" s="201">
        <v>132.77000000000001</v>
      </c>
      <c r="H30" s="201">
        <v>133.327</v>
      </c>
      <c r="I30" s="202">
        <f t="shared" si="20"/>
        <v>0.55699999999998795</v>
      </c>
      <c r="J30" s="201">
        <v>130.542</v>
      </c>
      <c r="K30" s="199">
        <v>44368.213194444441</v>
      </c>
      <c r="L30" s="201">
        <v>130.542</v>
      </c>
      <c r="M30" s="203">
        <f t="shared" si="21"/>
        <v>2.2280000000000002</v>
      </c>
      <c r="N30" s="204">
        <f t="shared" si="22"/>
        <v>4</v>
      </c>
      <c r="O30" s="205">
        <f t="shared" si="23"/>
        <v>0</v>
      </c>
      <c r="P30" s="206">
        <f t="shared" si="24"/>
        <v>4</v>
      </c>
      <c r="Q30" s="206">
        <f t="shared" si="25"/>
        <v>0</v>
      </c>
      <c r="R3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100530</v>
      </c>
      <c r="T3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100530</v>
      </c>
      <c r="U30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30" s="209">
        <f t="shared" si="26"/>
        <v>4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4.046527777776646</v>
      </c>
      <c r="AE30" s="210">
        <f t="shared" si="35"/>
        <v>4.046527777776646</v>
      </c>
      <c r="AF30" s="210">
        <f t="shared" si="36"/>
        <v>0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19"/>
        <v>C</v>
      </c>
      <c r="E31" s="199">
        <v>44361.833333333336</v>
      </c>
      <c r="F31" s="200" t="s">
        <v>119</v>
      </c>
      <c r="G31" s="201">
        <v>133.375</v>
      </c>
      <c r="H31" s="201">
        <v>132.63399999999999</v>
      </c>
      <c r="I31" s="202">
        <f t="shared" si="20"/>
        <v>0.74100000000001387</v>
      </c>
      <c r="J31" s="201">
        <v>136.33799999999999</v>
      </c>
      <c r="K31" s="199">
        <v>44363.879166666666</v>
      </c>
      <c r="L31" s="201">
        <v>133.01400000000001</v>
      </c>
      <c r="M31" s="203">
        <f t="shared" si="21"/>
        <v>-0.36099999999999999</v>
      </c>
      <c r="N31" s="204">
        <f t="shared" si="22"/>
        <v>-0.49</v>
      </c>
      <c r="O31" s="205">
        <f t="shared" si="23"/>
        <v>0</v>
      </c>
      <c r="P31" s="206">
        <f t="shared" si="24"/>
        <v>0</v>
      </c>
      <c r="Q31" s="206">
        <f t="shared" si="25"/>
        <v>-0.49</v>
      </c>
      <c r="R3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96530</v>
      </c>
      <c r="T3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1" s="208">
        <f ca="1">IF(Tabla336106734816[[#This Row],[Equity]]&lt;Tabla336106734816[[#This Row],[Equity Peak]],(Tabla336106734816[[#This Row],[Equity Peak]]-Tabla336106734816[[#This Row],[Equity]])/Tabla336106734816[[#This Row],[Equity Peak]],"")</f>
        <v>3.4700000000000002E-2</v>
      </c>
      <c r="V31" s="209">
        <f t="shared" si="26"/>
        <v>-0.49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2.0458333333299379</v>
      </c>
      <c r="AE31" s="210">
        <f t="shared" si="35"/>
        <v>0</v>
      </c>
      <c r="AF31" s="210">
        <f t="shared" si="36"/>
        <v>2.0458333333299379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13</v>
      </c>
      <c r="D32" s="198" t="str">
        <f t="shared" si="19"/>
        <v>C</v>
      </c>
      <c r="E32" s="199">
        <v>44358.833333333336</v>
      </c>
      <c r="F32" s="200" t="s">
        <v>119</v>
      </c>
      <c r="G32" s="201">
        <v>132.68299999999999</v>
      </c>
      <c r="H32" s="201">
        <v>133.333</v>
      </c>
      <c r="I32" s="202">
        <f t="shared" si="20"/>
        <v>0.65000000000000568</v>
      </c>
      <c r="J32" s="201">
        <v>130.08199999999999</v>
      </c>
      <c r="K32" s="199">
        <v>44361.724999999999</v>
      </c>
      <c r="L32" s="201">
        <v>133.33199999999999</v>
      </c>
      <c r="M32" s="203">
        <f t="shared" si="21"/>
        <v>-0.64900000000000002</v>
      </c>
      <c r="N32" s="204">
        <f t="shared" si="22"/>
        <v>-1</v>
      </c>
      <c r="O32" s="205">
        <f t="shared" si="23"/>
        <v>0</v>
      </c>
      <c r="P32" s="206">
        <f t="shared" si="24"/>
        <v>0</v>
      </c>
      <c r="Q32" s="206">
        <f t="shared" si="25"/>
        <v>-1</v>
      </c>
      <c r="R3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97020</v>
      </c>
      <c r="T3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2" s="208">
        <f ca="1">IF(Tabla336106734816[[#This Row],[Equity]]&lt;Tabla336106734816[[#This Row],[Equity Peak]],(Tabla336106734816[[#This Row],[Equity Peak]]-Tabla336106734816[[#This Row],[Equity]])/Tabla336106734816[[#This Row],[Equity Peak]],"")</f>
        <v>2.98E-2</v>
      </c>
      <c r="V32" s="209">
        <f t="shared" si="26"/>
        <v>-1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2.8916666666627862</v>
      </c>
      <c r="AE32" s="210">
        <f t="shared" si="35"/>
        <v>0</v>
      </c>
      <c r="AF32" s="210">
        <f t="shared" si="36"/>
        <v>2.8916666666627862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19"/>
        <v>C</v>
      </c>
      <c r="E33" s="199">
        <v>44309.833333333336</v>
      </c>
      <c r="F33" s="200" t="s">
        <v>119</v>
      </c>
      <c r="G33" s="201">
        <v>130.40799999999999</v>
      </c>
      <c r="H33" s="201">
        <v>129.49600000000001</v>
      </c>
      <c r="I33" s="202">
        <f t="shared" si="20"/>
        <v>0.91199999999997772</v>
      </c>
      <c r="J33" s="201">
        <v>134.05699999999999</v>
      </c>
      <c r="K33" s="199">
        <v>44316.57916666667</v>
      </c>
      <c r="L33" s="201">
        <v>131.529</v>
      </c>
      <c r="M33" s="203">
        <f t="shared" si="21"/>
        <v>1.121</v>
      </c>
      <c r="N33" s="204">
        <f t="shared" si="22"/>
        <v>1.23</v>
      </c>
      <c r="O33" s="205">
        <f t="shared" si="23"/>
        <v>0</v>
      </c>
      <c r="P33" s="206">
        <f t="shared" si="24"/>
        <v>1.23</v>
      </c>
      <c r="Q33" s="206">
        <f t="shared" si="25"/>
        <v>0</v>
      </c>
      <c r="R3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98020</v>
      </c>
      <c r="T3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3" s="208">
        <f ca="1">IF(Tabla336106734816[[#This Row],[Equity]]&lt;Tabla336106734816[[#This Row],[Equity Peak]],(Tabla336106734816[[#This Row],[Equity Peak]]-Tabla336106734816[[#This Row],[Equity]])/Tabla336106734816[[#This Row],[Equity Peak]],"")</f>
        <v>1.9800000000000002E-2</v>
      </c>
      <c r="V33" s="209">
        <f t="shared" si="26"/>
        <v>1.23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6.7458333333343035</v>
      </c>
      <c r="AE33" s="210">
        <f t="shared" si="35"/>
        <v>6.7458333333343035</v>
      </c>
      <c r="AF33" s="210">
        <f t="shared" si="36"/>
        <v>0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19"/>
        <v>C</v>
      </c>
      <c r="E34" s="199">
        <v>44309.017361111109</v>
      </c>
      <c r="F34" s="200" t="s">
        <v>119</v>
      </c>
      <c r="G34" s="201">
        <v>129.67699999999999</v>
      </c>
      <c r="H34" s="201">
        <v>130.524</v>
      </c>
      <c r="I34" s="202">
        <f t="shared" si="20"/>
        <v>0.84700000000000841</v>
      </c>
      <c r="J34" s="201">
        <v>126.29</v>
      </c>
      <c r="K34" s="199">
        <v>44309.833333333336</v>
      </c>
      <c r="L34" s="201">
        <v>130.40799999999999</v>
      </c>
      <c r="M34" s="203">
        <f t="shared" si="21"/>
        <v>-0.73099999999999998</v>
      </c>
      <c r="N34" s="204">
        <f t="shared" si="22"/>
        <v>-0.86</v>
      </c>
      <c r="O34" s="205">
        <f t="shared" si="23"/>
        <v>0</v>
      </c>
      <c r="P34" s="206">
        <f t="shared" si="24"/>
        <v>0</v>
      </c>
      <c r="Q34" s="206">
        <f t="shared" si="25"/>
        <v>-0.86</v>
      </c>
      <c r="R3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96790</v>
      </c>
      <c r="T3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4" s="208">
        <f ca="1">IF(Tabla336106734816[[#This Row],[Equity]]&lt;Tabla336106734816[[#This Row],[Equity Peak]],(Tabla336106734816[[#This Row],[Equity Peak]]-Tabla336106734816[[#This Row],[Equity]])/Tabla336106734816[[#This Row],[Equity Peak]],"")</f>
        <v>3.2099999999999997E-2</v>
      </c>
      <c r="V34" s="209">
        <f t="shared" si="26"/>
        <v>-0.86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0.81597222222626442</v>
      </c>
      <c r="AE34" s="210">
        <f t="shared" si="35"/>
        <v>0</v>
      </c>
      <c r="AF34" s="210">
        <f t="shared" si="36"/>
        <v>0.81597222222626442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19"/>
        <v>C</v>
      </c>
      <c r="E35" s="199">
        <v>44306.5</v>
      </c>
      <c r="F35" s="200" t="s">
        <v>119</v>
      </c>
      <c r="G35" s="201">
        <v>130.929</v>
      </c>
      <c r="H35" s="201">
        <v>130.19300000000001</v>
      </c>
      <c r="I35" s="202">
        <f t="shared" si="20"/>
        <v>0.73599999999999</v>
      </c>
      <c r="J35" s="201">
        <v>133.87100000000001</v>
      </c>
      <c r="K35" s="199">
        <v>44306.765277777777</v>
      </c>
      <c r="L35" s="201">
        <v>130.19300000000001</v>
      </c>
      <c r="M35" s="203">
        <f t="shared" si="21"/>
        <v>-0.73599999999999999</v>
      </c>
      <c r="N35" s="204">
        <f t="shared" si="22"/>
        <v>-1</v>
      </c>
      <c r="O35" s="205">
        <f t="shared" si="23"/>
        <v>0</v>
      </c>
      <c r="P35" s="206">
        <f t="shared" si="24"/>
        <v>0</v>
      </c>
      <c r="Q35" s="206">
        <f t="shared" si="25"/>
        <v>-1</v>
      </c>
      <c r="R3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97650</v>
      </c>
      <c r="T3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5" s="208">
        <f ca="1">IF(Tabla336106734816[[#This Row],[Equity]]&lt;Tabla336106734816[[#This Row],[Equity Peak]],(Tabla336106734816[[#This Row],[Equity Peak]]-Tabla336106734816[[#This Row],[Equity]])/Tabla336106734816[[#This Row],[Equity Peak]],"")</f>
        <v>2.35E-2</v>
      </c>
      <c r="V35" s="209">
        <f t="shared" si="26"/>
        <v>-1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0.26527777777664596</v>
      </c>
      <c r="AE35" s="210">
        <f t="shared" si="35"/>
        <v>0</v>
      </c>
      <c r="AF35" s="210">
        <f t="shared" si="36"/>
        <v>0.26527777777664596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44284.666666666664</v>
      </c>
      <c r="F36" s="200" t="s">
        <v>119</v>
      </c>
      <c r="G36" s="201">
        <v>129.292</v>
      </c>
      <c r="H36" s="201">
        <v>128.48099999999999</v>
      </c>
      <c r="I36" s="202">
        <f t="shared" si="20"/>
        <v>0.81100000000000705</v>
      </c>
      <c r="J36" s="201">
        <v>132.536</v>
      </c>
      <c r="K36" s="199">
        <v>44292.679861111108</v>
      </c>
      <c r="L36" s="201">
        <v>129.94800000000001</v>
      </c>
      <c r="M36" s="203">
        <f t="shared" si="21"/>
        <v>0.65600000000000003</v>
      </c>
      <c r="N36" s="204">
        <f t="shared" si="22"/>
        <v>0.81</v>
      </c>
      <c r="O36" s="205">
        <f t="shared" si="23"/>
        <v>0</v>
      </c>
      <c r="P36" s="206">
        <f t="shared" si="24"/>
        <v>0.81</v>
      </c>
      <c r="Q36" s="206">
        <f t="shared" si="25"/>
        <v>0</v>
      </c>
      <c r="R3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98650</v>
      </c>
      <c r="T3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6" s="208">
        <f ca="1">IF(Tabla336106734816[[#This Row],[Equity]]&lt;Tabla336106734816[[#This Row],[Equity Peak]],(Tabla336106734816[[#This Row],[Equity Peak]]-Tabla336106734816[[#This Row],[Equity]])/Tabla336106734816[[#This Row],[Equity Peak]],"")</f>
        <v>1.35E-2</v>
      </c>
      <c r="V36" s="209">
        <f t="shared" si="26"/>
        <v>0.81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8.0131944444437977</v>
      </c>
      <c r="AE36" s="210">
        <f t="shared" si="35"/>
        <v>8.0131944444437977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19"/>
        <v>C</v>
      </c>
      <c r="E37" s="199">
        <v>44284.5</v>
      </c>
      <c r="F37" s="200" t="s">
        <v>119</v>
      </c>
      <c r="G37" s="201">
        <v>129.00200000000001</v>
      </c>
      <c r="H37" s="201">
        <v>129.78899999999999</v>
      </c>
      <c r="I37" s="202">
        <f t="shared" si="20"/>
        <v>0.78699999999997772</v>
      </c>
      <c r="J37" s="201">
        <v>125.85299999999999</v>
      </c>
      <c r="K37" s="199">
        <v>44284.666666666664</v>
      </c>
      <c r="L37" s="201">
        <v>129.292</v>
      </c>
      <c r="M37" s="203">
        <f t="shared" si="21"/>
        <v>-0.28999999999999998</v>
      </c>
      <c r="N37" s="204">
        <f t="shared" si="22"/>
        <v>-0.37</v>
      </c>
      <c r="O37" s="205">
        <f t="shared" si="23"/>
        <v>0</v>
      </c>
      <c r="P37" s="206">
        <f t="shared" si="24"/>
        <v>0</v>
      </c>
      <c r="Q37" s="206">
        <f t="shared" si="25"/>
        <v>-0.37</v>
      </c>
      <c r="R3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97840</v>
      </c>
      <c r="T3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7" s="208">
        <f ca="1">IF(Tabla336106734816[[#This Row],[Equity]]&lt;Tabla336106734816[[#This Row],[Equity Peak]],(Tabla336106734816[[#This Row],[Equity Peak]]-Tabla336106734816[[#This Row],[Equity]])/Tabla336106734816[[#This Row],[Equity Peak]],"")</f>
        <v>2.1600000000000001E-2</v>
      </c>
      <c r="V37" s="209">
        <f t="shared" si="26"/>
        <v>-0.37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0.16666666666424135</v>
      </c>
      <c r="AE37" s="210">
        <f t="shared" si="35"/>
        <v>0</v>
      </c>
      <c r="AF37" s="210">
        <f t="shared" si="36"/>
        <v>0.16666666666424135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19"/>
        <v>C</v>
      </c>
      <c r="E38" s="199">
        <v>44281.833333333336</v>
      </c>
      <c r="F38" s="200" t="s">
        <v>119</v>
      </c>
      <c r="G38" s="201">
        <v>129.36500000000001</v>
      </c>
      <c r="H38" s="201">
        <v>128.63200000000001</v>
      </c>
      <c r="I38" s="202">
        <f t="shared" si="20"/>
        <v>0.73300000000000409</v>
      </c>
      <c r="J38" s="201">
        <v>132.29599999999999</v>
      </c>
      <c r="K38" s="199">
        <v>44284.5</v>
      </c>
      <c r="L38" s="201">
        <v>129.00200000000001</v>
      </c>
      <c r="M38" s="203">
        <f t="shared" si="21"/>
        <v>-0.36299999999999999</v>
      </c>
      <c r="N38" s="204">
        <f t="shared" si="22"/>
        <v>-0.5</v>
      </c>
      <c r="O38" s="205">
        <f t="shared" si="23"/>
        <v>0</v>
      </c>
      <c r="P38" s="206">
        <f t="shared" si="24"/>
        <v>0</v>
      </c>
      <c r="Q38" s="206">
        <f t="shared" si="25"/>
        <v>-0.5</v>
      </c>
      <c r="R3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98210</v>
      </c>
      <c r="T3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8" s="208">
        <f ca="1">IF(Tabla336106734816[[#This Row],[Equity]]&lt;Tabla336106734816[[#This Row],[Equity Peak]],(Tabla336106734816[[#This Row],[Equity Peak]]-Tabla336106734816[[#This Row],[Equity]])/Tabla336106734816[[#This Row],[Equity Peak]],"")</f>
        <v>1.7899999999999999E-2</v>
      </c>
      <c r="V38" s="209">
        <f t="shared" si="26"/>
        <v>-0.5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2.6666666666642413</v>
      </c>
      <c r="AE38" s="210">
        <f t="shared" si="35"/>
        <v>0</v>
      </c>
      <c r="AF38" s="210">
        <f t="shared" si="36"/>
        <v>2.6666666666642413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19"/>
        <v>C</v>
      </c>
      <c r="E39" s="199">
        <v>44279.017361111109</v>
      </c>
      <c r="F39" s="200" t="s">
        <v>119</v>
      </c>
      <c r="G39" s="201">
        <v>128.726</v>
      </c>
      <c r="H39" s="201">
        <v>129.553</v>
      </c>
      <c r="I39" s="202">
        <f t="shared" si="20"/>
        <v>0.82699999999999818</v>
      </c>
      <c r="J39" s="201">
        <v>125.42</v>
      </c>
      <c r="K39" s="199">
        <v>44281.552083333336</v>
      </c>
      <c r="L39" s="201">
        <v>129.16</v>
      </c>
      <c r="M39" s="203">
        <f t="shared" si="21"/>
        <v>-0.434</v>
      </c>
      <c r="N39" s="204">
        <f t="shared" si="22"/>
        <v>-0.52</v>
      </c>
      <c r="O39" s="205">
        <f t="shared" si="23"/>
        <v>0</v>
      </c>
      <c r="P39" s="206">
        <f t="shared" si="24"/>
        <v>0</v>
      </c>
      <c r="Q39" s="206">
        <f t="shared" si="25"/>
        <v>-0.52</v>
      </c>
      <c r="R3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98710</v>
      </c>
      <c r="T3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9" s="208">
        <f ca="1">IF(Tabla336106734816[[#This Row],[Equity]]&lt;Tabla336106734816[[#This Row],[Equity Peak]],(Tabla336106734816[[#This Row],[Equity Peak]]-Tabla336106734816[[#This Row],[Equity]])/Tabla336106734816[[#This Row],[Equity Peak]],"")</f>
        <v>1.29E-2</v>
      </c>
      <c r="V39" s="209">
        <f t="shared" si="26"/>
        <v>-0.52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2.5347222222262644</v>
      </c>
      <c r="AE39" s="210">
        <f t="shared" si="35"/>
        <v>0</v>
      </c>
      <c r="AF39" s="210">
        <f t="shared" si="36"/>
        <v>2.5347222222262644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19"/>
        <v>C</v>
      </c>
      <c r="E40" s="199">
        <v>44232.666666666664</v>
      </c>
      <c r="F40" s="200" t="s">
        <v>119</v>
      </c>
      <c r="G40" s="201">
        <v>126.873</v>
      </c>
      <c r="H40" s="201">
        <v>126.3</v>
      </c>
      <c r="I40" s="202">
        <f t="shared" si="20"/>
        <v>0.5730000000000075</v>
      </c>
      <c r="J40" s="201">
        <v>129.16399999999999</v>
      </c>
      <c r="K40" s="199">
        <v>44244.448611111111</v>
      </c>
      <c r="L40" s="201">
        <v>127.783</v>
      </c>
      <c r="M40" s="203">
        <f t="shared" si="21"/>
        <v>0.91</v>
      </c>
      <c r="N40" s="204">
        <f t="shared" si="22"/>
        <v>1.59</v>
      </c>
      <c r="O40" s="205">
        <f t="shared" si="23"/>
        <v>0</v>
      </c>
      <c r="P40" s="206">
        <f t="shared" si="24"/>
        <v>1.59</v>
      </c>
      <c r="Q40" s="206">
        <f t="shared" si="25"/>
        <v>0</v>
      </c>
      <c r="R4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99230</v>
      </c>
      <c r="T4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0" s="208">
        <f ca="1">IF(Tabla336106734816[[#This Row],[Equity]]&lt;Tabla336106734816[[#This Row],[Equity Peak]],(Tabla336106734816[[#This Row],[Equity Peak]]-Tabla336106734816[[#This Row],[Equity]])/Tabla336106734816[[#This Row],[Equity Peak]],"")</f>
        <v>7.7000000000000002E-3</v>
      </c>
      <c r="V40" s="209">
        <f t="shared" si="26"/>
        <v>1.59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11.781944444446708</v>
      </c>
      <c r="AE40" s="210">
        <f t="shared" si="35"/>
        <v>11.781944444446708</v>
      </c>
      <c r="AF40" s="210">
        <f t="shared" si="36"/>
        <v>0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19"/>
        <v>C</v>
      </c>
      <c r="E41" s="199">
        <v>44231.666666666664</v>
      </c>
      <c r="F41" s="200" t="s">
        <v>119</v>
      </c>
      <c r="G41" s="201">
        <v>126.20099999999999</v>
      </c>
      <c r="H41" s="201">
        <v>126.72799999999999</v>
      </c>
      <c r="I41" s="202">
        <f t="shared" si="20"/>
        <v>0.52700000000000102</v>
      </c>
      <c r="J41" s="201">
        <v>124.092</v>
      </c>
      <c r="K41" s="199">
        <v>44232.59652777778</v>
      </c>
      <c r="L41" s="201">
        <v>126.64400000000001</v>
      </c>
      <c r="M41" s="203">
        <f t="shared" si="21"/>
        <v>-0.443</v>
      </c>
      <c r="N41" s="204">
        <f t="shared" si="22"/>
        <v>-0.84</v>
      </c>
      <c r="O41" s="205">
        <f t="shared" si="23"/>
        <v>0</v>
      </c>
      <c r="P41" s="206">
        <f t="shared" si="24"/>
        <v>0</v>
      </c>
      <c r="Q41" s="206">
        <f t="shared" si="25"/>
        <v>-0.84</v>
      </c>
      <c r="R4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97640</v>
      </c>
      <c r="T4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1" s="208">
        <f ca="1">IF(Tabla336106734816[[#This Row],[Equity]]&lt;Tabla336106734816[[#This Row],[Equity Peak]],(Tabla336106734816[[#This Row],[Equity Peak]]-Tabla336106734816[[#This Row],[Equity]])/Tabla336106734816[[#This Row],[Equity Peak]],"")</f>
        <v>2.3599999999999999E-2</v>
      </c>
      <c r="V41" s="209">
        <f t="shared" si="26"/>
        <v>-0.84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0.929861111115315</v>
      </c>
      <c r="AE41" s="210">
        <f t="shared" si="35"/>
        <v>0</v>
      </c>
      <c r="AF41" s="210">
        <f t="shared" si="36"/>
        <v>0.929861111115315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15</v>
      </c>
      <c r="D42" s="198" t="str">
        <f t="shared" si="19"/>
        <v>C</v>
      </c>
      <c r="E42" s="199">
        <v>44224.333333333336</v>
      </c>
      <c r="F42" s="200" t="s">
        <v>119</v>
      </c>
      <c r="G42" s="201">
        <v>126.193</v>
      </c>
      <c r="H42" s="201">
        <v>125.617</v>
      </c>
      <c r="I42" s="202">
        <f t="shared" si="20"/>
        <v>0.57599999999999341</v>
      </c>
      <c r="J42" s="201">
        <v>128.495</v>
      </c>
      <c r="K42" s="199">
        <v>44229</v>
      </c>
      <c r="L42" s="201">
        <v>126.509</v>
      </c>
      <c r="M42" s="203">
        <f t="shared" si="21"/>
        <v>0.316</v>
      </c>
      <c r="N42" s="204">
        <f t="shared" si="22"/>
        <v>0.55000000000000004</v>
      </c>
      <c r="O42" s="205">
        <f t="shared" si="23"/>
        <v>0</v>
      </c>
      <c r="P42" s="206">
        <f t="shared" si="24"/>
        <v>0.55000000000000004</v>
      </c>
      <c r="Q42" s="206">
        <f t="shared" si="25"/>
        <v>0</v>
      </c>
      <c r="R4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98480</v>
      </c>
      <c r="T4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2" s="208">
        <f ca="1">IF(Tabla336106734816[[#This Row],[Equity]]&lt;Tabla336106734816[[#This Row],[Equity Peak]],(Tabla336106734816[[#This Row],[Equity Peak]]-Tabla336106734816[[#This Row],[Equity]])/Tabla336106734816[[#This Row],[Equity Peak]],"")</f>
        <v>1.52E-2</v>
      </c>
      <c r="V42" s="209">
        <f t="shared" si="26"/>
        <v>0.55000000000000004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4.6666666666642413</v>
      </c>
      <c r="AE42" s="210">
        <f t="shared" si="35"/>
        <v>4.6666666666642413</v>
      </c>
      <c r="AF42" s="210">
        <f t="shared" si="36"/>
        <v>0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13</v>
      </c>
      <c r="D43" s="198" t="str">
        <f t="shared" si="19"/>
        <v>C</v>
      </c>
      <c r="E43" s="199">
        <v>44221.833333333336</v>
      </c>
      <c r="F43" s="200" t="s">
        <v>119</v>
      </c>
      <c r="G43" s="201">
        <v>126.04300000000001</v>
      </c>
      <c r="H43" s="201">
        <v>126.755</v>
      </c>
      <c r="I43" s="202">
        <f t="shared" si="20"/>
        <v>0.71199999999998909</v>
      </c>
      <c r="J43" s="201">
        <v>123.196</v>
      </c>
      <c r="K43" s="199">
        <v>44224.333333333336</v>
      </c>
      <c r="L43" s="201">
        <v>126.193</v>
      </c>
      <c r="M43" s="203">
        <f t="shared" si="21"/>
        <v>-0.15</v>
      </c>
      <c r="N43" s="204">
        <f t="shared" si="22"/>
        <v>-0.21</v>
      </c>
      <c r="O43" s="205">
        <f t="shared" si="23"/>
        <v>0</v>
      </c>
      <c r="P43" s="206">
        <f t="shared" si="24"/>
        <v>0</v>
      </c>
      <c r="Q43" s="206">
        <f t="shared" si="25"/>
        <v>-0.21</v>
      </c>
      <c r="R4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97930</v>
      </c>
      <c r="T4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3" s="208">
        <f ca="1">IF(Tabla336106734816[[#This Row],[Equity]]&lt;Tabla336106734816[[#This Row],[Equity Peak]],(Tabla336106734816[[#This Row],[Equity Peak]]-Tabla336106734816[[#This Row],[Equity]])/Tabla336106734816[[#This Row],[Equity Peak]],"")</f>
        <v>2.07E-2</v>
      </c>
      <c r="V43" s="209">
        <f t="shared" si="26"/>
        <v>-0.21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2.5</v>
      </c>
      <c r="AE43" s="210">
        <f t="shared" si="35"/>
        <v>0</v>
      </c>
      <c r="AF43" s="210">
        <f t="shared" si="36"/>
        <v>2.5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19"/>
        <v>C</v>
      </c>
      <c r="E44" s="199">
        <v>44221.166666666664</v>
      </c>
      <c r="F44" s="200" t="s">
        <v>119</v>
      </c>
      <c r="G44" s="201">
        <v>126.324</v>
      </c>
      <c r="H44" s="201">
        <v>125.608</v>
      </c>
      <c r="I44" s="202">
        <f t="shared" si="20"/>
        <v>0.71599999999999397</v>
      </c>
      <c r="J44" s="201">
        <v>129.18799999999999</v>
      </c>
      <c r="K44" s="199">
        <v>44221.833333333336</v>
      </c>
      <c r="L44" s="201">
        <v>126.04300000000001</v>
      </c>
      <c r="M44" s="203">
        <f t="shared" si="21"/>
        <v>-0.28100000000000003</v>
      </c>
      <c r="N44" s="204">
        <f t="shared" si="22"/>
        <v>-0.39</v>
      </c>
      <c r="O44" s="205">
        <f t="shared" si="23"/>
        <v>0</v>
      </c>
      <c r="P44" s="206">
        <f t="shared" si="24"/>
        <v>0</v>
      </c>
      <c r="Q44" s="206">
        <f t="shared" si="25"/>
        <v>-0.39</v>
      </c>
      <c r="R4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98140</v>
      </c>
      <c r="T4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4" s="208">
        <f ca="1">IF(Tabla336106734816[[#This Row],[Equity]]&lt;Tabla336106734816[[#This Row],[Equity Peak]],(Tabla336106734816[[#This Row],[Equity Peak]]-Tabla336106734816[[#This Row],[Equity]])/Tabla336106734816[[#This Row],[Equity Peak]],"")</f>
        <v>1.8599999999999998E-2</v>
      </c>
      <c r="V44" s="209">
        <f t="shared" si="26"/>
        <v>-0.39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0.66666666667151731</v>
      </c>
      <c r="AE44" s="210">
        <f t="shared" si="35"/>
        <v>0</v>
      </c>
      <c r="AF44" s="210">
        <f t="shared" si="36"/>
        <v>0.66666666667151731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13</v>
      </c>
      <c r="D45" s="198" t="str">
        <f t="shared" si="19"/>
        <v>C</v>
      </c>
      <c r="E45" s="199">
        <v>44221.017361111109</v>
      </c>
      <c r="F45" s="200" t="s">
        <v>119</v>
      </c>
      <c r="G45" s="201">
        <v>126.29</v>
      </c>
      <c r="H45" s="201">
        <v>126.98399999999999</v>
      </c>
      <c r="I45" s="202">
        <f t="shared" si="20"/>
        <v>0.6939999999999884</v>
      </c>
      <c r="J45" s="201">
        <v>123.514</v>
      </c>
      <c r="K45" s="199">
        <v>44221.166666666664</v>
      </c>
      <c r="L45" s="201">
        <v>126.324</v>
      </c>
      <c r="M45" s="203">
        <f t="shared" si="21"/>
        <v>-3.4000000000000002E-2</v>
      </c>
      <c r="N45" s="204">
        <f t="shared" si="22"/>
        <v>-0.05</v>
      </c>
      <c r="O45" s="205">
        <f t="shared" si="23"/>
        <v>0</v>
      </c>
      <c r="P45" s="206">
        <f t="shared" si="24"/>
        <v>0</v>
      </c>
      <c r="Q45" s="206">
        <f t="shared" si="25"/>
        <v>-0.05</v>
      </c>
      <c r="R4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98530</v>
      </c>
      <c r="T4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5" s="208">
        <f ca="1">IF(Tabla336106734816[[#This Row],[Equity]]&lt;Tabla336106734816[[#This Row],[Equity Peak]],(Tabla336106734816[[#This Row],[Equity Peak]]-Tabla336106734816[[#This Row],[Equity]])/Tabla336106734816[[#This Row],[Equity Peak]],"")</f>
        <v>1.47E-2</v>
      </c>
      <c r="V45" s="209">
        <f t="shared" si="26"/>
        <v>-0.05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0.14930555555474712</v>
      </c>
      <c r="AE45" s="210">
        <f t="shared" si="35"/>
        <v>0</v>
      </c>
      <c r="AF45" s="210">
        <f t="shared" si="36"/>
        <v>0.14930555555474712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19"/>
        <v>C</v>
      </c>
      <c r="E46" s="199">
        <v>44218.666666666664</v>
      </c>
      <c r="F46" s="200" t="s">
        <v>119</v>
      </c>
      <c r="G46" s="201">
        <v>126.32899999999999</v>
      </c>
      <c r="H46" s="201">
        <v>125.631</v>
      </c>
      <c r="I46" s="202">
        <f t="shared" si="20"/>
        <v>0.69799999999999329</v>
      </c>
      <c r="J46" s="201">
        <v>129.119</v>
      </c>
      <c r="K46" s="199">
        <v>44221.017361111109</v>
      </c>
      <c r="L46" s="201">
        <v>126.29</v>
      </c>
      <c r="M46" s="203">
        <f t="shared" si="21"/>
        <v>-3.9E-2</v>
      </c>
      <c r="N46" s="204">
        <f t="shared" si="22"/>
        <v>-0.06</v>
      </c>
      <c r="O46" s="205">
        <f t="shared" si="23"/>
        <v>0</v>
      </c>
      <c r="P46" s="206">
        <f t="shared" si="24"/>
        <v>0</v>
      </c>
      <c r="Q46" s="206">
        <f t="shared" si="25"/>
        <v>-0.06</v>
      </c>
      <c r="R4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98580</v>
      </c>
      <c r="T4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6" s="208">
        <f ca="1">IF(Tabla336106734816[[#This Row],[Equity]]&lt;Tabla336106734816[[#This Row],[Equity Peak]],(Tabla336106734816[[#This Row],[Equity Peak]]-Tabla336106734816[[#This Row],[Equity]])/Tabla336106734816[[#This Row],[Equity Peak]],"")</f>
        <v>1.4200000000000001E-2</v>
      </c>
      <c r="V46" s="209">
        <f t="shared" si="26"/>
        <v>-0.06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2.3506944444452529</v>
      </c>
      <c r="AE46" s="210">
        <f t="shared" si="35"/>
        <v>0</v>
      </c>
      <c r="AF46" s="210">
        <f t="shared" si="36"/>
        <v>2.3506944444452529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44210.666666666664</v>
      </c>
      <c r="F47" s="200" t="s">
        <v>119</v>
      </c>
      <c r="G47" s="201">
        <v>126.124</v>
      </c>
      <c r="H47" s="201">
        <v>126.71299999999999</v>
      </c>
      <c r="I47" s="202">
        <f t="shared" si="20"/>
        <v>0.58899999999999864</v>
      </c>
      <c r="J47" s="201">
        <v>123.767</v>
      </c>
      <c r="K47" s="199">
        <v>44215.181944444441</v>
      </c>
      <c r="L47" s="201">
        <v>125.673</v>
      </c>
      <c r="M47" s="203">
        <f t="shared" si="21"/>
        <v>0.45100000000000001</v>
      </c>
      <c r="N47" s="204">
        <f t="shared" si="22"/>
        <v>0.77</v>
      </c>
      <c r="O47" s="205">
        <f t="shared" si="23"/>
        <v>0</v>
      </c>
      <c r="P47" s="206">
        <f t="shared" si="24"/>
        <v>0.77</v>
      </c>
      <c r="Q47" s="206">
        <f t="shared" si="25"/>
        <v>0</v>
      </c>
      <c r="R4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98640</v>
      </c>
      <c r="T4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7" s="208">
        <f ca="1">IF(Tabla336106734816[[#This Row],[Equity]]&lt;Tabla336106734816[[#This Row],[Equity Peak]],(Tabla336106734816[[#This Row],[Equity Peak]]-Tabla336106734816[[#This Row],[Equity]])/Tabla336106734816[[#This Row],[Equity Peak]],"")</f>
        <v>1.3599999999999999E-2</v>
      </c>
      <c r="V47" s="209">
        <f t="shared" si="26"/>
        <v>0.77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4.515277777776646</v>
      </c>
      <c r="AE47" s="210">
        <f t="shared" si="35"/>
        <v>4.515277777776646</v>
      </c>
      <c r="AF47" s="210">
        <f t="shared" si="36"/>
        <v>0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15</v>
      </c>
      <c r="D48" s="198" t="str">
        <f t="shared" si="19"/>
        <v>C</v>
      </c>
      <c r="E48" s="199">
        <v>44210.5</v>
      </c>
      <c r="F48" s="200" t="s">
        <v>119</v>
      </c>
      <c r="G48" s="201">
        <v>126.509</v>
      </c>
      <c r="H48" s="201">
        <v>125.973</v>
      </c>
      <c r="I48" s="202">
        <f t="shared" si="20"/>
        <v>0.53600000000000136</v>
      </c>
      <c r="J48" s="201">
        <v>128.65100000000001</v>
      </c>
      <c r="K48" s="199">
        <v>44210.666666666664</v>
      </c>
      <c r="L48" s="201">
        <v>126.124</v>
      </c>
      <c r="M48" s="203">
        <f t="shared" si="21"/>
        <v>-0.38500000000000001</v>
      </c>
      <c r="N48" s="204">
        <f t="shared" si="22"/>
        <v>-0.72</v>
      </c>
      <c r="O48" s="205">
        <f t="shared" si="23"/>
        <v>0</v>
      </c>
      <c r="P48" s="206">
        <f t="shared" si="24"/>
        <v>0</v>
      </c>
      <c r="Q48" s="206">
        <f t="shared" si="25"/>
        <v>-0.72</v>
      </c>
      <c r="R4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4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97870</v>
      </c>
      <c r="T4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8" s="208">
        <f ca="1">IF(Tabla336106734816[[#This Row],[Equity]]&lt;Tabla336106734816[[#This Row],[Equity Peak]],(Tabla336106734816[[#This Row],[Equity Peak]]-Tabla336106734816[[#This Row],[Equity]])/Tabla336106734816[[#This Row],[Equity Peak]],"")</f>
        <v>2.1299999999999999E-2</v>
      </c>
      <c r="V48" s="209">
        <f t="shared" si="26"/>
        <v>-0.72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0.16666666666424135</v>
      </c>
      <c r="AE48" s="210">
        <f t="shared" si="35"/>
        <v>0</v>
      </c>
      <c r="AF48" s="210">
        <f t="shared" si="36"/>
        <v>0.16666666666424135</v>
      </c>
      <c r="AG48" s="210">
        <f t="shared" si="37"/>
        <v>0</v>
      </c>
    </row>
    <row r="49" spans="2:33" ht="15" customHeight="1" x14ac:dyDescent="0.3">
      <c r="B49" s="196" t="s">
        <v>7</v>
      </c>
      <c r="C49" s="197" t="s">
        <v>13</v>
      </c>
      <c r="D49" s="198" t="str">
        <f t="shared" si="19"/>
        <v>C</v>
      </c>
      <c r="E49" s="199">
        <v>44210.017361111109</v>
      </c>
      <c r="F49" s="200" t="s">
        <v>119</v>
      </c>
      <c r="G49" s="201">
        <v>126.29300000000001</v>
      </c>
      <c r="H49" s="201">
        <v>126.81399999999999</v>
      </c>
      <c r="I49" s="202">
        <f t="shared" si="20"/>
        <v>0.52099999999998658</v>
      </c>
      <c r="J49" s="201">
        <v>124.209</v>
      </c>
      <c r="K49" s="199">
        <v>44210.5</v>
      </c>
      <c r="L49" s="201">
        <v>126.509</v>
      </c>
      <c r="M49" s="203">
        <f t="shared" si="21"/>
        <v>-0.216</v>
      </c>
      <c r="N49" s="204">
        <f t="shared" si="22"/>
        <v>-0.41</v>
      </c>
      <c r="O49" s="205">
        <f t="shared" si="23"/>
        <v>0</v>
      </c>
      <c r="P49" s="206">
        <f t="shared" si="24"/>
        <v>0</v>
      </c>
      <c r="Q49" s="206">
        <f t="shared" si="25"/>
        <v>-0.41</v>
      </c>
      <c r="R4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4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98590</v>
      </c>
      <c r="T4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9" s="208">
        <f ca="1">IF(Tabla336106734816[[#This Row],[Equity]]&lt;Tabla336106734816[[#This Row],[Equity Peak]],(Tabla336106734816[[#This Row],[Equity Peak]]-Tabla336106734816[[#This Row],[Equity]])/Tabla336106734816[[#This Row],[Equity Peak]],"")</f>
        <v>1.41E-2</v>
      </c>
      <c r="V49" s="209">
        <f t="shared" si="26"/>
        <v>-0.41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0.48263888889050577</v>
      </c>
      <c r="AE49" s="210">
        <f t="shared" si="35"/>
        <v>0</v>
      </c>
      <c r="AF49" s="210">
        <f t="shared" si="36"/>
        <v>0.48263888889050577</v>
      </c>
      <c r="AG49" s="210">
        <f t="shared" si="37"/>
        <v>0</v>
      </c>
    </row>
    <row r="50" spans="2:33" ht="15" customHeight="1" x14ac:dyDescent="0.3">
      <c r="B50" s="196" t="s">
        <v>7</v>
      </c>
      <c r="C50" s="197" t="s">
        <v>15</v>
      </c>
      <c r="D50" s="198" t="str">
        <f t="shared" si="19"/>
        <v>C</v>
      </c>
      <c r="E50" s="199">
        <v>44203.833333333336</v>
      </c>
      <c r="F50" s="200" t="s">
        <v>119</v>
      </c>
      <c r="G50" s="201">
        <v>127.431</v>
      </c>
      <c r="H50" s="201">
        <v>126.663</v>
      </c>
      <c r="I50" s="202">
        <f t="shared" si="20"/>
        <v>0.76800000000000068</v>
      </c>
      <c r="J50" s="201">
        <v>130.50200000000001</v>
      </c>
      <c r="K50" s="199">
        <v>44207.492361111108</v>
      </c>
      <c r="L50" s="201">
        <v>126.663</v>
      </c>
      <c r="M50" s="203">
        <f t="shared" si="21"/>
        <v>-0.76800000000000002</v>
      </c>
      <c r="N50" s="204">
        <f t="shared" si="22"/>
        <v>-1</v>
      </c>
      <c r="O50" s="205">
        <f t="shared" si="23"/>
        <v>0</v>
      </c>
      <c r="P50" s="206">
        <f t="shared" si="24"/>
        <v>0</v>
      </c>
      <c r="Q50" s="206">
        <f t="shared" si="25"/>
        <v>-1</v>
      </c>
      <c r="R5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99000</v>
      </c>
      <c r="T5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0" s="208">
        <f ca="1">IF(Tabla336106734816[[#This Row],[Equity]]&lt;Tabla336106734816[[#This Row],[Equity Peak]],(Tabla336106734816[[#This Row],[Equity Peak]]-Tabla336106734816[[#This Row],[Equity]])/Tabla336106734816[[#This Row],[Equity Peak]],"")</f>
        <v>0.01</v>
      </c>
      <c r="V50" s="209">
        <f t="shared" si="26"/>
        <v>-1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3.6590277777722804</v>
      </c>
      <c r="AE50" s="210">
        <f t="shared" si="35"/>
        <v>0</v>
      </c>
      <c r="AF50" s="210">
        <f t="shared" si="36"/>
        <v>3.6590277777722804</v>
      </c>
      <c r="AG50" s="210">
        <f t="shared" si="37"/>
        <v>0</v>
      </c>
    </row>
  </sheetData>
  <sheetProtection algorithmName="SHA-512" hashValue="fRdqtuvwAEqRJPHpOZkgwyc1Mxtj/ra3/DmkE+AUCDZYUiDQEMRew2qZ0KqcduetX92/EOAgDqy9v7oZPmbpSA==" saltValue="1NJmNssw1e6Smc4K3172p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13" priority="3" operator="equal">
      <formula>"OK"</formula>
    </cfRule>
    <cfRule type="cellIs" dxfId="712" priority="4" operator="equal">
      <formula>"warning"</formula>
    </cfRule>
  </conditionalFormatting>
  <conditionalFormatting sqref="F13">
    <cfRule type="cellIs" dxfId="711" priority="1" operator="equal">
      <formula>"OK"</formula>
    </cfRule>
    <cfRule type="cellIs" dxfId="710" priority="2" operator="equal">
      <formula>"Error!!"</formula>
    </cfRule>
  </conditionalFormatting>
  <conditionalFormatting sqref="E15:H15 K15:L15">
    <cfRule type="expression" dxfId="709" priority="5">
      <formula>+$D15=#REF!</formula>
    </cfRule>
    <cfRule type="expression" dxfId="708" priority="6">
      <formula>+$D15=#REF!</formula>
    </cfRule>
  </conditionalFormatting>
  <conditionalFormatting sqref="D15 K16:L16 D16:H50 J17:L50">
    <cfRule type="expression" dxfId="707" priority="7">
      <formula>+$D15=$AG$8</formula>
    </cfRule>
    <cfRule type="expression" dxfId="70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CEAA413B-3825-4AF3-806E-975F1032741B}">
      <formula1>$AE$4:$AE$6</formula1>
    </dataValidation>
    <dataValidation type="list" allowBlank="1" showInputMessage="1" showErrorMessage="1" promptTitle="Trade Direction" prompt="Select from List" sqref="C15:C16" xr:uid="{AAFCF327-F168-4519-8DDE-A1E371A930D3}">
      <formula1>$AG$4:$AG$5</formula1>
    </dataValidation>
    <dataValidation type="list" allowBlank="1" showInputMessage="1" showErrorMessage="1" promptTitle="Instrument Type" prompt="Select Type from List_x000a_" sqref="B17:B50" xr:uid="{A51C9717-EF40-4CAF-B5E0-3F8474C4E01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BF39-94DC-4895-A3D4-EDB934FBE3CF}">
  <sheetPr codeName="Hoja12">
    <pageSetUpPr fitToPage="1"/>
  </sheetPr>
  <dimension ref="A1:AX2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COUNTA(Tabla33610673484[Inst])</f>
        <v>11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0.49999999999999978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0.49999999999999978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COUNTIF(Tabla33610673484[No. of Rs],"&gt;0")</f>
        <v>4</v>
      </c>
      <c r="G7" s="24">
        <f>IFERROR((F7/$F$6),"")</f>
        <v>0.36363636363636365</v>
      </c>
      <c r="H7" s="78">
        <f>IFERROR((+P13/F7),"")</f>
        <v>1.3525</v>
      </c>
      <c r="I7" s="227">
        <f>H7/H9</f>
        <v>1.9282077393075359</v>
      </c>
      <c r="J7" s="227">
        <f>AVERAGE(Tabla33610673484[No. of Rs])</f>
        <v>4.5454545454545435E-2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COUNTIF(Tabla33610673484[No.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OFFSET(Tabla33610673484[[#Headers],[Equity]],1,0)</f>
        <v>100500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COUNTIF(Tabla33610673484[No. of Rs],"&lt;0")</f>
        <v>7</v>
      </c>
      <c r="G9" s="32">
        <f>IFERROR((F9/$F$6),"")</f>
        <v>0.63636363636363635</v>
      </c>
      <c r="H9" s="79">
        <f>IFERROR((-Q13/F9),"")</f>
        <v>0.7014285714285714</v>
      </c>
      <c r="I9" s="229"/>
      <c r="J9" s="229"/>
      <c r="K9" s="149"/>
      <c r="L9" s="230" t="s">
        <v>106</v>
      </c>
      <c r="M9" s="231"/>
      <c r="N9" s="125">
        <f ca="1">MAX(Tabla33610673484[Drawdown])</f>
        <v>1.55E-2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OFFSET(Tabla33610673484[[#Headers],[Drawdown]],1,0)</f>
        <v>9.7546556310966603E-3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IF(COUNTIFS(Tabla33610673484[O/C],"O")&lt;1,"None",COUNTIFS(Tabla33610673484[O/C],"O"))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SUM(Tabla33610673484[No. of Rs])</f>
        <v>0.49999999999999978</v>
      </c>
      <c r="O13" s="42">
        <f>SUM(Tabla33610673484[Heat])</f>
        <v>0</v>
      </c>
      <c r="P13" s="43">
        <f>SUM(Tabla33610673484[[ TR WIN]])</f>
        <v>5.41</v>
      </c>
      <c r="Q13" s="43">
        <f>SUM(Tabla33610673484[[ TR LOSS]])</f>
        <v>-4.91</v>
      </c>
      <c r="R13" s="114"/>
      <c r="S13" s="115"/>
      <c r="T13" s="115"/>
      <c r="U13" s="121"/>
      <c r="V13" s="44">
        <f>SUM(Tabla33610673484[Currency])</f>
        <v>0.49999999999999978</v>
      </c>
      <c r="W13" s="44">
        <f>SUM(Tabla33610673484[Heat3])</f>
        <v>0</v>
      </c>
      <c r="X13" s="44">
        <f>SUM(Tabla33610673484[Commodities])</f>
        <v>0</v>
      </c>
      <c r="Y13" s="44">
        <f>SUM(Tabla33610673484[Heat4])</f>
        <v>0</v>
      </c>
      <c r="Z13" s="44">
        <f>SUM(Tabla33610673484[Index])</f>
        <v>0</v>
      </c>
      <c r="AA13" s="44">
        <f>SUM(Tabla33610673484[Heat5])</f>
        <v>0</v>
      </c>
      <c r="AB13" s="44">
        <f>SUM(Tabla33610673484[Cryptocurrency])</f>
        <v>0</v>
      </c>
      <c r="AC13" s="44">
        <f>SUM(Tabla33610673484[Heat6])</f>
        <v>0</v>
      </c>
      <c r="AD13" s="75">
        <f>AVERAGEIF(Tabla33610673484[Length of 
Trade],"&lt;&gt;0")</f>
        <v>4.321780303029465</v>
      </c>
      <c r="AE13" s="75">
        <f>AVERAGEIF(Tabla33610673484[Win],"&lt;&gt;0")</f>
        <v>6.7088541666671517</v>
      </c>
      <c r="AF13" s="75">
        <f>AVERAGEIF(Tabla33610673484[Loss],"&lt;&gt;0")</f>
        <v>2.9577380952365013</v>
      </c>
      <c r="AG13" s="76" t="e">
        <f>AVERAGEIF(Tabla33610673484[Breakeven],"&lt;&gt;0")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27" si="0">IF(E17&lt;&gt;"",IF(K17&lt;&gt;"","C","O"),"")</f>
        <v>C</v>
      </c>
      <c r="E17" s="199">
        <v>44559.5</v>
      </c>
      <c r="F17" s="200" t="s">
        <v>118</v>
      </c>
      <c r="G17" s="201">
        <v>1.1279699999999999</v>
      </c>
      <c r="H17" s="201">
        <v>1.1324099999999999</v>
      </c>
      <c r="I17" s="202">
        <f t="shared" ref="I17:I27" si="1">ABS(G17-H17)</f>
        <v>4.4399999999999995E-3</v>
      </c>
      <c r="J17" s="201">
        <v>1.0995200000000001</v>
      </c>
      <c r="K17" s="199">
        <v>44559.681944444441</v>
      </c>
      <c r="L17" s="201">
        <v>1.1324099999999999</v>
      </c>
      <c r="M17" s="203">
        <f t="shared" ref="M17:M27" si="2">ROUND(IF(C17="L",(L17-G17),(G17-L17)),4)</f>
        <v>-4.4000000000000003E-3</v>
      </c>
      <c r="N17" s="204">
        <f t="shared" ref="N17:N27" si="3">IFERROR(ROUND((M17/I17),2),"")</f>
        <v>-0.99</v>
      </c>
      <c r="O17" s="205">
        <f t="shared" ref="O17:O27" si="4">IF(D17="O",IF(N17&lt;0,N17,0),0)</f>
        <v>0</v>
      </c>
      <c r="P17" s="206">
        <f t="shared" ref="P17:P27" si="5">IF(N17&gt;= 0,N17,0)</f>
        <v>0</v>
      </c>
      <c r="Q17" s="206">
        <f t="shared" ref="Q17:Q27" si="6">IF(N17&lt;0,N17,0)</f>
        <v>-0.99</v>
      </c>
      <c r="R1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100500</v>
      </c>
      <c r="T1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101490</v>
      </c>
      <c r="U17" s="208">
        <f ca="1">IF(Tabla33610673484[[#This Row],[Equity]]&lt;Tabla33610673484[[#This Row],[Equity Peak]],(Tabla33610673484[[#This Row],[Equity Peak]]-Tabla33610673484[[#This Row],[Equity]])/Tabla33610673484[[#This Row],[Equity Peak]],"")</f>
        <v>9.7546556310966603E-3</v>
      </c>
      <c r="V17" s="209">
        <f t="shared" ref="V17:V27" si="7">IF(B17="FX",N17,0)</f>
        <v>-0.99</v>
      </c>
      <c r="W17" s="209">
        <f t="shared" ref="W17:W27" si="8">IF(D17="O",IF(V17&lt;0,V17,0),0)</f>
        <v>0</v>
      </c>
      <c r="X17" s="209">
        <f t="shared" ref="X17:X27" si="9">IF(B17="COM",N17,0)</f>
        <v>0</v>
      </c>
      <c r="Y17" s="209">
        <f t="shared" ref="Y17:Y27" si="10">IF(D17="O",IF(X17&lt;0,X17,0),0)</f>
        <v>0</v>
      </c>
      <c r="Z17" s="209">
        <f t="shared" ref="Z17:Z27" si="11">IF(B17="IND",N17,0)</f>
        <v>0</v>
      </c>
      <c r="AA17" s="205">
        <f t="shared" ref="AA17:AA27" si="12">IF(D17="O",IF(Z17&lt;0,Z17,0),0)</f>
        <v>0</v>
      </c>
      <c r="AB17" s="209">
        <f t="shared" ref="AB17:AB27" si="13">IF(B17="CRYPTO",N17,0)</f>
        <v>0</v>
      </c>
      <c r="AC17" s="205">
        <f t="shared" ref="AC17:AC27" si="14">IF(D17="O",IF(AB17&lt;0,AB17,0),0)</f>
        <v>0</v>
      </c>
      <c r="AD17" s="210">
        <f t="shared" ref="AD17:AD27" si="15">IF(K17&lt;&gt;"",K17-E17,0)</f>
        <v>0.18194444444088731</v>
      </c>
      <c r="AE17" s="210">
        <f t="shared" ref="AE17:AE27" si="16">IF(N17&gt;0,AD17,0)</f>
        <v>0</v>
      </c>
      <c r="AF17" s="210">
        <f t="shared" ref="AF17:AF27" si="17">IF(N17&lt;0,AD17,0)</f>
        <v>0.18194444444088731</v>
      </c>
      <c r="AG17" s="210">
        <f t="shared" ref="AG17:AG27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44510.833333333336</v>
      </c>
      <c r="F18" s="200" t="s">
        <v>118</v>
      </c>
      <c r="G18" s="201">
        <v>1.15123</v>
      </c>
      <c r="H18" s="201">
        <v>1.1578999999999999</v>
      </c>
      <c r="I18" s="202">
        <f t="shared" si="1"/>
        <v>6.6699999999999537E-3</v>
      </c>
      <c r="J18" s="201">
        <v>1.1085199999999999</v>
      </c>
      <c r="K18" s="199">
        <v>44518.724305555559</v>
      </c>
      <c r="L18" s="201">
        <v>1.1355200000000001</v>
      </c>
      <c r="M18" s="203">
        <f t="shared" si="2"/>
        <v>1.5699999999999999E-2</v>
      </c>
      <c r="N18" s="204">
        <f t="shared" si="3"/>
        <v>2.35</v>
      </c>
      <c r="O18" s="205">
        <f t="shared" si="4"/>
        <v>0</v>
      </c>
      <c r="P18" s="206">
        <f t="shared" si="5"/>
        <v>2.35</v>
      </c>
      <c r="Q18" s="206">
        <f t="shared" si="6"/>
        <v>0</v>
      </c>
      <c r="R1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101490</v>
      </c>
      <c r="T1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101490</v>
      </c>
      <c r="U18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18" s="209">
        <f t="shared" si="7"/>
        <v>2.35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7.890972222223354</v>
      </c>
      <c r="AE18" s="210">
        <f t="shared" si="16"/>
        <v>7.890972222223354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44498.833333333336</v>
      </c>
      <c r="F19" s="200" t="s">
        <v>118</v>
      </c>
      <c r="G19" s="201">
        <v>1.1538900000000001</v>
      </c>
      <c r="H19" s="201">
        <v>1.16275</v>
      </c>
      <c r="I19" s="202">
        <f t="shared" si="1"/>
        <v>8.859999999999868E-3</v>
      </c>
      <c r="J19" s="201">
        <v>1.09718</v>
      </c>
      <c r="K19" s="199">
        <v>44508.454861111109</v>
      </c>
      <c r="L19" s="201">
        <v>1.1573500000000001</v>
      </c>
      <c r="M19" s="203">
        <f t="shared" si="2"/>
        <v>-3.5000000000000001E-3</v>
      </c>
      <c r="N19" s="204">
        <f t="shared" si="3"/>
        <v>-0.4</v>
      </c>
      <c r="O19" s="205">
        <f t="shared" si="4"/>
        <v>0</v>
      </c>
      <c r="P19" s="206">
        <f t="shared" si="5"/>
        <v>0</v>
      </c>
      <c r="Q19" s="206">
        <f t="shared" si="6"/>
        <v>-0.4</v>
      </c>
      <c r="R1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99140</v>
      </c>
      <c r="T1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100230</v>
      </c>
      <c r="U19" s="208">
        <f ca="1">IF(Tabla33610673484[[#This Row],[Equity]]&lt;Tabla33610673484[[#This Row],[Equity Peak]],(Tabla33610673484[[#This Row],[Equity Peak]]-Tabla33610673484[[#This Row],[Equity]])/Tabla33610673484[[#This Row],[Equity Peak]],"")</f>
        <v>1.0874987528684026E-2</v>
      </c>
      <c r="V19" s="209">
        <f t="shared" si="7"/>
        <v>-0.4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9.6215277777737356</v>
      </c>
      <c r="AE19" s="210">
        <f t="shared" si="16"/>
        <v>0</v>
      </c>
      <c r="AF19" s="210">
        <f t="shared" si="17"/>
        <v>9.6215277777737356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44495.017361111109</v>
      </c>
      <c r="F20" s="200" t="s">
        <v>118</v>
      </c>
      <c r="G20" s="201">
        <v>1.1609100000000001</v>
      </c>
      <c r="H20" s="201">
        <v>1.16632</v>
      </c>
      <c r="I20" s="202">
        <f t="shared" si="1"/>
        <v>5.4099999999999149E-3</v>
      </c>
      <c r="J20" s="201">
        <v>1.12626</v>
      </c>
      <c r="K20" s="199">
        <v>44497.675694444442</v>
      </c>
      <c r="L20" s="201">
        <v>1.1643600000000001</v>
      </c>
      <c r="M20" s="203">
        <f t="shared" si="2"/>
        <v>-3.3999999999999998E-3</v>
      </c>
      <c r="N20" s="204">
        <f t="shared" si="3"/>
        <v>-0.63</v>
      </c>
      <c r="O20" s="205">
        <f t="shared" si="4"/>
        <v>0</v>
      </c>
      <c r="P20" s="206">
        <f t="shared" si="5"/>
        <v>0</v>
      </c>
      <c r="Q20" s="206">
        <f t="shared" si="6"/>
        <v>-0.63</v>
      </c>
      <c r="R2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99540</v>
      </c>
      <c r="T2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100230</v>
      </c>
      <c r="U20" s="208">
        <f ca="1">IF(Tabla33610673484[[#This Row],[Equity]]&lt;Tabla33610673484[[#This Row],[Equity Peak]],(Tabla33610673484[[#This Row],[Equity Peak]]-Tabla33610673484[[#This Row],[Equity]])/Tabla33610673484[[#This Row],[Equity Peak]],"")</f>
        <v>6.884166417240347E-3</v>
      </c>
      <c r="V20" s="209">
        <f t="shared" si="7"/>
        <v>-0.63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2.6583333333328483</v>
      </c>
      <c r="AE20" s="210">
        <f t="shared" si="16"/>
        <v>0</v>
      </c>
      <c r="AF20" s="210">
        <f t="shared" si="17"/>
        <v>2.6583333333328483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44455.666666666664</v>
      </c>
      <c r="F21" s="200" t="s">
        <v>118</v>
      </c>
      <c r="G21" s="201">
        <v>1.1755</v>
      </c>
      <c r="H21" s="201">
        <v>1.18106</v>
      </c>
      <c r="I21" s="202">
        <f t="shared" si="1"/>
        <v>5.5600000000000094E-3</v>
      </c>
      <c r="J21" s="201">
        <v>1.1398999999999999</v>
      </c>
      <c r="K21" s="199">
        <v>44462.474999999999</v>
      </c>
      <c r="L21" s="201">
        <v>1.17275</v>
      </c>
      <c r="M21" s="203">
        <f t="shared" si="2"/>
        <v>2.8E-3</v>
      </c>
      <c r="N21" s="204">
        <f t="shared" si="3"/>
        <v>0.5</v>
      </c>
      <c r="O21" s="205">
        <f t="shared" si="4"/>
        <v>0</v>
      </c>
      <c r="P21" s="206">
        <f t="shared" si="5"/>
        <v>0.5</v>
      </c>
      <c r="Q21" s="206">
        <f t="shared" si="6"/>
        <v>0</v>
      </c>
      <c r="R2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100170</v>
      </c>
      <c r="T2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100230</v>
      </c>
      <c r="U21" s="208">
        <f ca="1">IF(Tabla33610673484[[#This Row],[Equity]]&lt;Tabla33610673484[[#This Row],[Equity Peak]],(Tabla33610673484[[#This Row],[Equity Peak]]-Tabla33610673484[[#This Row],[Equity]])/Tabla33610673484[[#This Row],[Equity Peak]],"")</f>
        <v>5.9862316671655197E-4</v>
      </c>
      <c r="V21" s="209">
        <f t="shared" si="7"/>
        <v>0.5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6.8083333333343035</v>
      </c>
      <c r="AE21" s="210">
        <f t="shared" si="16"/>
        <v>6.8083333333343035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44426.833333333336</v>
      </c>
      <c r="F22" s="200" t="s">
        <v>118</v>
      </c>
      <c r="G22" s="201">
        <v>1.16991</v>
      </c>
      <c r="H22" s="201">
        <v>1.1745399999999999</v>
      </c>
      <c r="I22" s="202">
        <f t="shared" si="1"/>
        <v>4.629999999999912E-3</v>
      </c>
      <c r="J22" s="201">
        <v>1.1402600000000001</v>
      </c>
      <c r="K22" s="199">
        <v>44431.443749999999</v>
      </c>
      <c r="L22" s="201">
        <v>1.1725399999999999</v>
      </c>
      <c r="M22" s="203">
        <f t="shared" si="2"/>
        <v>-2.5999999999999999E-3</v>
      </c>
      <c r="N22" s="204">
        <f t="shared" si="3"/>
        <v>-0.56000000000000005</v>
      </c>
      <c r="O22" s="205">
        <f t="shared" si="4"/>
        <v>0</v>
      </c>
      <c r="P22" s="206">
        <f t="shared" si="5"/>
        <v>0</v>
      </c>
      <c r="Q22" s="206">
        <f t="shared" si="6"/>
        <v>-0.56000000000000005</v>
      </c>
      <c r="R2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99670</v>
      </c>
      <c r="T2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100230</v>
      </c>
      <c r="U22" s="208">
        <f ca="1">IF(Tabla33610673484[[#This Row],[Equity]]&lt;Tabla33610673484[[#This Row],[Equity Peak]],(Tabla33610673484[[#This Row],[Equity Peak]]-Tabla33610673484[[#This Row],[Equity]])/Tabla33610673484[[#This Row],[Equity Peak]],"")</f>
        <v>5.5871495560211515E-3</v>
      </c>
      <c r="V22" s="209">
        <f t="shared" si="7"/>
        <v>-0.56000000000000005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4.6104166666627862</v>
      </c>
      <c r="AE22" s="210">
        <f t="shared" si="16"/>
        <v>0</v>
      </c>
      <c r="AF22" s="210">
        <f t="shared" si="17"/>
        <v>4.6104166666627862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44414.5</v>
      </c>
      <c r="F23" s="200" t="s">
        <v>118</v>
      </c>
      <c r="G23" s="201">
        <v>1.1811100000000001</v>
      </c>
      <c r="H23" s="201">
        <v>1.1865000000000001</v>
      </c>
      <c r="I23" s="202">
        <f t="shared" si="1"/>
        <v>5.3900000000000059E-3</v>
      </c>
      <c r="J23" s="201">
        <v>1.1466099999999999</v>
      </c>
      <c r="K23" s="199">
        <v>44419.650694444441</v>
      </c>
      <c r="L23" s="201">
        <v>1.1740699999999999</v>
      </c>
      <c r="M23" s="203">
        <f t="shared" si="2"/>
        <v>7.0000000000000001E-3</v>
      </c>
      <c r="N23" s="204">
        <f t="shared" si="3"/>
        <v>1.3</v>
      </c>
      <c r="O23" s="205">
        <f t="shared" si="4"/>
        <v>0</v>
      </c>
      <c r="P23" s="206">
        <f t="shared" si="5"/>
        <v>1.3</v>
      </c>
      <c r="Q23" s="206">
        <f t="shared" si="6"/>
        <v>0</v>
      </c>
      <c r="R2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100230</v>
      </c>
      <c r="T2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100230</v>
      </c>
      <c r="U23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3" s="209">
        <f t="shared" si="7"/>
        <v>1.3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5.1506944444408873</v>
      </c>
      <c r="AE23" s="210">
        <f t="shared" si="16"/>
        <v>5.1506944444408873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44341.5</v>
      </c>
      <c r="F24" s="200" t="s">
        <v>118</v>
      </c>
      <c r="G24" s="201">
        <v>1.2259</v>
      </c>
      <c r="H24" s="201">
        <v>1.2195100000000001</v>
      </c>
      <c r="I24" s="202">
        <f t="shared" si="1"/>
        <v>6.3899999999998958E-3</v>
      </c>
      <c r="J24" s="201">
        <v>1.26677</v>
      </c>
      <c r="K24" s="199">
        <v>44342.765277777777</v>
      </c>
      <c r="L24" s="201">
        <v>1.2209000000000001</v>
      </c>
      <c r="M24" s="203">
        <f t="shared" si="2"/>
        <v>-5.0000000000000001E-3</v>
      </c>
      <c r="N24" s="204">
        <f t="shared" si="3"/>
        <v>-0.78</v>
      </c>
      <c r="O24" s="205">
        <f t="shared" si="4"/>
        <v>0</v>
      </c>
      <c r="P24" s="206">
        <f t="shared" si="5"/>
        <v>0</v>
      </c>
      <c r="Q24" s="206">
        <f t="shared" si="6"/>
        <v>-0.78</v>
      </c>
      <c r="R2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98930</v>
      </c>
      <c r="T2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24" s="208">
        <f ca="1">IF(Tabla33610673484[[#This Row],[Equity]]&lt;Tabla33610673484[[#This Row],[Equity Peak]],(Tabla33610673484[[#This Row],[Equity Peak]]-Tabla33610673484[[#This Row],[Equity]])/Tabla33610673484[[#This Row],[Equity Peak]],"")</f>
        <v>1.0699999999999999E-2</v>
      </c>
      <c r="V24" s="209">
        <f t="shared" si="7"/>
        <v>-0.78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1.265277777776646</v>
      </c>
      <c r="AE24" s="210">
        <f t="shared" si="16"/>
        <v>0</v>
      </c>
      <c r="AF24" s="210">
        <f t="shared" si="17"/>
        <v>1.265277777776646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44279.5</v>
      </c>
      <c r="F25" s="200" t="s">
        <v>118</v>
      </c>
      <c r="G25" s="201">
        <v>1.1826700000000001</v>
      </c>
      <c r="H25" s="201">
        <v>1.18895</v>
      </c>
      <c r="I25" s="202">
        <f t="shared" si="1"/>
        <v>6.2799999999998413E-3</v>
      </c>
      <c r="J25" s="201">
        <v>1.14246</v>
      </c>
      <c r="K25" s="199">
        <v>44286.48541666667</v>
      </c>
      <c r="L25" s="201">
        <v>1.1747399999999999</v>
      </c>
      <c r="M25" s="203">
        <f t="shared" si="2"/>
        <v>7.9000000000000008E-3</v>
      </c>
      <c r="N25" s="204">
        <f t="shared" si="3"/>
        <v>1.26</v>
      </c>
      <c r="O25" s="205">
        <f t="shared" si="4"/>
        <v>0</v>
      </c>
      <c r="P25" s="206">
        <f t="shared" si="5"/>
        <v>1.26</v>
      </c>
      <c r="Q25" s="206">
        <f t="shared" si="6"/>
        <v>0</v>
      </c>
      <c r="R2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99710</v>
      </c>
      <c r="T2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25" s="208">
        <f ca="1">IF(Tabla33610673484[[#This Row],[Equity]]&lt;Tabla33610673484[[#This Row],[Equity Peak]],(Tabla33610673484[[#This Row],[Equity Peak]]-Tabla33610673484[[#This Row],[Equity]])/Tabla33610673484[[#This Row],[Equity Peak]],"")</f>
        <v>2.8999999999999998E-3</v>
      </c>
      <c r="V25" s="209">
        <f t="shared" si="7"/>
        <v>1.26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6.9854166666700621</v>
      </c>
      <c r="AE25" s="210">
        <f t="shared" si="16"/>
        <v>6.9854166666700621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44249.666666666664</v>
      </c>
      <c r="F26" s="200" t="s">
        <v>118</v>
      </c>
      <c r="G26" s="201">
        <v>1.2147300000000001</v>
      </c>
      <c r="H26" s="201">
        <v>1.20824</v>
      </c>
      <c r="I26" s="202">
        <f t="shared" si="1"/>
        <v>6.4900000000001068E-3</v>
      </c>
      <c r="J26" s="201">
        <v>1.2562599999999999</v>
      </c>
      <c r="K26" s="199">
        <v>44251.714583333334</v>
      </c>
      <c r="L26" s="201">
        <v>1.21122</v>
      </c>
      <c r="M26" s="203">
        <f t="shared" si="2"/>
        <v>-3.5000000000000001E-3</v>
      </c>
      <c r="N26" s="204">
        <f t="shared" si="3"/>
        <v>-0.54</v>
      </c>
      <c r="O26" s="205">
        <f t="shared" si="4"/>
        <v>0</v>
      </c>
      <c r="P26" s="206">
        <f t="shared" si="5"/>
        <v>0</v>
      </c>
      <c r="Q26" s="206">
        <f t="shared" si="6"/>
        <v>-0.54</v>
      </c>
      <c r="R2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Yes</v>
      </c>
      <c r="S2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98450</v>
      </c>
      <c r="T2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26" s="208">
        <f ca="1">IF(Tabla33610673484[[#This Row],[Equity]]&lt;Tabla33610673484[[#This Row],[Equity Peak]],(Tabla33610673484[[#This Row],[Equity Peak]]-Tabla33610673484[[#This Row],[Equity]])/Tabla33610673484[[#This Row],[Equity Peak]],"")</f>
        <v>1.55E-2</v>
      </c>
      <c r="V26" s="209">
        <f t="shared" si="7"/>
        <v>-0.54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2.0479166666700621</v>
      </c>
      <c r="AE26" s="210">
        <f t="shared" si="16"/>
        <v>0</v>
      </c>
      <c r="AF26" s="210">
        <f t="shared" si="17"/>
        <v>2.0479166666700621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44239.333333333336</v>
      </c>
      <c r="F27" s="200" t="s">
        <v>118</v>
      </c>
      <c r="G27" s="201">
        <v>1.2131400000000001</v>
      </c>
      <c r="H27" s="201">
        <v>1.2087699999999999</v>
      </c>
      <c r="I27" s="202">
        <f t="shared" si="1"/>
        <v>4.3700000000002071E-3</v>
      </c>
      <c r="J27" s="201">
        <v>1.24108</v>
      </c>
      <c r="K27" s="199">
        <v>44239.652083333334</v>
      </c>
      <c r="L27" s="201">
        <v>1.2087699999999999</v>
      </c>
      <c r="M27" s="203">
        <f t="shared" si="2"/>
        <v>-4.4000000000000003E-3</v>
      </c>
      <c r="N27" s="204">
        <f t="shared" si="3"/>
        <v>-1.01</v>
      </c>
      <c r="O27" s="205">
        <f t="shared" si="4"/>
        <v>0</v>
      </c>
      <c r="P27" s="206">
        <f t="shared" si="5"/>
        <v>0</v>
      </c>
      <c r="Q27" s="206">
        <f t="shared" si="6"/>
        <v>-1.01</v>
      </c>
      <c r="R2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Yes</v>
      </c>
      <c r="S2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98990</v>
      </c>
      <c r="T2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27" s="208">
        <f ca="1">IF(Tabla33610673484[[#This Row],[Equity]]&lt;Tabla33610673484[[#This Row],[Equity Peak]],(Tabla33610673484[[#This Row],[Equity Peak]]-Tabla33610673484[[#This Row],[Equity]])/Tabla33610673484[[#This Row],[Equity Peak]],"")</f>
        <v>1.01E-2</v>
      </c>
      <c r="V27" s="209">
        <f t="shared" si="7"/>
        <v>-1.01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0.31874999999854481</v>
      </c>
      <c r="AE27" s="210">
        <f t="shared" si="16"/>
        <v>0</v>
      </c>
      <c r="AF27" s="210">
        <f t="shared" si="17"/>
        <v>0.31874999999854481</v>
      </c>
      <c r="AG27" s="210">
        <f t="shared" si="18"/>
        <v>0</v>
      </c>
    </row>
  </sheetData>
  <sheetProtection algorithmName="SHA-512" hashValue="k3gBIMlGU7z4eJipcAw0wqcF7VTn3qyyEsCfqBIFfqI9anq+AFBJfFVC8g6sOc+ARtV3ntTgO75jNiO3tJSv8Q==" saltValue="Q/hj3Y6CRh8QEzFpmx2j3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71" priority="3" operator="equal">
      <formula>"OK"</formula>
    </cfRule>
    <cfRule type="cellIs" dxfId="670" priority="4" operator="equal">
      <formula>"warning"</formula>
    </cfRule>
  </conditionalFormatting>
  <conditionalFormatting sqref="F13">
    <cfRule type="cellIs" dxfId="669" priority="1" operator="equal">
      <formula>"OK"</formula>
    </cfRule>
    <cfRule type="cellIs" dxfId="668" priority="2" operator="equal">
      <formula>"Error!!"</formula>
    </cfRule>
  </conditionalFormatting>
  <conditionalFormatting sqref="E15:H15 K15:L15">
    <cfRule type="expression" dxfId="667" priority="5">
      <formula>+$D15=#REF!</formula>
    </cfRule>
    <cfRule type="expression" dxfId="666" priority="6">
      <formula>+$D15=#REF!</formula>
    </cfRule>
  </conditionalFormatting>
  <conditionalFormatting sqref="D15 K16:L16 D16:H27 J17:L27">
    <cfRule type="expression" dxfId="665" priority="7">
      <formula>+$D15=$AG$8</formula>
    </cfRule>
    <cfRule type="expression" dxfId="66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08CA5309-B9DC-4EB3-96A6-435AE7DCDD62}">
      <formula1>$AE$4:$AE$6</formula1>
    </dataValidation>
    <dataValidation type="list" allowBlank="1" showInputMessage="1" showErrorMessage="1" promptTitle="Trade Direction" prompt="Select from List" sqref="C15:C16" xr:uid="{BD08AE71-C7EC-4592-8F8D-22C6D56288D3}">
      <formula1>$AG$4:$AG$5</formula1>
    </dataValidation>
    <dataValidation type="list" allowBlank="1" showInputMessage="1" showErrorMessage="1" promptTitle="Instrument Type" prompt="Select Type from List_x000a_" sqref="B17:B27" xr:uid="{2D9A71D5-B039-4177-827F-64C144FC015E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7DDC-A67F-4755-88F6-9A0822B2356B}">
  <sheetPr codeName="Hoja23">
    <pageSetUpPr fitToPage="1"/>
  </sheetPr>
  <dimension ref="A1:AX35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COUNTA(Tabla336106734817[Inst])</f>
        <v>19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4.0000000000000147E-2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4.0000000000000147E-2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COUNTIF(Tabla336106734817[No. of Rs],"&gt;0")</f>
        <v>2</v>
      </c>
      <c r="G7" s="24">
        <f>IFERROR((F7/$F$6),"")</f>
        <v>0.10526315789473684</v>
      </c>
      <c r="H7" s="78">
        <f>IFERROR((+P13/F7),"")</f>
        <v>2.4050000000000002</v>
      </c>
      <c r="I7" s="227">
        <f>H7/H9</f>
        <v>8.5712788259958064</v>
      </c>
      <c r="J7" s="227">
        <f>AVERAGE(Tabla336106734817[No. of Rs])</f>
        <v>2.1052631578947446E-3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COUNTIF(Tabla336106734817[No.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OFFSET(Tabla336106734817[[#Headers],[Equity]],1,0)</f>
        <v>100040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COUNTIF(Tabla336106734817[No. of Rs],"&lt;0")</f>
        <v>17</v>
      </c>
      <c r="G9" s="32">
        <f>IFERROR((F9/$F$6),"")</f>
        <v>0.89473684210526316</v>
      </c>
      <c r="H9" s="79">
        <f>IFERROR((-Q13/F9),"")</f>
        <v>0.28058823529411769</v>
      </c>
      <c r="I9" s="229"/>
      <c r="J9" s="229"/>
      <c r="K9" s="149"/>
      <c r="L9" s="230" t="s">
        <v>106</v>
      </c>
      <c r="M9" s="231"/>
      <c r="N9" s="125">
        <f ca="1">MAX(Tabla336106734817[Drawdown])</f>
        <v>3.1E-2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OFFSET(Tabla336106734817[[#Headers],[Drawdown]],1,0)</f>
        <v>1.6419231147379806E-2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IF(COUNTIFS(Tabla336106734817[O/C],"O")&lt;1,"None",COUNTIFS(Tabla336106734817[O/C],"O"))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SUM(Tabla336106734817[No. of Rs])</f>
        <v>4.0000000000000147E-2</v>
      </c>
      <c r="O13" s="42">
        <f>SUM(Tabla336106734817[Heat])</f>
        <v>0</v>
      </c>
      <c r="P13" s="43">
        <f>SUM(Tabla336106734817[[ TR WIN]])</f>
        <v>4.8100000000000005</v>
      </c>
      <c r="Q13" s="43">
        <f>SUM(Tabla336106734817[[ TR LOSS]])</f>
        <v>-4.7700000000000005</v>
      </c>
      <c r="R13" s="114"/>
      <c r="S13" s="115"/>
      <c r="T13" s="115"/>
      <c r="U13" s="121"/>
      <c r="V13" s="44">
        <f>SUM(Tabla336106734817[Currency])</f>
        <v>4.0000000000000147E-2</v>
      </c>
      <c r="W13" s="44">
        <f>SUM(Tabla336106734817[Heat3])</f>
        <v>0</v>
      </c>
      <c r="X13" s="44">
        <f>SUM(Tabla336106734817[Commodities])</f>
        <v>0</v>
      </c>
      <c r="Y13" s="44">
        <f>SUM(Tabla336106734817[Heat4])</f>
        <v>0</v>
      </c>
      <c r="Z13" s="44">
        <f>SUM(Tabla336106734817[Index])</f>
        <v>0</v>
      </c>
      <c r="AA13" s="44">
        <f>SUM(Tabla336106734817[Heat5])</f>
        <v>0</v>
      </c>
      <c r="AB13" s="44">
        <f>SUM(Tabla336106734817[Cryptocurrency])</f>
        <v>0</v>
      </c>
      <c r="AC13" s="44">
        <f>SUM(Tabla336106734817[Heat6])</f>
        <v>0</v>
      </c>
      <c r="AD13" s="75">
        <f>AVERAGEIF(Tabla336106734817[Length of 
Trade],"&lt;&gt;0")</f>
        <v>6.622222222223507</v>
      </c>
      <c r="AE13" s="75">
        <f>AVERAGEIF(Tabla336106734817[Win],"&lt;&gt;0")</f>
        <v>38.395833333335759</v>
      </c>
      <c r="AF13" s="75">
        <f>AVERAGEIF(Tabla336106734817[Loss],"&lt;&gt;0")</f>
        <v>2.8841503267985367</v>
      </c>
      <c r="AG13" s="76" t="e">
        <f>AVERAGEIF(Tabla336106734817[Breakeven],"&lt;&gt;0")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35" si="0">IF(E17&lt;&gt;"",IF(K17&lt;&gt;"","C","O"),"")</f>
        <v>C</v>
      </c>
      <c r="E17" s="199">
        <v>44552.333333333336</v>
      </c>
      <c r="F17" s="200" t="s">
        <v>117</v>
      </c>
      <c r="G17" s="201">
        <v>1.8589800000000001</v>
      </c>
      <c r="H17" s="201">
        <v>1.8425100000000001</v>
      </c>
      <c r="I17" s="202">
        <f t="shared" ref="I17:I35" si="1">ABS(G17-H17)</f>
        <v>1.6469999999999985E-2</v>
      </c>
      <c r="J17" s="201">
        <v>1.91388</v>
      </c>
      <c r="K17" s="199">
        <v>44552.722222222219</v>
      </c>
      <c r="L17" s="201">
        <v>1.8506499999999999</v>
      </c>
      <c r="M17" s="203">
        <f t="shared" ref="M17:M35" si="2">ROUND(IF(C17="L",(L17-G17),(G17-L17)),4)</f>
        <v>-8.3000000000000001E-3</v>
      </c>
      <c r="N17" s="204">
        <f t="shared" ref="N17:N35" si="3">IFERROR(ROUND((M17/I17),2),"")</f>
        <v>-0.5</v>
      </c>
      <c r="O17" s="205">
        <f t="shared" ref="O17:O35" si="4">IF(D17="O",IF(N17&lt;0,N17,0),0)</f>
        <v>0</v>
      </c>
      <c r="P17" s="206">
        <f t="shared" ref="P17:P35" si="5">IF(N17&gt;= 0,N17,0)</f>
        <v>0</v>
      </c>
      <c r="Q17" s="206">
        <f t="shared" ref="Q17:Q35" si="6">IF(N17&lt;0,N17,0)</f>
        <v>-0.5</v>
      </c>
      <c r="R17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7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100040</v>
      </c>
      <c r="T17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17" s="208">
        <f ca="1">IF(Tabla336106734817[[#This Row],[Equity]]&lt;Tabla336106734817[[#This Row],[Equity Peak]],(Tabla336106734817[[#This Row],[Equity Peak]]-Tabla336106734817[[#This Row],[Equity]])/Tabla336106734817[[#This Row],[Equity Peak]],"")</f>
        <v>1.6419231147379806E-2</v>
      </c>
      <c r="V17" s="209">
        <f t="shared" ref="V17:V35" si="7">IF(B17="FX",N17,0)</f>
        <v>-0.5</v>
      </c>
      <c r="W17" s="209">
        <f t="shared" ref="W17:W35" si="8">IF(D17="O",IF(V17&lt;0,V17,0),0)</f>
        <v>0</v>
      </c>
      <c r="X17" s="209">
        <f t="shared" ref="X17:X35" si="9">IF(B17="COM",N17,0)</f>
        <v>0</v>
      </c>
      <c r="Y17" s="209">
        <f t="shared" ref="Y17:Y35" si="10">IF(D17="O",IF(X17&lt;0,X17,0),0)</f>
        <v>0</v>
      </c>
      <c r="Z17" s="209">
        <f t="shared" ref="Z17:Z35" si="11">IF(B17="IND",N17,0)</f>
        <v>0</v>
      </c>
      <c r="AA17" s="205">
        <f t="shared" ref="AA17:AA35" si="12">IF(D17="O",IF(Z17&lt;0,Z17,0),0)</f>
        <v>0</v>
      </c>
      <c r="AB17" s="209">
        <f t="shared" ref="AB17:AB35" si="13">IF(B17="CRYPTO",N17,0)</f>
        <v>0</v>
      </c>
      <c r="AC17" s="205">
        <f t="shared" ref="AC17:AC35" si="14">IF(D17="O",IF(AB17&lt;0,AB17,0),0)</f>
        <v>0</v>
      </c>
      <c r="AD17" s="210">
        <f t="shared" ref="AD17:AD35" si="15">IF(K17&lt;&gt;"",K17-E17,0)</f>
        <v>0.38888888888322981</v>
      </c>
      <c r="AE17" s="210">
        <f t="shared" ref="AE17:AE35" si="16">IF(N17&gt;0,AD17,0)</f>
        <v>0</v>
      </c>
      <c r="AF17" s="210">
        <f t="shared" ref="AF17:AF35" si="17">IF(N17&lt;0,AD17,0)</f>
        <v>0.38888888888322981</v>
      </c>
      <c r="AG17" s="210">
        <f t="shared" ref="AG17:AG35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44552.020833333336</v>
      </c>
      <c r="F18" s="200" t="s">
        <v>117</v>
      </c>
      <c r="G18" s="201">
        <v>1.8534600000000001</v>
      </c>
      <c r="H18" s="201">
        <v>1.86992</v>
      </c>
      <c r="I18" s="202">
        <f t="shared" si="1"/>
        <v>1.6459999999999919E-2</v>
      </c>
      <c r="J18" s="201">
        <v>1.7985899999999999</v>
      </c>
      <c r="K18" s="199">
        <v>44552.333333333336</v>
      </c>
      <c r="L18" s="201">
        <v>1.8589800000000001</v>
      </c>
      <c r="M18" s="203">
        <f t="shared" si="2"/>
        <v>-5.4999999999999997E-3</v>
      </c>
      <c r="N18" s="204">
        <f t="shared" si="3"/>
        <v>-0.33</v>
      </c>
      <c r="O18" s="205">
        <f t="shared" si="4"/>
        <v>0</v>
      </c>
      <c r="P18" s="206">
        <f t="shared" si="5"/>
        <v>0</v>
      </c>
      <c r="Q18" s="206">
        <f t="shared" si="6"/>
        <v>-0.33</v>
      </c>
      <c r="R18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8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100540</v>
      </c>
      <c r="T18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18" s="208">
        <f ca="1">IF(Tabla336106734817[[#This Row],[Equity]]&lt;Tabla336106734817[[#This Row],[Equity Peak]],(Tabla336106734817[[#This Row],[Equity Peak]]-Tabla336106734817[[#This Row],[Equity]])/Tabla336106734817[[#This Row],[Equity Peak]],"")</f>
        <v>1.1503293678104414E-2</v>
      </c>
      <c r="V18" s="209">
        <f t="shared" si="7"/>
        <v>-0.33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0.3125</v>
      </c>
      <c r="AE18" s="210">
        <f t="shared" si="16"/>
        <v>0</v>
      </c>
      <c r="AF18" s="210">
        <f t="shared" si="17"/>
        <v>0.3125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44550.5</v>
      </c>
      <c r="F19" s="200" t="s">
        <v>117</v>
      </c>
      <c r="G19" s="201">
        <v>1.85904</v>
      </c>
      <c r="H19" s="201">
        <v>1.8427199999999999</v>
      </c>
      <c r="I19" s="202">
        <f t="shared" si="1"/>
        <v>1.6320000000000112E-2</v>
      </c>
      <c r="J19" s="201">
        <v>1.91343</v>
      </c>
      <c r="K19" s="199">
        <v>44552.020833333336</v>
      </c>
      <c r="L19" s="201">
        <v>1.8534600000000001</v>
      </c>
      <c r="M19" s="203">
        <f t="shared" si="2"/>
        <v>-5.5999999999999999E-3</v>
      </c>
      <c r="N19" s="204">
        <f t="shared" si="3"/>
        <v>-0.34</v>
      </c>
      <c r="O19" s="205">
        <f t="shared" si="4"/>
        <v>0</v>
      </c>
      <c r="P19" s="206">
        <f t="shared" si="5"/>
        <v>0</v>
      </c>
      <c r="Q19" s="206">
        <f t="shared" si="6"/>
        <v>-0.34</v>
      </c>
      <c r="R19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9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100870</v>
      </c>
      <c r="T19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19" s="208">
        <f ca="1">IF(Tabla336106734817[[#This Row],[Equity]]&lt;Tabla336106734817[[#This Row],[Equity Peak]],(Tabla336106734817[[#This Row],[Equity Peak]]-Tabla336106734817[[#This Row],[Equity]])/Tabla336106734817[[#This Row],[Equity Peak]],"")</f>
        <v>8.2587749483826571E-3</v>
      </c>
      <c r="V19" s="209">
        <f t="shared" si="7"/>
        <v>-0.34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1.5208333333357587</v>
      </c>
      <c r="AE19" s="210">
        <f t="shared" si="16"/>
        <v>0</v>
      </c>
      <c r="AF19" s="210">
        <f t="shared" si="17"/>
        <v>1.5208333333357587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44515.666666666664</v>
      </c>
      <c r="F20" s="200" t="s">
        <v>117</v>
      </c>
      <c r="G20" s="201">
        <v>1.8246199999999999</v>
      </c>
      <c r="H20" s="201">
        <v>1.8392299999999999</v>
      </c>
      <c r="I20" s="202">
        <f t="shared" si="1"/>
        <v>1.4610000000000012E-2</v>
      </c>
      <c r="J20" s="201">
        <v>1.7759199999999999</v>
      </c>
      <c r="K20" s="199">
        <v>44516.377083333333</v>
      </c>
      <c r="L20" s="201">
        <v>1.8307800000000001</v>
      </c>
      <c r="M20" s="203">
        <f t="shared" si="2"/>
        <v>-6.1999999999999998E-3</v>
      </c>
      <c r="N20" s="204">
        <f t="shared" si="3"/>
        <v>-0.42</v>
      </c>
      <c r="O20" s="205">
        <f t="shared" si="4"/>
        <v>0</v>
      </c>
      <c r="P20" s="206">
        <f t="shared" si="5"/>
        <v>0</v>
      </c>
      <c r="Q20" s="206">
        <f t="shared" si="6"/>
        <v>-0.42</v>
      </c>
      <c r="R20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0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101210</v>
      </c>
      <c r="T20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20" s="208">
        <f ca="1">IF(Tabla336106734817[[#This Row],[Equity]]&lt;Tabla336106734817[[#This Row],[Equity Peak]],(Tabla336106734817[[#This Row],[Equity Peak]]-Tabla336106734817[[#This Row],[Equity]])/Tabla336106734817[[#This Row],[Equity Peak]],"")</f>
        <v>4.9159374692753907E-3</v>
      </c>
      <c r="V20" s="209">
        <f t="shared" si="7"/>
        <v>-0.42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0.71041666666860692</v>
      </c>
      <c r="AE20" s="210">
        <f t="shared" si="16"/>
        <v>0</v>
      </c>
      <c r="AF20" s="210">
        <f t="shared" si="17"/>
        <v>0.71041666666860692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44504.666666666664</v>
      </c>
      <c r="F21" s="200" t="s">
        <v>117</v>
      </c>
      <c r="G21" s="201">
        <v>1.8273299999999999</v>
      </c>
      <c r="H21" s="201">
        <v>1.8423400000000001</v>
      </c>
      <c r="I21" s="202">
        <f t="shared" si="1"/>
        <v>1.501000000000019E-2</v>
      </c>
      <c r="J21" s="201">
        <v>1.7773099999999999</v>
      </c>
      <c r="K21" s="199">
        <v>44508.726388888892</v>
      </c>
      <c r="L21" s="201">
        <v>1.8283799999999999</v>
      </c>
      <c r="M21" s="203">
        <f t="shared" si="2"/>
        <v>-1.1000000000000001E-3</v>
      </c>
      <c r="N21" s="204">
        <f t="shared" si="3"/>
        <v>-7.0000000000000007E-2</v>
      </c>
      <c r="O21" s="205">
        <f t="shared" si="4"/>
        <v>0</v>
      </c>
      <c r="P21" s="206">
        <f t="shared" si="5"/>
        <v>0</v>
      </c>
      <c r="Q21" s="206">
        <f t="shared" si="6"/>
        <v>-7.0000000000000007E-2</v>
      </c>
      <c r="R21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1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101630</v>
      </c>
      <c r="T21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21" s="208">
        <f ca="1">IF(Tabla336106734817[[#This Row],[Equity]]&lt;Tabla336106734817[[#This Row],[Equity Peak]],(Tabla336106734817[[#This Row],[Equity Peak]]-Tabla336106734817[[#This Row],[Equity]])/Tabla336106734817[[#This Row],[Equity Peak]],"")</f>
        <v>7.8654999508406256E-4</v>
      </c>
      <c r="V21" s="209">
        <f t="shared" si="7"/>
        <v>-7.0000000000000007E-2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4.0597222222277196</v>
      </c>
      <c r="AE21" s="210">
        <f t="shared" si="16"/>
        <v>0</v>
      </c>
      <c r="AF21" s="210">
        <f t="shared" si="17"/>
        <v>4.0597222222277196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44449.5</v>
      </c>
      <c r="F22" s="200" t="s">
        <v>117</v>
      </c>
      <c r="G22" s="201">
        <v>1.8734299999999999</v>
      </c>
      <c r="H22" s="201">
        <v>1.8601700000000001</v>
      </c>
      <c r="I22" s="202">
        <f t="shared" si="1"/>
        <v>1.3259999999999827E-2</v>
      </c>
      <c r="J22" s="201">
        <v>1.9176200000000001</v>
      </c>
      <c r="K22" s="199">
        <v>44467.640277777777</v>
      </c>
      <c r="L22" s="201">
        <v>1.8733599999999999</v>
      </c>
      <c r="M22" s="203">
        <f t="shared" si="2"/>
        <v>-1E-4</v>
      </c>
      <c r="N22" s="204">
        <f t="shared" si="3"/>
        <v>-0.01</v>
      </c>
      <c r="O22" s="205">
        <f t="shared" si="4"/>
        <v>0</v>
      </c>
      <c r="P22" s="206">
        <f t="shared" si="5"/>
        <v>0</v>
      </c>
      <c r="Q22" s="206">
        <f t="shared" si="6"/>
        <v>-0.01</v>
      </c>
      <c r="R22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2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101700</v>
      </c>
      <c r="T22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22" s="208">
        <f ca="1">IF(Tabla336106734817[[#This Row],[Equity]]&lt;Tabla336106734817[[#This Row],[Equity Peak]],(Tabla336106734817[[#This Row],[Equity Peak]]-Tabla336106734817[[#This Row],[Equity]])/Tabla336106734817[[#This Row],[Equity Peak]],"")</f>
        <v>9.831874938550782E-5</v>
      </c>
      <c r="V22" s="209">
        <f t="shared" si="7"/>
        <v>-0.01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18.140277777776646</v>
      </c>
      <c r="AE22" s="210">
        <f t="shared" si="16"/>
        <v>0</v>
      </c>
      <c r="AF22" s="210">
        <f t="shared" si="17"/>
        <v>18.140277777776646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44385.017361111109</v>
      </c>
      <c r="F23" s="200" t="s">
        <v>117</v>
      </c>
      <c r="G23" s="201">
        <v>1.8438399999999999</v>
      </c>
      <c r="H23" s="201">
        <v>1.8303100000000001</v>
      </c>
      <c r="I23" s="202">
        <f t="shared" si="1"/>
        <v>1.352999999999982E-2</v>
      </c>
      <c r="J23" s="201">
        <v>1.8889400000000001</v>
      </c>
      <c r="K23" s="199">
        <v>44405.42291666667</v>
      </c>
      <c r="L23" s="201">
        <v>1.8889400000000001</v>
      </c>
      <c r="M23" s="203">
        <f t="shared" si="2"/>
        <v>4.5100000000000001E-2</v>
      </c>
      <c r="N23" s="204">
        <f t="shared" si="3"/>
        <v>3.33</v>
      </c>
      <c r="O23" s="205">
        <f t="shared" si="4"/>
        <v>0</v>
      </c>
      <c r="P23" s="206">
        <f t="shared" si="5"/>
        <v>3.33</v>
      </c>
      <c r="Q23" s="206">
        <f t="shared" si="6"/>
        <v>0</v>
      </c>
      <c r="R23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3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101710</v>
      </c>
      <c r="T23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101710</v>
      </c>
      <c r="U23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23" s="209">
        <f t="shared" si="7"/>
        <v>3.33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20.405555555560568</v>
      </c>
      <c r="AE23" s="210">
        <f t="shared" si="16"/>
        <v>20.405555555560568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44327.166666666664</v>
      </c>
      <c r="F24" s="200" t="s">
        <v>117</v>
      </c>
      <c r="G24" s="201">
        <v>1.8037799999999999</v>
      </c>
      <c r="H24" s="201">
        <v>1.78901</v>
      </c>
      <c r="I24" s="202">
        <f t="shared" si="1"/>
        <v>1.476999999999995E-2</v>
      </c>
      <c r="J24" s="201">
        <v>1.8530199999999999</v>
      </c>
      <c r="K24" s="199">
        <v>44383.552777777775</v>
      </c>
      <c r="L24" s="201">
        <v>1.8257000000000001</v>
      </c>
      <c r="M24" s="203">
        <f t="shared" si="2"/>
        <v>2.1899999999999999E-2</v>
      </c>
      <c r="N24" s="204">
        <f t="shared" si="3"/>
        <v>1.48</v>
      </c>
      <c r="O24" s="205">
        <f t="shared" si="4"/>
        <v>0</v>
      </c>
      <c r="P24" s="206">
        <f t="shared" si="5"/>
        <v>1.48</v>
      </c>
      <c r="Q24" s="206">
        <f t="shared" si="6"/>
        <v>0</v>
      </c>
      <c r="R24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4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98380</v>
      </c>
      <c r="T24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24" s="208">
        <f ca="1">IF(Tabla336106734817[[#This Row],[Equity]]&lt;Tabla336106734817[[#This Row],[Equity Peak]],(Tabla336106734817[[#This Row],[Equity Peak]]-Tabla336106734817[[#This Row],[Equity]])/Tabla336106734817[[#This Row],[Equity Peak]],"")</f>
        <v>1.6199999999999999E-2</v>
      </c>
      <c r="V24" s="209">
        <f t="shared" si="7"/>
        <v>1.48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56.386111111110949</v>
      </c>
      <c r="AE24" s="210">
        <f t="shared" si="16"/>
        <v>56.386111111110949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44323.166666666664</v>
      </c>
      <c r="F25" s="200" t="s">
        <v>117</v>
      </c>
      <c r="G25" s="201">
        <v>1.78603</v>
      </c>
      <c r="H25" s="201">
        <v>1.8005899999999999</v>
      </c>
      <c r="I25" s="202">
        <f t="shared" si="1"/>
        <v>1.4559999999999906E-2</v>
      </c>
      <c r="J25" s="201">
        <v>1.73749</v>
      </c>
      <c r="K25" s="199">
        <v>44326.35</v>
      </c>
      <c r="L25" s="201">
        <v>1.7897700000000001</v>
      </c>
      <c r="M25" s="203">
        <f t="shared" si="2"/>
        <v>-3.7000000000000002E-3</v>
      </c>
      <c r="N25" s="204">
        <f t="shared" si="3"/>
        <v>-0.25</v>
      </c>
      <c r="O25" s="205">
        <f t="shared" si="4"/>
        <v>0</v>
      </c>
      <c r="P25" s="206">
        <f t="shared" si="5"/>
        <v>0</v>
      </c>
      <c r="Q25" s="206">
        <f t="shared" si="6"/>
        <v>-0.25</v>
      </c>
      <c r="R25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25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96900</v>
      </c>
      <c r="T25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25" s="208">
        <f ca="1">IF(Tabla336106734817[[#This Row],[Equity]]&lt;Tabla336106734817[[#This Row],[Equity Peak]],(Tabla336106734817[[#This Row],[Equity Peak]]-Tabla336106734817[[#This Row],[Equity]])/Tabla336106734817[[#This Row],[Equity Peak]],"")</f>
        <v>3.1E-2</v>
      </c>
      <c r="V25" s="209">
        <f t="shared" si="7"/>
        <v>-0.25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3.1833333333343035</v>
      </c>
      <c r="AE25" s="210">
        <f t="shared" si="16"/>
        <v>0</v>
      </c>
      <c r="AF25" s="210">
        <f t="shared" si="17"/>
        <v>3.1833333333343035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44319.666666666664</v>
      </c>
      <c r="F26" s="200" t="s">
        <v>117</v>
      </c>
      <c r="G26" s="201">
        <v>1.7952600000000001</v>
      </c>
      <c r="H26" s="201">
        <v>1.78081</v>
      </c>
      <c r="I26" s="202">
        <f t="shared" si="1"/>
        <v>1.4450000000000074E-2</v>
      </c>
      <c r="J26" s="201">
        <v>1.84344</v>
      </c>
      <c r="K26" s="199">
        <v>44321.998611111114</v>
      </c>
      <c r="L26" s="201">
        <v>1.7936700000000001</v>
      </c>
      <c r="M26" s="203">
        <f t="shared" si="2"/>
        <v>-1.6000000000000001E-3</v>
      </c>
      <c r="N26" s="204">
        <f t="shared" si="3"/>
        <v>-0.11</v>
      </c>
      <c r="O26" s="205">
        <f t="shared" si="4"/>
        <v>0</v>
      </c>
      <c r="P26" s="206">
        <f t="shared" si="5"/>
        <v>0</v>
      </c>
      <c r="Q26" s="206">
        <f t="shared" si="6"/>
        <v>-0.11</v>
      </c>
      <c r="R26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26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97150</v>
      </c>
      <c r="T26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26" s="208">
        <f ca="1">IF(Tabla336106734817[[#This Row],[Equity]]&lt;Tabla336106734817[[#This Row],[Equity Peak]],(Tabla336106734817[[#This Row],[Equity Peak]]-Tabla336106734817[[#This Row],[Equity]])/Tabla336106734817[[#This Row],[Equity Peak]],"")</f>
        <v>2.8500000000000001E-2</v>
      </c>
      <c r="V26" s="209">
        <f t="shared" si="7"/>
        <v>-0.11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2.3319444444496185</v>
      </c>
      <c r="AE26" s="210">
        <f t="shared" si="16"/>
        <v>0</v>
      </c>
      <c r="AF26" s="210">
        <f t="shared" si="17"/>
        <v>2.3319444444496185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44309.666666666664</v>
      </c>
      <c r="F27" s="200" t="s">
        <v>117</v>
      </c>
      <c r="G27" s="201">
        <v>1.7936099999999999</v>
      </c>
      <c r="H27" s="201">
        <v>1.80827</v>
      </c>
      <c r="I27" s="202">
        <f t="shared" si="1"/>
        <v>1.4660000000000117E-2</v>
      </c>
      <c r="J27" s="201">
        <v>1.74475</v>
      </c>
      <c r="K27" s="199">
        <v>44314.193749999999</v>
      </c>
      <c r="L27" s="201">
        <v>1.7950600000000001</v>
      </c>
      <c r="M27" s="203">
        <f t="shared" si="2"/>
        <v>-1.5E-3</v>
      </c>
      <c r="N27" s="204">
        <f t="shared" si="3"/>
        <v>-0.1</v>
      </c>
      <c r="O27" s="205">
        <f t="shared" si="4"/>
        <v>0</v>
      </c>
      <c r="P27" s="206">
        <f t="shared" si="5"/>
        <v>0</v>
      </c>
      <c r="Q27" s="206">
        <f t="shared" si="6"/>
        <v>-0.1</v>
      </c>
      <c r="R27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27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97260</v>
      </c>
      <c r="T27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27" s="208">
        <f ca="1">IF(Tabla336106734817[[#This Row],[Equity]]&lt;Tabla336106734817[[#This Row],[Equity Peak]],(Tabla336106734817[[#This Row],[Equity Peak]]-Tabla336106734817[[#This Row],[Equity]])/Tabla336106734817[[#This Row],[Equity Peak]],"")</f>
        <v>2.7400000000000001E-2</v>
      </c>
      <c r="V27" s="209">
        <f t="shared" si="7"/>
        <v>-0.1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4.5270833333343035</v>
      </c>
      <c r="AE27" s="210">
        <f t="shared" si="16"/>
        <v>0</v>
      </c>
      <c r="AF27" s="210">
        <f t="shared" si="17"/>
        <v>4.5270833333343035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44307.017361111109</v>
      </c>
      <c r="F28" s="200" t="s">
        <v>117</v>
      </c>
      <c r="G28" s="201">
        <v>1.80416</v>
      </c>
      <c r="H28" s="201">
        <v>1.78931</v>
      </c>
      <c r="I28" s="202">
        <f t="shared" si="1"/>
        <v>1.485000000000003E-2</v>
      </c>
      <c r="J28" s="201">
        <v>1.8536699999999999</v>
      </c>
      <c r="K28" s="199">
        <v>44307.743750000001</v>
      </c>
      <c r="L28" s="201">
        <v>1.7985</v>
      </c>
      <c r="M28" s="203">
        <f t="shared" si="2"/>
        <v>-5.7000000000000002E-3</v>
      </c>
      <c r="N28" s="204">
        <f t="shared" si="3"/>
        <v>-0.38</v>
      </c>
      <c r="O28" s="205">
        <f t="shared" si="4"/>
        <v>0</v>
      </c>
      <c r="P28" s="206">
        <f t="shared" si="5"/>
        <v>0</v>
      </c>
      <c r="Q28" s="206">
        <f t="shared" si="6"/>
        <v>-0.38</v>
      </c>
      <c r="R28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28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97360</v>
      </c>
      <c r="T28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28" s="208">
        <f ca="1">IF(Tabla336106734817[[#This Row],[Equity]]&lt;Tabla336106734817[[#This Row],[Equity Peak]],(Tabla336106734817[[#This Row],[Equity Peak]]-Tabla336106734817[[#This Row],[Equity]])/Tabla336106734817[[#This Row],[Equity Peak]],"")</f>
        <v>2.64E-2</v>
      </c>
      <c r="V28" s="209">
        <f t="shared" si="7"/>
        <v>-0.38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0.72638888889196096</v>
      </c>
      <c r="AE28" s="210">
        <f t="shared" si="16"/>
        <v>0</v>
      </c>
      <c r="AF28" s="210">
        <f t="shared" si="17"/>
        <v>0.72638888889196096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44279.017361111109</v>
      </c>
      <c r="F29" s="200" t="s">
        <v>117</v>
      </c>
      <c r="G29" s="201">
        <v>1.79898</v>
      </c>
      <c r="H29" s="201">
        <v>1.78112</v>
      </c>
      <c r="I29" s="202">
        <f t="shared" si="1"/>
        <v>1.7859999999999987E-2</v>
      </c>
      <c r="J29" s="201">
        <v>1.8585100000000001</v>
      </c>
      <c r="K29" s="199">
        <v>44285.26458333333</v>
      </c>
      <c r="L29" s="201">
        <v>1.79887</v>
      </c>
      <c r="M29" s="203">
        <f t="shared" si="2"/>
        <v>-1E-4</v>
      </c>
      <c r="N29" s="204">
        <f t="shared" si="3"/>
        <v>-0.01</v>
      </c>
      <c r="O29" s="205">
        <f t="shared" si="4"/>
        <v>0</v>
      </c>
      <c r="P29" s="206">
        <f t="shared" si="5"/>
        <v>0</v>
      </c>
      <c r="Q29" s="206">
        <f t="shared" si="6"/>
        <v>-0.01</v>
      </c>
      <c r="R29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29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97740</v>
      </c>
      <c r="T29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29" s="208">
        <f ca="1">IF(Tabla336106734817[[#This Row],[Equity]]&lt;Tabla336106734817[[#This Row],[Equity Peak]],(Tabla336106734817[[#This Row],[Equity Peak]]-Tabla336106734817[[#This Row],[Equity]])/Tabla336106734817[[#This Row],[Equity Peak]],"")</f>
        <v>2.2599999999999999E-2</v>
      </c>
      <c r="V29" s="209">
        <f t="shared" si="7"/>
        <v>-0.01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6.2472222222204437</v>
      </c>
      <c r="AE29" s="210">
        <f t="shared" si="16"/>
        <v>0</v>
      </c>
      <c r="AF29" s="210">
        <f t="shared" si="17"/>
        <v>6.2472222222204437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44270.666666666664</v>
      </c>
      <c r="F30" s="200" t="s">
        <v>117</v>
      </c>
      <c r="G30" s="201">
        <v>1.8006</v>
      </c>
      <c r="H30" s="201">
        <v>1.7838099999999999</v>
      </c>
      <c r="I30" s="202">
        <f t="shared" si="1"/>
        <v>1.6790000000000083E-2</v>
      </c>
      <c r="J30" s="201">
        <v>1.8565799999999999</v>
      </c>
      <c r="K30" s="199">
        <v>44270.79791666667</v>
      </c>
      <c r="L30" s="201">
        <v>1.79206</v>
      </c>
      <c r="M30" s="203">
        <f t="shared" si="2"/>
        <v>-8.5000000000000006E-3</v>
      </c>
      <c r="N30" s="204">
        <f t="shared" si="3"/>
        <v>-0.51</v>
      </c>
      <c r="O30" s="205">
        <f t="shared" si="4"/>
        <v>0</v>
      </c>
      <c r="P30" s="206">
        <f t="shared" si="5"/>
        <v>0</v>
      </c>
      <c r="Q30" s="206">
        <f t="shared" si="6"/>
        <v>-0.51</v>
      </c>
      <c r="R30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0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97750</v>
      </c>
      <c r="T30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0" s="208">
        <f ca="1">IF(Tabla336106734817[[#This Row],[Equity]]&lt;Tabla336106734817[[#This Row],[Equity Peak]],(Tabla336106734817[[#This Row],[Equity Peak]]-Tabla336106734817[[#This Row],[Equity]])/Tabla336106734817[[#This Row],[Equity Peak]],"")</f>
        <v>2.2499999999999999E-2</v>
      </c>
      <c r="V30" s="209">
        <f t="shared" si="7"/>
        <v>-0.51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0.13125000000582077</v>
      </c>
      <c r="AE30" s="210">
        <f t="shared" si="16"/>
        <v>0</v>
      </c>
      <c r="AF30" s="210">
        <f t="shared" si="17"/>
        <v>0.13125000000582077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44270.017361111109</v>
      </c>
      <c r="F31" s="200" t="s">
        <v>117</v>
      </c>
      <c r="G31" s="201">
        <v>1.7932900000000001</v>
      </c>
      <c r="H31" s="201">
        <v>1.8100400000000001</v>
      </c>
      <c r="I31" s="202">
        <f t="shared" si="1"/>
        <v>1.6750000000000043E-2</v>
      </c>
      <c r="J31" s="201">
        <v>1.73746</v>
      </c>
      <c r="K31" s="199">
        <v>44270.39166666667</v>
      </c>
      <c r="L31" s="201">
        <v>1.7998400000000001</v>
      </c>
      <c r="M31" s="203">
        <f t="shared" si="2"/>
        <v>-6.6E-3</v>
      </c>
      <c r="N31" s="204">
        <f t="shared" si="3"/>
        <v>-0.39</v>
      </c>
      <c r="O31" s="205">
        <f t="shared" si="4"/>
        <v>0</v>
      </c>
      <c r="P31" s="206">
        <f t="shared" si="5"/>
        <v>0</v>
      </c>
      <c r="Q31" s="206">
        <f t="shared" si="6"/>
        <v>-0.39</v>
      </c>
      <c r="R31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1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98260</v>
      </c>
      <c r="T31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1" s="208">
        <f ca="1">IF(Tabla336106734817[[#This Row],[Equity]]&lt;Tabla336106734817[[#This Row],[Equity Peak]],(Tabla336106734817[[#This Row],[Equity Peak]]-Tabla336106734817[[#This Row],[Equity]])/Tabla336106734817[[#This Row],[Equity Peak]],"")</f>
        <v>1.7399999999999999E-2</v>
      </c>
      <c r="V31" s="209">
        <f t="shared" si="7"/>
        <v>-0.39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0.37430555556056788</v>
      </c>
      <c r="AE31" s="210">
        <f t="shared" si="16"/>
        <v>0</v>
      </c>
      <c r="AF31" s="210">
        <f t="shared" si="17"/>
        <v>0.37430555556056788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44253.833333333336</v>
      </c>
      <c r="F32" s="200" t="s">
        <v>117</v>
      </c>
      <c r="G32" s="201">
        <v>1.80586</v>
      </c>
      <c r="H32" s="201">
        <v>1.79125</v>
      </c>
      <c r="I32" s="202">
        <f t="shared" si="1"/>
        <v>1.4610000000000012E-2</v>
      </c>
      <c r="J32" s="201">
        <v>1.8545499999999999</v>
      </c>
      <c r="K32" s="199">
        <v>44256.631249999999</v>
      </c>
      <c r="L32" s="201">
        <v>1.7984599999999999</v>
      </c>
      <c r="M32" s="203">
        <f t="shared" si="2"/>
        <v>-7.4000000000000003E-3</v>
      </c>
      <c r="N32" s="204">
        <f t="shared" si="3"/>
        <v>-0.51</v>
      </c>
      <c r="O32" s="205">
        <f t="shared" si="4"/>
        <v>0</v>
      </c>
      <c r="P32" s="206">
        <f t="shared" si="5"/>
        <v>0</v>
      </c>
      <c r="Q32" s="206">
        <f t="shared" si="6"/>
        <v>-0.51</v>
      </c>
      <c r="R32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2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98650</v>
      </c>
      <c r="T32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2" s="208">
        <f ca="1">IF(Tabla336106734817[[#This Row],[Equity]]&lt;Tabla336106734817[[#This Row],[Equity Peak]],(Tabla336106734817[[#This Row],[Equity Peak]]-Tabla336106734817[[#This Row],[Equity]])/Tabla336106734817[[#This Row],[Equity Peak]],"")</f>
        <v>1.35E-2</v>
      </c>
      <c r="V32" s="209">
        <f t="shared" si="7"/>
        <v>-0.51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2.7979166666627862</v>
      </c>
      <c r="AE32" s="210">
        <f t="shared" si="16"/>
        <v>0</v>
      </c>
      <c r="AF32" s="210">
        <f t="shared" si="17"/>
        <v>2.7979166666627862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44249.166666666664</v>
      </c>
      <c r="F33" s="200" t="s">
        <v>117</v>
      </c>
      <c r="G33" s="201">
        <v>1.77711</v>
      </c>
      <c r="H33" s="201">
        <v>1.79095</v>
      </c>
      <c r="I33" s="202">
        <f t="shared" si="1"/>
        <v>1.3840000000000074E-2</v>
      </c>
      <c r="J33" s="201">
        <v>1.7309699999999999</v>
      </c>
      <c r="K33" s="199">
        <v>44250.422222222223</v>
      </c>
      <c r="L33" s="201">
        <v>1.7819700000000001</v>
      </c>
      <c r="M33" s="203">
        <f t="shared" si="2"/>
        <v>-4.8999999999999998E-3</v>
      </c>
      <c r="N33" s="204">
        <f t="shared" si="3"/>
        <v>-0.35</v>
      </c>
      <c r="O33" s="205">
        <f t="shared" si="4"/>
        <v>0</v>
      </c>
      <c r="P33" s="206">
        <f t="shared" si="5"/>
        <v>0</v>
      </c>
      <c r="Q33" s="206">
        <f t="shared" si="6"/>
        <v>-0.35</v>
      </c>
      <c r="R33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3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99160</v>
      </c>
      <c r="T33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3" s="208">
        <f ca="1">IF(Tabla336106734817[[#This Row],[Equity]]&lt;Tabla336106734817[[#This Row],[Equity Peak]],(Tabla336106734817[[#This Row],[Equity Peak]]-Tabla336106734817[[#This Row],[Equity]])/Tabla336106734817[[#This Row],[Equity Peak]],"")</f>
        <v>8.3999999999999995E-3</v>
      </c>
      <c r="V33" s="209">
        <f t="shared" si="7"/>
        <v>-0.35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1.2555555555591127</v>
      </c>
      <c r="AE33" s="210">
        <f t="shared" si="16"/>
        <v>0</v>
      </c>
      <c r="AF33" s="210">
        <f t="shared" si="17"/>
        <v>1.2555555555591127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0"/>
        <v>C</v>
      </c>
      <c r="E34" s="199">
        <v>44238.5</v>
      </c>
      <c r="F34" s="200" t="s">
        <v>117</v>
      </c>
      <c r="G34" s="201">
        <v>1.78626</v>
      </c>
      <c r="H34" s="201">
        <v>1.8004800000000001</v>
      </c>
      <c r="I34" s="202">
        <f t="shared" si="1"/>
        <v>1.4220000000000121E-2</v>
      </c>
      <c r="J34" s="201">
        <v>1.7388399999999999</v>
      </c>
      <c r="K34" s="199">
        <v>44239.683333333334</v>
      </c>
      <c r="L34" s="201">
        <v>1.7877700000000001</v>
      </c>
      <c r="M34" s="203">
        <f t="shared" si="2"/>
        <v>-1.5E-3</v>
      </c>
      <c r="N34" s="204">
        <f t="shared" si="3"/>
        <v>-0.11</v>
      </c>
      <c r="O34" s="205">
        <f t="shared" si="4"/>
        <v>0</v>
      </c>
      <c r="P34" s="206">
        <f t="shared" si="5"/>
        <v>0</v>
      </c>
      <c r="Q34" s="206">
        <f t="shared" si="6"/>
        <v>-0.11</v>
      </c>
      <c r="R34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4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99510</v>
      </c>
      <c r="T34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4" s="208">
        <f ca="1">IF(Tabla336106734817[[#This Row],[Equity]]&lt;Tabla336106734817[[#This Row],[Equity Peak]],(Tabla336106734817[[#This Row],[Equity Peak]]-Tabla336106734817[[#This Row],[Equity]])/Tabla336106734817[[#This Row],[Equity Peak]],"")</f>
        <v>4.8999999999999998E-3</v>
      </c>
      <c r="V34" s="209">
        <f t="shared" si="7"/>
        <v>-0.11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1.1833333333343035</v>
      </c>
      <c r="AE34" s="210">
        <f t="shared" si="16"/>
        <v>0</v>
      </c>
      <c r="AF34" s="210">
        <f t="shared" si="17"/>
        <v>1.1833333333343035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44236.333333333336</v>
      </c>
      <c r="F35" s="200" t="s">
        <v>117</v>
      </c>
      <c r="G35" s="201">
        <v>1.78355</v>
      </c>
      <c r="H35" s="201">
        <v>1.7981499999999999</v>
      </c>
      <c r="I35" s="202">
        <f t="shared" si="1"/>
        <v>1.4599999999999946E-2</v>
      </c>
      <c r="J35" s="201">
        <v>1.73489</v>
      </c>
      <c r="K35" s="199">
        <v>44237.472916666666</v>
      </c>
      <c r="L35" s="201">
        <v>1.7891900000000001</v>
      </c>
      <c r="M35" s="203">
        <f t="shared" si="2"/>
        <v>-5.5999999999999999E-3</v>
      </c>
      <c r="N35" s="204">
        <f t="shared" si="3"/>
        <v>-0.38</v>
      </c>
      <c r="O35" s="205">
        <f t="shared" si="4"/>
        <v>0</v>
      </c>
      <c r="P35" s="206">
        <f t="shared" si="5"/>
        <v>0</v>
      </c>
      <c r="Q35" s="206">
        <f t="shared" si="6"/>
        <v>-0.38</v>
      </c>
      <c r="R35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5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99620</v>
      </c>
      <c r="T35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5" s="208">
        <f ca="1">IF(Tabla336106734817[[#This Row],[Equity]]&lt;Tabla336106734817[[#This Row],[Equity Peak]],(Tabla336106734817[[#This Row],[Equity Peak]]-Tabla336106734817[[#This Row],[Equity]])/Tabla336106734817[[#This Row],[Equity Peak]],"")</f>
        <v>3.8E-3</v>
      </c>
      <c r="V35" s="209">
        <f t="shared" si="7"/>
        <v>-0.38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1.1395833333299379</v>
      </c>
      <c r="AE35" s="210">
        <f t="shared" si="16"/>
        <v>0</v>
      </c>
      <c r="AF35" s="210">
        <f t="shared" si="17"/>
        <v>1.1395833333299379</v>
      </c>
      <c r="AG35" s="210">
        <f t="shared" si="18"/>
        <v>0</v>
      </c>
    </row>
  </sheetData>
  <sheetProtection algorithmName="SHA-512" hashValue="5PNVqe6IRV+mo5VPXvofKMIIKtd/0gyQZ4z5KV0hJTJEmbAlC6Ocoen4gndtB8yXXCLSxxoRdZ1FYLDKJ1z9yQ==" saltValue="MR3aAOE02npdHY4TimJ6C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29" priority="3" operator="equal">
      <formula>"OK"</formula>
    </cfRule>
    <cfRule type="cellIs" dxfId="628" priority="4" operator="equal">
      <formula>"warning"</formula>
    </cfRule>
  </conditionalFormatting>
  <conditionalFormatting sqref="F13">
    <cfRule type="cellIs" dxfId="627" priority="1" operator="equal">
      <formula>"OK"</formula>
    </cfRule>
    <cfRule type="cellIs" dxfId="626" priority="2" operator="equal">
      <formula>"Error!!"</formula>
    </cfRule>
  </conditionalFormatting>
  <conditionalFormatting sqref="E15:H15 K15:L15">
    <cfRule type="expression" dxfId="625" priority="5">
      <formula>+$D15=#REF!</formula>
    </cfRule>
    <cfRule type="expression" dxfId="624" priority="6">
      <formula>+$D15=#REF!</formula>
    </cfRule>
  </conditionalFormatting>
  <conditionalFormatting sqref="D15 K16:L16 D16:H35 J17:L35">
    <cfRule type="expression" dxfId="623" priority="7">
      <formula>+$D15=$AG$8</formula>
    </cfRule>
    <cfRule type="expression" dxfId="62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2A568864-2EE3-4A1C-A34D-492E5A030AFD}">
      <formula1>$AE$4:$AE$6</formula1>
    </dataValidation>
    <dataValidation type="list" allowBlank="1" showInputMessage="1" showErrorMessage="1" promptTitle="Trade Direction" prompt="Select from List" sqref="C15:C16" xr:uid="{8A02DE07-3E5D-430E-9D38-340A608EF1BB}">
      <formula1>$AG$4:$AG$5</formula1>
    </dataValidation>
    <dataValidation type="list" allowBlank="1" showInputMessage="1" showErrorMessage="1" promptTitle="Instrument Type" prompt="Select Type from List_x000a_" sqref="B17:B35" xr:uid="{32C0367F-6EE6-4BA7-8D9D-D78FD0C0EA7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B3-5CCC-43EF-A509-19C994233E82}">
  <sheetPr codeName="Hoja13">
    <pageSetUpPr fitToPage="1"/>
  </sheetPr>
  <dimension ref="A1:AX39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COUNTA(Tabla33610673486[Inst])</f>
        <v>23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2.6999999999999993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2.6999999999999993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COUNTIF(Tabla33610673486[No. of Rs],"&gt;0")</f>
        <v>8</v>
      </c>
      <c r="G7" s="24">
        <f>IFERROR((F7/$F$6),"")</f>
        <v>0.34782608695652173</v>
      </c>
      <c r="H7" s="78">
        <f>IFERROR((+P13/F7),"")</f>
        <v>1.2637499999999999</v>
      </c>
      <c r="I7" s="227">
        <f>H7/H9</f>
        <v>2.5581983805668016</v>
      </c>
      <c r="J7" s="227">
        <f>AVERAGE(Tabla33610673486[No. of Rs])</f>
        <v>0.11739130434782606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OFFSET(Tabla33610673486[[#Headers],[Equity]],1,0)</f>
        <v>102700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COUNTIF(Tabla33610673486[No. of Rs],"&lt;0")</f>
        <v>15</v>
      </c>
      <c r="G9" s="32">
        <f>IFERROR((F9/$F$6),"")</f>
        <v>0.65217391304347827</v>
      </c>
      <c r="H9" s="79">
        <f>IFERROR((-Q13/F9),"")</f>
        <v>0.49399999999999994</v>
      </c>
      <c r="I9" s="229"/>
      <c r="J9" s="229"/>
      <c r="K9" s="149"/>
      <c r="L9" s="230" t="s">
        <v>106</v>
      </c>
      <c r="M9" s="231"/>
      <c r="N9" s="125">
        <f ca="1">MAX(Tabla33610673486[Drawdown])</f>
        <v>4.1456110799176493E-2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OFFSET(Tabla33610673486[[#Headers],[Drawdown]],1,0)</f>
        <v>3.8929440389294405E-2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IF(COUNTIFS(Tabla33610673486[O/C],"O")&lt;1,"None",COUNTIFS(Tabla33610673486[O/C],"O"))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SUM(Tabla33610673486[No. of Rs])</f>
        <v>2.6999999999999993</v>
      </c>
      <c r="O13" s="42">
        <f>SUM(Tabla33610673486[Heat])</f>
        <v>0</v>
      </c>
      <c r="P13" s="43">
        <f>SUM(Tabla33610673486[[ TR WIN]])</f>
        <v>10.11</v>
      </c>
      <c r="Q13" s="43">
        <f>SUM(Tabla33610673486[[ TR LOSS]])</f>
        <v>-7.4099999999999993</v>
      </c>
      <c r="R13" s="114"/>
      <c r="S13" s="115"/>
      <c r="T13" s="115"/>
      <c r="U13" s="121"/>
      <c r="V13" s="44">
        <f>SUM(Tabla33610673486[Currency])</f>
        <v>2.6999999999999993</v>
      </c>
      <c r="W13" s="44">
        <f>SUM(Tabla33610673486[Heat3])</f>
        <v>0</v>
      </c>
      <c r="X13" s="44">
        <f>SUM(Tabla33610673486[Commodities])</f>
        <v>0</v>
      </c>
      <c r="Y13" s="44">
        <f>SUM(Tabla33610673486[Heat4])</f>
        <v>0</v>
      </c>
      <c r="Z13" s="44">
        <f>SUM(Tabla33610673486[Index])</f>
        <v>0</v>
      </c>
      <c r="AA13" s="44">
        <f>SUM(Tabla33610673486[Heat5])</f>
        <v>0</v>
      </c>
      <c r="AB13" s="44">
        <f>SUM(Tabla33610673486[Cryptocurrency])</f>
        <v>0</v>
      </c>
      <c r="AC13" s="44">
        <f>SUM(Tabla33610673486[Heat6])</f>
        <v>0</v>
      </c>
      <c r="AD13" s="75">
        <f>AVERAGEIF(Tabla33610673486[Length of 
Trade],"&lt;&gt;0")</f>
        <v>6.2442028985514417</v>
      </c>
      <c r="AE13" s="75">
        <f>AVERAGEIF(Tabla33610673486[Win],"&lt;&gt;0")</f>
        <v>9.7890625</v>
      </c>
      <c r="AF13" s="75">
        <f>AVERAGEIF(Tabla33610673486[Loss],"&lt;&gt;0")</f>
        <v>4.3536111111122109</v>
      </c>
      <c r="AG13" s="76" t="e">
        <f>AVERAGEIF(Tabla33610673486[Breakeven],"&lt;&gt;0")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29" si="0">IF(E17&lt;&gt;"",IF(K17&lt;&gt;"","C","O"),"")</f>
        <v>C</v>
      </c>
      <c r="E17" s="199">
        <v>44505.017361111109</v>
      </c>
      <c r="F17" s="200" t="s">
        <v>116</v>
      </c>
      <c r="G17" s="201">
        <v>153.46600000000001</v>
      </c>
      <c r="H17" s="201">
        <v>155.06700000000001</v>
      </c>
      <c r="I17" s="202">
        <f t="shared" ref="I17:I29" si="1">ABS(G17-H17)</f>
        <v>1.6009999999999991</v>
      </c>
      <c r="J17" s="201">
        <v>144.50200000000001</v>
      </c>
      <c r="K17" s="199">
        <v>44516.380555555559</v>
      </c>
      <c r="L17" s="201">
        <v>153.554</v>
      </c>
      <c r="M17" s="203">
        <f t="shared" ref="M17:M29" si="2">ROUND(IF(C17="L",(L17-G17),(G17-L17)),4)</f>
        <v>-8.7999999999999995E-2</v>
      </c>
      <c r="N17" s="204">
        <f t="shared" ref="N17:N29" si="3">IFERROR(ROUND((M17/I17),2),"")</f>
        <v>-0.05</v>
      </c>
      <c r="O17" s="205">
        <f t="shared" ref="O17:O29" si="4">IF(D17="O",IF(N17&lt;0,N17,0),0)</f>
        <v>0</v>
      </c>
      <c r="P17" s="206">
        <f t="shared" ref="P17:P29" si="5">IF(N17&gt;= 0,N17,0)</f>
        <v>0</v>
      </c>
      <c r="Q17" s="206">
        <f t="shared" ref="Q17:Q29" si="6">IF(N17&lt;0,N17,0)</f>
        <v>-0.05</v>
      </c>
      <c r="R1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102700</v>
      </c>
      <c r="T1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17" s="208">
        <f ca="1">IF(Tabla33610673486[[#This Row],[Equity]]&lt;Tabla33610673486[[#This Row],[Equity Peak]],(Tabla33610673486[[#This Row],[Equity Peak]]-Tabla33610673486[[#This Row],[Equity]])/Tabla33610673486[[#This Row],[Equity Peak]],"")</f>
        <v>3.8929440389294405E-2</v>
      </c>
      <c r="V17" s="209">
        <f t="shared" ref="V17:V29" si="7">IF(B17="FX",N17,0)</f>
        <v>-0.05</v>
      </c>
      <c r="W17" s="209">
        <f t="shared" ref="W17:W29" si="8">IF(D17="O",IF(V17&lt;0,V17,0),0)</f>
        <v>0</v>
      </c>
      <c r="X17" s="209">
        <f t="shared" ref="X17:X29" si="9">IF(B17="COM",N17,0)</f>
        <v>0</v>
      </c>
      <c r="Y17" s="209">
        <f t="shared" ref="Y17:Y29" si="10">IF(D17="O",IF(X17&lt;0,X17,0),0)</f>
        <v>0</v>
      </c>
      <c r="Z17" s="209">
        <f t="shared" ref="Z17:Z29" si="11">IF(B17="IND",N17,0)</f>
        <v>0</v>
      </c>
      <c r="AA17" s="205">
        <f t="shared" ref="AA17:AA29" si="12">IF(D17="O",IF(Z17&lt;0,Z17,0),0)</f>
        <v>0</v>
      </c>
      <c r="AB17" s="209">
        <f t="shared" ref="AB17:AB29" si="13">IF(B17="CRYPTO",N17,0)</f>
        <v>0</v>
      </c>
      <c r="AC17" s="205">
        <f t="shared" ref="AC17:AC29" si="14">IF(D17="O",IF(AB17&lt;0,AB17,0),0)</f>
        <v>0</v>
      </c>
      <c r="AD17" s="210">
        <f t="shared" ref="AD17:AD29" si="15">IF(K17&lt;&gt;"",K17-E17,0)</f>
        <v>11.363194444449618</v>
      </c>
      <c r="AE17" s="210">
        <f t="shared" ref="AE17:AE29" si="16">IF(N17&gt;0,AD17,0)</f>
        <v>0</v>
      </c>
      <c r="AF17" s="210">
        <f t="shared" ref="AF17:AF29" si="17">IF(N17&lt;0,AD17,0)</f>
        <v>11.363194444449618</v>
      </c>
      <c r="AG17" s="210">
        <f t="shared" ref="AG17:AG29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44484.5</v>
      </c>
      <c r="F18" s="200" t="s">
        <v>116</v>
      </c>
      <c r="G18" s="201">
        <v>156.84299999999999</v>
      </c>
      <c r="H18" s="201">
        <v>155.78200000000001</v>
      </c>
      <c r="I18" s="202">
        <f t="shared" si="1"/>
        <v>1.0609999999999786</v>
      </c>
      <c r="J18" s="201">
        <v>162.78299999999999</v>
      </c>
      <c r="K18" s="199">
        <v>44489.625694444447</v>
      </c>
      <c r="L18" s="201">
        <v>157.178</v>
      </c>
      <c r="M18" s="203">
        <f t="shared" si="2"/>
        <v>0.33500000000000002</v>
      </c>
      <c r="N18" s="204">
        <f t="shared" si="3"/>
        <v>0.32</v>
      </c>
      <c r="O18" s="205">
        <f t="shared" si="4"/>
        <v>0</v>
      </c>
      <c r="P18" s="206">
        <f t="shared" si="5"/>
        <v>0.32</v>
      </c>
      <c r="Q18" s="206">
        <f t="shared" si="6"/>
        <v>0</v>
      </c>
      <c r="R1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102750</v>
      </c>
      <c r="T1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18" s="208">
        <f ca="1">IF(Tabla33610673486[[#This Row],[Equity]]&lt;Tabla33610673486[[#This Row],[Equity Peak]],(Tabla33610673486[[#This Row],[Equity Peak]]-Tabla33610673486[[#This Row],[Equity]])/Tabla33610673486[[#This Row],[Equity Peak]],"")</f>
        <v>3.8461538461538464E-2</v>
      </c>
      <c r="V18" s="209">
        <f t="shared" si="7"/>
        <v>0.32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5.1256944444467081</v>
      </c>
      <c r="AE18" s="210">
        <f t="shared" si="16"/>
        <v>5.1256944444467081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44475.166666666664</v>
      </c>
      <c r="F19" s="200" t="s">
        <v>116</v>
      </c>
      <c r="G19" s="201">
        <v>152.11500000000001</v>
      </c>
      <c r="H19" s="201">
        <v>151.005</v>
      </c>
      <c r="I19" s="202">
        <f t="shared" si="1"/>
        <v>1.1100000000000136</v>
      </c>
      <c r="J19" s="201">
        <v>158.33199999999999</v>
      </c>
      <c r="K19" s="199">
        <v>44475.706944444442</v>
      </c>
      <c r="L19" s="201">
        <v>151.005</v>
      </c>
      <c r="M19" s="203">
        <f t="shared" si="2"/>
        <v>-1.1100000000000001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102430</v>
      </c>
      <c r="T1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19" s="208">
        <f ca="1">IF(Tabla33610673486[[#This Row],[Equity]]&lt;Tabla33610673486[[#This Row],[Equity Peak]],(Tabla33610673486[[#This Row],[Equity Peak]]-Tabla33610673486[[#This Row],[Equity]])/Tabla33610673486[[#This Row],[Equity Peak]],"")</f>
        <v>4.1456110799176493E-2</v>
      </c>
      <c r="V19" s="209">
        <f t="shared" si="7"/>
        <v>-1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0.54027777777810115</v>
      </c>
      <c r="AE19" s="210">
        <f t="shared" si="16"/>
        <v>0</v>
      </c>
      <c r="AF19" s="210">
        <f t="shared" si="17"/>
        <v>0.54027777777810115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44468.5</v>
      </c>
      <c r="F20" s="200" t="s">
        <v>116</v>
      </c>
      <c r="G20" s="201">
        <v>150.309</v>
      </c>
      <c r="H20" s="201">
        <v>151.643</v>
      </c>
      <c r="I20" s="202">
        <f t="shared" si="1"/>
        <v>1.3340000000000032</v>
      </c>
      <c r="J20" s="201">
        <v>142.84</v>
      </c>
      <c r="K20" s="199">
        <v>44473.53402777778</v>
      </c>
      <c r="L20" s="201">
        <v>151.017</v>
      </c>
      <c r="M20" s="203">
        <f t="shared" si="2"/>
        <v>-0.70799999999999996</v>
      </c>
      <c r="N20" s="204">
        <f t="shared" si="3"/>
        <v>-0.53</v>
      </c>
      <c r="O20" s="205">
        <f t="shared" si="4"/>
        <v>0</v>
      </c>
      <c r="P20" s="206">
        <f t="shared" si="5"/>
        <v>0</v>
      </c>
      <c r="Q20" s="206">
        <f t="shared" si="6"/>
        <v>-0.53</v>
      </c>
      <c r="R2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103430</v>
      </c>
      <c r="T2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0" s="208">
        <f ca="1">IF(Tabla33610673486[[#This Row],[Equity]]&lt;Tabla33610673486[[#This Row],[Equity Peak]],(Tabla33610673486[[#This Row],[Equity Peak]]-Tabla33610673486[[#This Row],[Equity]])/Tabla33610673486[[#This Row],[Equity Peak]],"")</f>
        <v>3.2098072244057647E-2</v>
      </c>
      <c r="V20" s="209">
        <f t="shared" si="7"/>
        <v>-0.53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5.0340277777795563</v>
      </c>
      <c r="AE20" s="210">
        <f t="shared" si="16"/>
        <v>0</v>
      </c>
      <c r="AF20" s="210">
        <f t="shared" si="17"/>
        <v>5.0340277777795563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44467.017361111109</v>
      </c>
      <c r="F21" s="200" t="s">
        <v>116</v>
      </c>
      <c r="G21" s="201">
        <v>152.06100000000001</v>
      </c>
      <c r="H21" s="201">
        <v>150.965</v>
      </c>
      <c r="I21" s="202">
        <f t="shared" si="1"/>
        <v>1.0960000000000036</v>
      </c>
      <c r="J21" s="201">
        <v>158.19999999999999</v>
      </c>
      <c r="K21" s="199">
        <v>44467.648611111108</v>
      </c>
      <c r="L21" s="201">
        <v>151.22999999999999</v>
      </c>
      <c r="M21" s="203">
        <f t="shared" si="2"/>
        <v>-0.83099999999999996</v>
      </c>
      <c r="N21" s="204">
        <f t="shared" si="3"/>
        <v>-0.76</v>
      </c>
      <c r="O21" s="205">
        <f t="shared" si="4"/>
        <v>0</v>
      </c>
      <c r="P21" s="206">
        <f t="shared" si="5"/>
        <v>0</v>
      </c>
      <c r="Q21" s="206">
        <f t="shared" si="6"/>
        <v>-0.76</v>
      </c>
      <c r="R2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103960</v>
      </c>
      <c r="T2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1" s="208">
        <f ca="1">IF(Tabla33610673486[[#This Row],[Equity]]&lt;Tabla33610673486[[#This Row],[Equity Peak]],(Tabla33610673486[[#This Row],[Equity Peak]]-Tabla33610673486[[#This Row],[Equity]])/Tabla33610673486[[#This Row],[Equity Peak]],"")</f>
        <v>2.7138311809844655E-2</v>
      </c>
      <c r="V21" s="209">
        <f t="shared" si="7"/>
        <v>-0.76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0.63124999999854481</v>
      </c>
      <c r="AE21" s="210">
        <f t="shared" si="16"/>
        <v>0</v>
      </c>
      <c r="AF21" s="210">
        <f t="shared" si="17"/>
        <v>0.63124999999854481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44455.333333333336</v>
      </c>
      <c r="F22" s="200" t="s">
        <v>116</v>
      </c>
      <c r="G22" s="201">
        <v>151.185</v>
      </c>
      <c r="H22" s="201">
        <v>152.251</v>
      </c>
      <c r="I22" s="202">
        <f t="shared" si="1"/>
        <v>1.0660000000000025</v>
      </c>
      <c r="J22" s="201">
        <v>145.214</v>
      </c>
      <c r="K22" s="199">
        <v>44462.506249999999</v>
      </c>
      <c r="L22" s="201">
        <v>150.41999999999999</v>
      </c>
      <c r="M22" s="203">
        <f t="shared" si="2"/>
        <v>0.76500000000000001</v>
      </c>
      <c r="N22" s="204">
        <f t="shared" si="3"/>
        <v>0.72</v>
      </c>
      <c r="O22" s="205">
        <f t="shared" si="4"/>
        <v>0</v>
      </c>
      <c r="P22" s="206">
        <f t="shared" si="5"/>
        <v>0.72</v>
      </c>
      <c r="Q22" s="206">
        <f t="shared" si="6"/>
        <v>0</v>
      </c>
      <c r="R2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104720</v>
      </c>
      <c r="T2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2" s="208">
        <f ca="1">IF(Tabla33610673486[[#This Row],[Equity]]&lt;Tabla33610673486[[#This Row],[Equity Peak]],(Tabla33610673486[[#This Row],[Equity Peak]]-Tabla33610673486[[#This Row],[Equity]])/Tabla33610673486[[#This Row],[Equity Peak]],"")</f>
        <v>2.0026202507954331E-2</v>
      </c>
      <c r="V22" s="209">
        <f t="shared" si="7"/>
        <v>0.72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7.1729166666627862</v>
      </c>
      <c r="AE22" s="210">
        <f t="shared" si="16"/>
        <v>7.1729166666627862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44441.666666666664</v>
      </c>
      <c r="F23" s="200" t="s">
        <v>116</v>
      </c>
      <c r="G23" s="201">
        <v>151.69200000000001</v>
      </c>
      <c r="H23" s="201">
        <v>151.00299999999999</v>
      </c>
      <c r="I23" s="202">
        <f t="shared" si="1"/>
        <v>0.68900000000002137</v>
      </c>
      <c r="J23" s="201">
        <v>155.55000000000001</v>
      </c>
      <c r="K23" s="199">
        <v>44453.729861111111</v>
      </c>
      <c r="L23" s="201">
        <v>152.04599999999999</v>
      </c>
      <c r="M23" s="203">
        <f t="shared" si="2"/>
        <v>0.35399999999999998</v>
      </c>
      <c r="N23" s="204">
        <f t="shared" si="3"/>
        <v>0.51</v>
      </c>
      <c r="O23" s="205">
        <f t="shared" si="4"/>
        <v>0</v>
      </c>
      <c r="P23" s="206">
        <f t="shared" si="5"/>
        <v>0.51</v>
      </c>
      <c r="Q23" s="206">
        <f t="shared" si="6"/>
        <v>0</v>
      </c>
      <c r="R2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104000</v>
      </c>
      <c r="T2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3" s="208">
        <f ca="1">IF(Tabla33610673486[[#This Row],[Equity]]&lt;Tabla33610673486[[#This Row],[Equity Peak]],(Tabla33610673486[[#This Row],[Equity Peak]]-Tabla33610673486[[#This Row],[Equity]])/Tabla33610673486[[#This Row],[Equity Peak]],"")</f>
        <v>2.6763990267639901E-2</v>
      </c>
      <c r="V23" s="209">
        <f t="shared" si="7"/>
        <v>0.51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12.063194444446708</v>
      </c>
      <c r="AE23" s="210">
        <f t="shared" si="16"/>
        <v>12.063194444446708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44424.333333333336</v>
      </c>
      <c r="F24" s="200" t="s">
        <v>116</v>
      </c>
      <c r="G24" s="201">
        <v>151.63300000000001</v>
      </c>
      <c r="H24" s="201">
        <v>152.50899999999999</v>
      </c>
      <c r="I24" s="202">
        <f t="shared" si="1"/>
        <v>0.87599999999997635</v>
      </c>
      <c r="J24" s="201">
        <v>146.72999999999999</v>
      </c>
      <c r="K24" s="199">
        <v>44426.875</v>
      </c>
      <c r="L24" s="201">
        <v>151.374</v>
      </c>
      <c r="M24" s="203">
        <f t="shared" si="2"/>
        <v>0.25900000000000001</v>
      </c>
      <c r="N24" s="204">
        <f t="shared" si="3"/>
        <v>0.3</v>
      </c>
      <c r="O24" s="205">
        <f t="shared" si="4"/>
        <v>0</v>
      </c>
      <c r="P24" s="206">
        <f t="shared" si="5"/>
        <v>0.3</v>
      </c>
      <c r="Q24" s="206">
        <f t="shared" si="6"/>
        <v>0</v>
      </c>
      <c r="R2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103490</v>
      </c>
      <c r="T2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4" s="208">
        <f ca="1">IF(Tabla33610673486[[#This Row],[Equity]]&lt;Tabla33610673486[[#This Row],[Equity Peak]],(Tabla33610673486[[#This Row],[Equity Peak]]-Tabla33610673486[[#This Row],[Equity]])/Tabla33610673486[[#This Row],[Equity Peak]],"")</f>
        <v>3.1536589930750515E-2</v>
      </c>
      <c r="V24" s="209">
        <f t="shared" si="7"/>
        <v>0.3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2.5416666666642413</v>
      </c>
      <c r="AE24" s="210">
        <f t="shared" si="16"/>
        <v>2.5416666666642413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44414.166666666664</v>
      </c>
      <c r="F25" s="200" t="s">
        <v>116</v>
      </c>
      <c r="G25" s="201">
        <v>152.92699999999999</v>
      </c>
      <c r="H25" s="201">
        <v>151.809</v>
      </c>
      <c r="I25" s="202">
        <f t="shared" si="1"/>
        <v>1.117999999999995</v>
      </c>
      <c r="J25" s="201">
        <v>159.18899999999999</v>
      </c>
      <c r="K25" s="199">
        <v>44420.881249999999</v>
      </c>
      <c r="L25" s="201">
        <v>152.44399999999999</v>
      </c>
      <c r="M25" s="203">
        <f t="shared" si="2"/>
        <v>-0.48299999999999998</v>
      </c>
      <c r="N25" s="204">
        <f t="shared" si="3"/>
        <v>-0.43</v>
      </c>
      <c r="O25" s="205">
        <f t="shared" si="4"/>
        <v>0</v>
      </c>
      <c r="P25" s="206">
        <f t="shared" si="5"/>
        <v>0</v>
      </c>
      <c r="Q25" s="206">
        <f t="shared" si="6"/>
        <v>-0.43</v>
      </c>
      <c r="R2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103190</v>
      </c>
      <c r="T2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5" s="208">
        <f ca="1">IF(Tabla33610673486[[#This Row],[Equity]]&lt;Tabla33610673486[[#This Row],[Equity Peak]],(Tabla33610673486[[#This Row],[Equity Peak]]-Tabla33610673486[[#This Row],[Equity]])/Tabla33610673486[[#This Row],[Equity Peak]],"")</f>
        <v>3.434400149728617E-2</v>
      </c>
      <c r="V25" s="209">
        <f t="shared" si="7"/>
        <v>-0.43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6.7145833333343035</v>
      </c>
      <c r="AE25" s="210">
        <f t="shared" si="16"/>
        <v>0</v>
      </c>
      <c r="AF25" s="210">
        <f t="shared" si="17"/>
        <v>6.7145833333343035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44411.333333333336</v>
      </c>
      <c r="F26" s="200" t="s">
        <v>116</v>
      </c>
      <c r="G26" s="201">
        <v>151.709</v>
      </c>
      <c r="H26" s="201">
        <v>152.738</v>
      </c>
      <c r="I26" s="202">
        <f t="shared" si="1"/>
        <v>1.0289999999999964</v>
      </c>
      <c r="J26" s="201">
        <v>145.94499999999999</v>
      </c>
      <c r="K26" s="199">
        <v>44413.711111111108</v>
      </c>
      <c r="L26" s="201">
        <v>152.738</v>
      </c>
      <c r="M26" s="203">
        <f t="shared" si="2"/>
        <v>-1.0289999999999999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103620</v>
      </c>
      <c r="T2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6" s="208">
        <f ca="1">IF(Tabla33610673486[[#This Row],[Equity]]&lt;Tabla33610673486[[#This Row],[Equity Peak]],(Tabla33610673486[[#This Row],[Equity Peak]]-Tabla33610673486[[#This Row],[Equity]])/Tabla33610673486[[#This Row],[Equity Peak]],"")</f>
        <v>3.0320044918585063E-2</v>
      </c>
      <c r="V26" s="209">
        <f t="shared" si="7"/>
        <v>-1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2.3777777777722804</v>
      </c>
      <c r="AE26" s="210">
        <f t="shared" si="16"/>
        <v>0</v>
      </c>
      <c r="AF26" s="210">
        <f t="shared" si="17"/>
        <v>2.3777777777722804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44406.166666666664</v>
      </c>
      <c r="F27" s="200" t="s">
        <v>116</v>
      </c>
      <c r="G27" s="201">
        <v>152.608</v>
      </c>
      <c r="H27" s="201">
        <v>151.54400000000001</v>
      </c>
      <c r="I27" s="202">
        <f t="shared" si="1"/>
        <v>1.063999999999993</v>
      </c>
      <c r="J27" s="201">
        <v>158.56800000000001</v>
      </c>
      <c r="K27" s="199">
        <v>44410.629861111112</v>
      </c>
      <c r="L27" s="201">
        <v>152.126</v>
      </c>
      <c r="M27" s="203">
        <f t="shared" si="2"/>
        <v>-0.48199999999999998</v>
      </c>
      <c r="N27" s="204">
        <f t="shared" si="3"/>
        <v>-0.45</v>
      </c>
      <c r="O27" s="205">
        <f t="shared" si="4"/>
        <v>0</v>
      </c>
      <c r="P27" s="206">
        <f t="shared" si="5"/>
        <v>0</v>
      </c>
      <c r="Q27" s="206">
        <f t="shared" si="6"/>
        <v>-0.45</v>
      </c>
      <c r="R2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104620</v>
      </c>
      <c r="T2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7" s="208">
        <f ca="1">IF(Tabla33610673486[[#This Row],[Equity]]&lt;Tabla33610673486[[#This Row],[Equity Peak]],(Tabla33610673486[[#This Row],[Equity Peak]]-Tabla33610673486[[#This Row],[Equity]])/Tabla33610673486[[#This Row],[Equity Peak]],"")</f>
        <v>2.0962006363466217E-2</v>
      </c>
      <c r="V27" s="209">
        <f t="shared" si="7"/>
        <v>-0.45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4.4631944444481633</v>
      </c>
      <c r="AE27" s="210">
        <f t="shared" si="16"/>
        <v>0</v>
      </c>
      <c r="AF27" s="210">
        <f t="shared" si="17"/>
        <v>4.4631944444481633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44372.5</v>
      </c>
      <c r="F28" s="200" t="s">
        <v>116</v>
      </c>
      <c r="G28" s="201">
        <v>154.03299999999999</v>
      </c>
      <c r="H28" s="201">
        <v>155.005</v>
      </c>
      <c r="I28" s="202">
        <f t="shared" si="1"/>
        <v>0.97200000000000841</v>
      </c>
      <c r="J28" s="201">
        <v>148.58799999999999</v>
      </c>
      <c r="K28" s="199">
        <v>44377.95416666667</v>
      </c>
      <c r="L28" s="201">
        <v>153.684</v>
      </c>
      <c r="M28" s="203">
        <f t="shared" si="2"/>
        <v>0.34899999999999998</v>
      </c>
      <c r="N28" s="204">
        <f t="shared" si="3"/>
        <v>0.36</v>
      </c>
      <c r="O28" s="205">
        <f t="shared" si="4"/>
        <v>0</v>
      </c>
      <c r="P28" s="206">
        <f t="shared" si="5"/>
        <v>0.36</v>
      </c>
      <c r="Q28" s="206">
        <f t="shared" si="6"/>
        <v>0</v>
      </c>
      <c r="R2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105070</v>
      </c>
      <c r="T2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8" s="208">
        <f ca="1">IF(Tabla33610673486[[#This Row],[Equity]]&lt;Tabla33610673486[[#This Row],[Equity Peak]],(Tabla33610673486[[#This Row],[Equity Peak]]-Tabla33610673486[[#This Row],[Equity]])/Tabla33610673486[[#This Row],[Equity Peak]],"")</f>
        <v>1.6750889013662736E-2</v>
      </c>
      <c r="V28" s="209">
        <f t="shared" si="7"/>
        <v>0.36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5.4541666666700621</v>
      </c>
      <c r="AE28" s="210">
        <f t="shared" si="16"/>
        <v>5.4541666666700621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44371.5</v>
      </c>
      <c r="F29" s="200" t="s">
        <v>116</v>
      </c>
      <c r="G29" s="201">
        <v>154.90199999999999</v>
      </c>
      <c r="H29" s="201">
        <v>153.977</v>
      </c>
      <c r="I29" s="202">
        <f t="shared" si="1"/>
        <v>0.92499999999998295</v>
      </c>
      <c r="J29" s="201">
        <v>160.083</v>
      </c>
      <c r="K29" s="199">
        <v>44371.62777777778</v>
      </c>
      <c r="L29" s="201">
        <v>153.977</v>
      </c>
      <c r="M29" s="203">
        <f t="shared" si="2"/>
        <v>-0.92500000000000004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104710</v>
      </c>
      <c r="T2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29" s="208">
        <f ca="1">IF(Tabla33610673486[[#This Row],[Equity]]&lt;Tabla33610673486[[#This Row],[Equity Peak]],(Tabla33610673486[[#This Row],[Equity Peak]]-Tabla33610673486[[#This Row],[Equity]])/Tabla33610673486[[#This Row],[Equity Peak]],"")</f>
        <v>2.0119782893505522E-2</v>
      </c>
      <c r="V29" s="209">
        <f t="shared" si="7"/>
        <v>-1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0.12777777777955635</v>
      </c>
      <c r="AE29" s="210">
        <f t="shared" si="16"/>
        <v>0</v>
      </c>
      <c r="AF29" s="210">
        <f t="shared" si="17"/>
        <v>0.12777777777955635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ref="D30:D39" si="19">IF(E30&lt;&gt;"",IF(K30&lt;&gt;"","C","O"),"")</f>
        <v>C</v>
      </c>
      <c r="E30" s="199">
        <v>44365.017361111109</v>
      </c>
      <c r="F30" s="200" t="s">
        <v>116</v>
      </c>
      <c r="G30" s="201">
        <v>153.48099999999999</v>
      </c>
      <c r="H30" s="201">
        <v>154.64099999999999</v>
      </c>
      <c r="I30" s="202">
        <f t="shared" ref="I30:I39" si="20">ABS(G30-H30)</f>
        <v>1.1599999999999966</v>
      </c>
      <c r="J30" s="201">
        <v>146.98400000000001</v>
      </c>
      <c r="K30" s="199">
        <v>44368.84652777778</v>
      </c>
      <c r="L30" s="201">
        <v>153.488</v>
      </c>
      <c r="M30" s="203">
        <f t="shared" ref="M30:M39" si="21">ROUND(IF(C30="L",(L30-G30),(G30-L30)),4)</f>
        <v>-7.0000000000000001E-3</v>
      </c>
      <c r="N30" s="204">
        <f t="shared" ref="N30:N39" si="22">IFERROR(ROUND((M30/I30),2),"")</f>
        <v>-0.01</v>
      </c>
      <c r="O30" s="205">
        <f t="shared" ref="O30:O39" si="23">IF(D30="O",IF(N30&lt;0,N30,0),0)</f>
        <v>0</v>
      </c>
      <c r="P30" s="206">
        <f t="shared" ref="P30:P39" si="24">IF(N30&gt;= 0,N30,0)</f>
        <v>0</v>
      </c>
      <c r="Q30" s="206">
        <f t="shared" ref="Q30:Q39" si="25">IF(N30&lt;0,N30,0)</f>
        <v>-0.01</v>
      </c>
      <c r="R3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105710</v>
      </c>
      <c r="T3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0" s="208">
        <f ca="1">IF(Tabla33610673486[[#This Row],[Equity]]&lt;Tabla33610673486[[#This Row],[Equity Peak]],(Tabla33610673486[[#This Row],[Equity Peak]]-Tabla33610673486[[#This Row],[Equity]])/Tabla33610673486[[#This Row],[Equity Peak]],"")</f>
        <v>1.0761744338386675E-2</v>
      </c>
      <c r="V30" s="209">
        <f t="shared" ref="V30:V39" si="26">IF(B30="FX",N30,0)</f>
        <v>-0.01</v>
      </c>
      <c r="W30" s="209">
        <f t="shared" ref="W30:W39" si="27">IF(D30="O",IF(V30&lt;0,V30,0),0)</f>
        <v>0</v>
      </c>
      <c r="X30" s="209">
        <f t="shared" ref="X30:X39" si="28">IF(B30="COM",N30,0)</f>
        <v>0</v>
      </c>
      <c r="Y30" s="209">
        <f t="shared" ref="Y30:Y39" si="29">IF(D30="O",IF(X30&lt;0,X30,0),0)</f>
        <v>0</v>
      </c>
      <c r="Z30" s="209">
        <f t="shared" ref="Z30:Z39" si="30">IF(B30="IND",N30,0)</f>
        <v>0</v>
      </c>
      <c r="AA30" s="205">
        <f t="shared" ref="AA30:AA39" si="31">IF(D30="O",IF(Z30&lt;0,Z30,0),0)</f>
        <v>0</v>
      </c>
      <c r="AB30" s="209">
        <f t="shared" ref="AB30:AB39" si="32">IF(B30="CRYPTO",N30,0)</f>
        <v>0</v>
      </c>
      <c r="AC30" s="205">
        <f t="shared" ref="AC30:AC39" si="33">IF(D30="O",IF(AB30&lt;0,AB30,0),0)</f>
        <v>0</v>
      </c>
      <c r="AD30" s="210">
        <f t="shared" ref="AD30:AD39" si="34">IF(K30&lt;&gt;"",K30-E30,0)</f>
        <v>3.8291666666700621</v>
      </c>
      <c r="AE30" s="210">
        <f t="shared" ref="AE30:AE39" si="35">IF(N30&gt;0,AD30,0)</f>
        <v>0</v>
      </c>
      <c r="AF30" s="210">
        <f t="shared" ref="AF30:AF39" si="36">IF(N30&lt;0,AD30,0)</f>
        <v>3.8291666666700621</v>
      </c>
      <c r="AG30" s="210">
        <f t="shared" ref="AG30:AG39" si="37">IF(N30=0,AD30,0)</f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19"/>
        <v>C</v>
      </c>
      <c r="E31" s="199">
        <v>44326.666666666664</v>
      </c>
      <c r="F31" s="200" t="s">
        <v>116</v>
      </c>
      <c r="G31" s="201">
        <v>153.78299999999999</v>
      </c>
      <c r="H31" s="201">
        <v>152.43899999999999</v>
      </c>
      <c r="I31" s="202">
        <f t="shared" si="20"/>
        <v>1.3439999999999941</v>
      </c>
      <c r="J31" s="201">
        <v>161.309</v>
      </c>
      <c r="K31" s="199">
        <v>44335.67291666667</v>
      </c>
      <c r="L31" s="201">
        <v>153.959</v>
      </c>
      <c r="M31" s="203">
        <f t="shared" si="21"/>
        <v>0.17599999999999999</v>
      </c>
      <c r="N31" s="204">
        <f t="shared" si="22"/>
        <v>0.13</v>
      </c>
      <c r="O31" s="205">
        <f t="shared" si="23"/>
        <v>0</v>
      </c>
      <c r="P31" s="206">
        <f t="shared" si="24"/>
        <v>0.13</v>
      </c>
      <c r="Q31" s="206">
        <f t="shared" si="25"/>
        <v>0</v>
      </c>
      <c r="R3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105720</v>
      </c>
      <c r="T3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1" s="208">
        <f ca="1">IF(Tabla33610673486[[#This Row],[Equity]]&lt;Tabla33610673486[[#This Row],[Equity Peak]],(Tabla33610673486[[#This Row],[Equity Peak]]-Tabla33610673486[[#This Row],[Equity]])/Tabla33610673486[[#This Row],[Equity Peak]],"")</f>
        <v>1.0668163952835485E-2</v>
      </c>
      <c r="V31" s="209">
        <f t="shared" si="26"/>
        <v>0.13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9.0062500000058208</v>
      </c>
      <c r="AE31" s="210">
        <f t="shared" si="35"/>
        <v>9.0062500000058208</v>
      </c>
      <c r="AF31" s="210">
        <f t="shared" si="36"/>
        <v>0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44314.666666666664</v>
      </c>
      <c r="F32" s="200" t="s">
        <v>116</v>
      </c>
      <c r="G32" s="201">
        <v>151.12200000000001</v>
      </c>
      <c r="H32" s="201">
        <v>150.23599999999999</v>
      </c>
      <c r="I32" s="202">
        <f t="shared" si="20"/>
        <v>0.8860000000000241</v>
      </c>
      <c r="J32" s="201">
        <v>156.08099999999999</v>
      </c>
      <c r="K32" s="199">
        <v>44316.756249999999</v>
      </c>
      <c r="L32" s="201">
        <v>151.00399999999999</v>
      </c>
      <c r="M32" s="203">
        <f t="shared" si="21"/>
        <v>-0.11799999999999999</v>
      </c>
      <c r="N32" s="204">
        <f t="shared" si="22"/>
        <v>-0.13</v>
      </c>
      <c r="O32" s="205">
        <f t="shared" si="23"/>
        <v>0</v>
      </c>
      <c r="P32" s="206">
        <f t="shared" si="24"/>
        <v>0</v>
      </c>
      <c r="Q32" s="206">
        <f t="shared" si="25"/>
        <v>-0.13</v>
      </c>
      <c r="R3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105590</v>
      </c>
      <c r="T3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2" s="208">
        <f ca="1">IF(Tabla33610673486[[#This Row],[Equity]]&lt;Tabla33610673486[[#This Row],[Equity Peak]],(Tabla33610673486[[#This Row],[Equity Peak]]-Tabla33610673486[[#This Row],[Equity]])/Tabla33610673486[[#This Row],[Equity Peak]],"")</f>
        <v>1.1884708965000936E-2</v>
      </c>
      <c r="V32" s="209">
        <f t="shared" si="26"/>
        <v>-0.13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2.0895833333343035</v>
      </c>
      <c r="AE32" s="210">
        <f t="shared" si="35"/>
        <v>0</v>
      </c>
      <c r="AF32" s="210">
        <f t="shared" si="36"/>
        <v>2.0895833333343035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19"/>
        <v>C</v>
      </c>
      <c r="E33" s="199">
        <v>44307.333333333336</v>
      </c>
      <c r="F33" s="200" t="s">
        <v>116</v>
      </c>
      <c r="G33" s="201">
        <v>150.41999999999999</v>
      </c>
      <c r="H33" s="201">
        <v>151.41</v>
      </c>
      <c r="I33" s="202">
        <f t="shared" si="20"/>
        <v>0.99000000000000909</v>
      </c>
      <c r="J33" s="201">
        <v>144.876</v>
      </c>
      <c r="K33" s="199">
        <v>44313.558333333334</v>
      </c>
      <c r="L33" s="201">
        <v>150.53899999999999</v>
      </c>
      <c r="M33" s="203">
        <f t="shared" si="21"/>
        <v>-0.11899999999999999</v>
      </c>
      <c r="N33" s="204">
        <f t="shared" si="22"/>
        <v>-0.12</v>
      </c>
      <c r="O33" s="205">
        <f t="shared" si="23"/>
        <v>0</v>
      </c>
      <c r="P33" s="206">
        <f t="shared" si="24"/>
        <v>0</v>
      </c>
      <c r="Q33" s="206">
        <f t="shared" si="25"/>
        <v>-0.12</v>
      </c>
      <c r="R3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105720</v>
      </c>
      <c r="T3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3" s="208">
        <f ca="1">IF(Tabla33610673486[[#This Row],[Equity]]&lt;Tabla33610673486[[#This Row],[Equity Peak]],(Tabla33610673486[[#This Row],[Equity Peak]]-Tabla33610673486[[#This Row],[Equity]])/Tabla33610673486[[#This Row],[Equity Peak]],"")</f>
        <v>1.0668163952835485E-2</v>
      </c>
      <c r="V33" s="209">
        <f t="shared" si="26"/>
        <v>-0.12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6.2249999999985448</v>
      </c>
      <c r="AE33" s="210">
        <f t="shared" si="35"/>
        <v>0</v>
      </c>
      <c r="AF33" s="210">
        <f t="shared" si="36"/>
        <v>6.2249999999985448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44306.666666666664</v>
      </c>
      <c r="F34" s="200" t="s">
        <v>116</v>
      </c>
      <c r="G34" s="201">
        <v>151.39099999999999</v>
      </c>
      <c r="H34" s="201">
        <v>150.15</v>
      </c>
      <c r="I34" s="202">
        <f t="shared" si="20"/>
        <v>1.2409999999999854</v>
      </c>
      <c r="J34" s="201">
        <v>158.34200000000001</v>
      </c>
      <c r="K34" s="199">
        <v>44307.333333333336</v>
      </c>
      <c r="L34" s="201">
        <v>150.41999999999999</v>
      </c>
      <c r="M34" s="203">
        <f t="shared" si="21"/>
        <v>-0.97099999999999997</v>
      </c>
      <c r="N34" s="204">
        <f t="shared" si="22"/>
        <v>-0.78</v>
      </c>
      <c r="O34" s="205">
        <f t="shared" si="23"/>
        <v>0</v>
      </c>
      <c r="P34" s="206">
        <f t="shared" si="24"/>
        <v>0</v>
      </c>
      <c r="Q34" s="206">
        <f t="shared" si="25"/>
        <v>-0.78</v>
      </c>
      <c r="R3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105840</v>
      </c>
      <c r="T3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4" s="208">
        <f ca="1">IF(Tabla33610673486[[#This Row],[Equity]]&lt;Tabla33610673486[[#This Row],[Equity Peak]],(Tabla33610673486[[#This Row],[Equity Peak]]-Tabla33610673486[[#This Row],[Equity]])/Tabla33610673486[[#This Row],[Equity Peak]],"")</f>
        <v>9.5451993262212244E-3</v>
      </c>
      <c r="V34" s="209">
        <f t="shared" si="26"/>
        <v>-0.78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0.66666666667151731</v>
      </c>
      <c r="AE34" s="210">
        <f t="shared" si="35"/>
        <v>0</v>
      </c>
      <c r="AF34" s="210">
        <f t="shared" si="36"/>
        <v>0.66666666667151731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19"/>
        <v>C</v>
      </c>
      <c r="E35" s="199">
        <v>44295.5</v>
      </c>
      <c r="F35" s="200" t="s">
        <v>116</v>
      </c>
      <c r="G35" s="201">
        <v>150.36600000000001</v>
      </c>
      <c r="H35" s="201">
        <v>151.43199999999999</v>
      </c>
      <c r="I35" s="202">
        <f t="shared" si="20"/>
        <v>1.0659999999999741</v>
      </c>
      <c r="J35" s="201">
        <v>144.399</v>
      </c>
      <c r="K35" s="199">
        <v>44302.995833333334</v>
      </c>
      <c r="L35" s="201">
        <v>150.62100000000001</v>
      </c>
      <c r="M35" s="203">
        <f t="shared" si="21"/>
        <v>-0.255</v>
      </c>
      <c r="N35" s="204">
        <f t="shared" si="22"/>
        <v>-0.24</v>
      </c>
      <c r="O35" s="205">
        <f t="shared" si="23"/>
        <v>0</v>
      </c>
      <c r="P35" s="206">
        <f t="shared" si="24"/>
        <v>0</v>
      </c>
      <c r="Q35" s="206">
        <f t="shared" si="25"/>
        <v>-0.24</v>
      </c>
      <c r="R3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106620</v>
      </c>
      <c r="T3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5" s="208">
        <f ca="1">IF(Tabla33610673486[[#This Row],[Equity]]&lt;Tabla33610673486[[#This Row],[Equity Peak]],(Tabla33610673486[[#This Row],[Equity Peak]]-Tabla33610673486[[#This Row],[Equity]])/Tabla33610673486[[#This Row],[Equity Peak]],"")</f>
        <v>2.2459292532285235E-3</v>
      </c>
      <c r="V35" s="209">
        <f t="shared" si="26"/>
        <v>-0.24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7.4958333333343035</v>
      </c>
      <c r="AE35" s="210">
        <f t="shared" si="35"/>
        <v>0</v>
      </c>
      <c r="AF35" s="210">
        <f t="shared" si="36"/>
        <v>7.4958333333343035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44281.333333333336</v>
      </c>
      <c r="F36" s="200" t="s">
        <v>116</v>
      </c>
      <c r="G36" s="201">
        <v>150.36099999999999</v>
      </c>
      <c r="H36" s="201">
        <v>149.339</v>
      </c>
      <c r="I36" s="202">
        <f t="shared" si="20"/>
        <v>1.0219999999999914</v>
      </c>
      <c r="J36" s="201">
        <v>156.08600000000001</v>
      </c>
      <c r="K36" s="199">
        <v>44292.619444444441</v>
      </c>
      <c r="L36" s="201">
        <v>152.57900000000001</v>
      </c>
      <c r="M36" s="203">
        <f t="shared" si="21"/>
        <v>2.218</v>
      </c>
      <c r="N36" s="204">
        <f t="shared" si="22"/>
        <v>2.17</v>
      </c>
      <c r="O36" s="205">
        <f t="shared" si="23"/>
        <v>0</v>
      </c>
      <c r="P36" s="206">
        <f t="shared" si="24"/>
        <v>2.17</v>
      </c>
      <c r="Q36" s="206">
        <f t="shared" si="25"/>
        <v>0</v>
      </c>
      <c r="R3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106860</v>
      </c>
      <c r="T3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106860</v>
      </c>
      <c r="U36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6" s="209">
        <f t="shared" si="26"/>
        <v>2.17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11.286111111105129</v>
      </c>
      <c r="AE36" s="210">
        <f t="shared" si="35"/>
        <v>11.286111111105129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19"/>
        <v>C</v>
      </c>
      <c r="E37" s="199">
        <v>44280.166666666664</v>
      </c>
      <c r="F37" s="200" t="s">
        <v>116</v>
      </c>
      <c r="G37" s="201">
        <v>149.12899999999999</v>
      </c>
      <c r="H37" s="201">
        <v>150.50800000000001</v>
      </c>
      <c r="I37" s="202">
        <f t="shared" si="20"/>
        <v>1.3790000000000191</v>
      </c>
      <c r="J37" s="201">
        <v>141.40899999999999</v>
      </c>
      <c r="K37" s="199">
        <v>44281.333333333336</v>
      </c>
      <c r="L37" s="201">
        <v>150.36099999999999</v>
      </c>
      <c r="M37" s="203">
        <f t="shared" si="21"/>
        <v>-1.232</v>
      </c>
      <c r="N37" s="204">
        <f t="shared" si="22"/>
        <v>-0.89</v>
      </c>
      <c r="O37" s="205">
        <f t="shared" si="23"/>
        <v>0</v>
      </c>
      <c r="P37" s="206">
        <f t="shared" si="24"/>
        <v>0</v>
      </c>
      <c r="Q37" s="206">
        <f t="shared" si="25"/>
        <v>-0.89</v>
      </c>
      <c r="R3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104690</v>
      </c>
      <c r="T3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105580</v>
      </c>
      <c r="U37" s="208">
        <f ca="1">IF(Tabla33610673486[[#This Row],[Equity]]&lt;Tabla33610673486[[#This Row],[Equity Peak]],(Tabla33610673486[[#This Row],[Equity Peak]]-Tabla33610673486[[#This Row],[Equity]])/Tabla33610673486[[#This Row],[Equity Peak]],"")</f>
        <v>8.429626823261982E-3</v>
      </c>
      <c r="V37" s="209">
        <f t="shared" si="26"/>
        <v>-0.89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1.1666666666715173</v>
      </c>
      <c r="AE37" s="210">
        <f t="shared" si="35"/>
        <v>0</v>
      </c>
      <c r="AF37" s="210">
        <f t="shared" si="36"/>
        <v>1.1666666666715173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19"/>
        <v>C</v>
      </c>
      <c r="E38" s="199">
        <v>44224.833333333336</v>
      </c>
      <c r="F38" s="200" t="s">
        <v>116</v>
      </c>
      <c r="G38" s="201">
        <v>143.13999999999999</v>
      </c>
      <c r="H38" s="201">
        <v>142.214</v>
      </c>
      <c r="I38" s="202">
        <f t="shared" si="20"/>
        <v>0.92599999999998772</v>
      </c>
      <c r="J38" s="201">
        <v>148.32400000000001</v>
      </c>
      <c r="K38" s="199">
        <v>44250.495833333334</v>
      </c>
      <c r="L38" s="201">
        <v>148.32400000000001</v>
      </c>
      <c r="M38" s="203">
        <f t="shared" si="21"/>
        <v>5.1840000000000002</v>
      </c>
      <c r="N38" s="204">
        <f t="shared" si="22"/>
        <v>5.6</v>
      </c>
      <c r="O38" s="205">
        <f t="shared" si="23"/>
        <v>0</v>
      </c>
      <c r="P38" s="206">
        <f t="shared" si="24"/>
        <v>5.6</v>
      </c>
      <c r="Q38" s="206">
        <f t="shared" si="25"/>
        <v>0</v>
      </c>
      <c r="R3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105580</v>
      </c>
      <c r="T3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105580</v>
      </c>
      <c r="U38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8" s="209">
        <f t="shared" si="26"/>
        <v>5.6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25.662499999998545</v>
      </c>
      <c r="AE38" s="210">
        <f t="shared" si="35"/>
        <v>25.662499999998545</v>
      </c>
      <c r="AF38" s="210">
        <f t="shared" si="36"/>
        <v>0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19"/>
        <v>C</v>
      </c>
      <c r="E39" s="199">
        <v>44188.833333333336</v>
      </c>
      <c r="F39" s="200" t="s">
        <v>116</v>
      </c>
      <c r="G39" s="201">
        <v>139.69</v>
      </c>
      <c r="H39" s="201">
        <v>138.26599999999999</v>
      </c>
      <c r="I39" s="202">
        <f t="shared" si="20"/>
        <v>1.4240000000000066</v>
      </c>
      <c r="J39" s="201">
        <v>147.66300000000001</v>
      </c>
      <c r="K39" s="199">
        <v>44201.412499999999</v>
      </c>
      <c r="L39" s="201">
        <v>139.66</v>
      </c>
      <c r="M39" s="203">
        <f t="shared" si="21"/>
        <v>-0.03</v>
      </c>
      <c r="N39" s="204">
        <f t="shared" si="22"/>
        <v>-0.02</v>
      </c>
      <c r="O39" s="205">
        <f t="shared" si="23"/>
        <v>0</v>
      </c>
      <c r="P39" s="206">
        <f t="shared" si="24"/>
        <v>0</v>
      </c>
      <c r="Q39" s="206">
        <f t="shared" si="25"/>
        <v>-0.02</v>
      </c>
      <c r="R3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3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99980</v>
      </c>
      <c r="T3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100000</v>
      </c>
      <c r="U39" s="208">
        <f ca="1">IF(Tabla33610673486[[#This Row],[Equity]]&lt;Tabla33610673486[[#This Row],[Equity Peak]],(Tabla33610673486[[#This Row],[Equity Peak]]-Tabla33610673486[[#This Row],[Equity]])/Tabla33610673486[[#This Row],[Equity Peak]],"")</f>
        <v>2.0000000000000001E-4</v>
      </c>
      <c r="V39" s="209">
        <f t="shared" si="26"/>
        <v>-0.02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12.579166666662786</v>
      </c>
      <c r="AE39" s="210">
        <f t="shared" si="35"/>
        <v>0</v>
      </c>
      <c r="AF39" s="210">
        <f t="shared" si="36"/>
        <v>12.579166666662786</v>
      </c>
      <c r="AG39" s="210">
        <f t="shared" si="37"/>
        <v>0</v>
      </c>
    </row>
  </sheetData>
  <sheetProtection algorithmName="SHA-512" hashValue="3CJymcWM0AJ9GERIL2E0g8Je5/2j/GI7aedaDxfADxNyXlYY6Zg+VYDs4lYVa05l6kVXe7mQFkwNGC+x81tbmg==" saltValue="EgONuV/ueTQL9iAXk8yYR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87" priority="3" operator="equal">
      <formula>"OK"</formula>
    </cfRule>
    <cfRule type="cellIs" dxfId="586" priority="4" operator="equal">
      <formula>"warning"</formula>
    </cfRule>
  </conditionalFormatting>
  <conditionalFormatting sqref="F13">
    <cfRule type="cellIs" dxfId="585" priority="1" operator="equal">
      <formula>"OK"</formula>
    </cfRule>
    <cfRule type="cellIs" dxfId="584" priority="2" operator="equal">
      <formula>"Error!!"</formula>
    </cfRule>
  </conditionalFormatting>
  <conditionalFormatting sqref="E15:H15 K15:L15">
    <cfRule type="expression" dxfId="583" priority="5">
      <formula>+$D15=#REF!</formula>
    </cfRule>
    <cfRule type="expression" dxfId="582" priority="6">
      <formula>+$D15=#REF!</formula>
    </cfRule>
  </conditionalFormatting>
  <conditionalFormatting sqref="D15 K16:L16 D16:H39 J17:L39">
    <cfRule type="expression" dxfId="581" priority="7">
      <formula>+$D15=$AG$8</formula>
    </cfRule>
    <cfRule type="expression" dxfId="58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B7F42FF-7086-4118-9F61-EE48B144E201}">
      <formula1>$AE$4:$AE$6</formula1>
    </dataValidation>
    <dataValidation type="list" allowBlank="1" showInputMessage="1" showErrorMessage="1" promptTitle="Trade Direction" prompt="Select from List" sqref="C15:C16" xr:uid="{1AE83EB6-FD86-48DD-9F5C-0A4E901AA529}">
      <formula1>$AG$4:$AG$5</formula1>
    </dataValidation>
    <dataValidation type="list" allowBlank="1" showInputMessage="1" showErrorMessage="1" promptTitle="Instrument Type" prompt="Select Type from List_x000a_" sqref="B17:B39" xr:uid="{57BDEC59-C494-4F9E-9F44-5589DAAA689D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5ADB-F431-46BF-AD09-C633174D4314}">
  <sheetPr codeName="Hoja24">
    <pageSetUpPr fitToPage="1"/>
  </sheetPr>
  <dimension ref="A1:AX31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COUNTA(Tabla336106734818[Inst])</f>
        <v>15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7.5900000000000007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7.5900000000000007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COUNTIF(Tabla336106734818[No. of Rs],"&gt;0")</f>
        <v>8</v>
      </c>
      <c r="G7" s="24">
        <f>IFERROR((F7/$F$6),"")</f>
        <v>0.53333333333333333</v>
      </c>
      <c r="H7" s="78">
        <f>IFERROR((+P13/F7),"")</f>
        <v>1.7250000000000001</v>
      </c>
      <c r="I7" s="227">
        <f>H7/H9</f>
        <v>1.9444444444444446</v>
      </c>
      <c r="J7" s="227">
        <f>AVERAGE(Tabla336106734818[No. of Rs])</f>
        <v>0.50600000000000001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COUNTIF(Tabla336106734818[No.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OFFSET(Tabla336106734818[[#Headers],[Equity]],1,0)</f>
        <v>107590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COUNTIF(Tabla336106734818[No. of Rs],"&lt;0")</f>
        <v>7</v>
      </c>
      <c r="G9" s="32">
        <f>IFERROR((F9/$F$6),"")</f>
        <v>0.46666666666666667</v>
      </c>
      <c r="H9" s="79">
        <f>IFERROR((-Q13/F9),"")</f>
        <v>0.88714285714285712</v>
      </c>
      <c r="I9" s="229"/>
      <c r="J9" s="229"/>
      <c r="K9" s="149"/>
      <c r="L9" s="230" t="s">
        <v>106</v>
      </c>
      <c r="M9" s="231"/>
      <c r="N9" s="125">
        <f ca="1">MAX(Tabla336106734818[Drawdown])</f>
        <v>2.2782829764349272E-2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OFFSET(Tabla336106734818[[#Headers],[Drawdown]],1,0)</f>
        <v>9.2089511004696568E-3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IF(COUNTIFS(Tabla336106734818[O/C],"O")&lt;1,"None",COUNTIFS(Tabla336106734818[O/C],"O"))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SUM(Tabla336106734818[No. of Rs])</f>
        <v>7.5900000000000007</v>
      </c>
      <c r="O13" s="42">
        <f>SUM(Tabla336106734818[Heat])</f>
        <v>0</v>
      </c>
      <c r="P13" s="43">
        <f>SUM(Tabla336106734818[[ TR WIN]])</f>
        <v>13.8</v>
      </c>
      <c r="Q13" s="43">
        <f>SUM(Tabla336106734818[[ TR LOSS]])</f>
        <v>-6.21</v>
      </c>
      <c r="R13" s="114"/>
      <c r="S13" s="115"/>
      <c r="T13" s="115"/>
      <c r="U13" s="121"/>
      <c r="V13" s="44">
        <f>SUM(Tabla336106734818[Currency])</f>
        <v>7.5900000000000007</v>
      </c>
      <c r="W13" s="44">
        <f>SUM(Tabla336106734818[Heat3])</f>
        <v>0</v>
      </c>
      <c r="X13" s="44">
        <f>SUM(Tabla336106734818[Commodities])</f>
        <v>0</v>
      </c>
      <c r="Y13" s="44">
        <f>SUM(Tabla336106734818[Heat4])</f>
        <v>0</v>
      </c>
      <c r="Z13" s="44">
        <f>SUM(Tabla336106734818[Index])</f>
        <v>0</v>
      </c>
      <c r="AA13" s="44">
        <f>SUM(Tabla336106734818[Heat5])</f>
        <v>0</v>
      </c>
      <c r="AB13" s="44">
        <f>SUM(Tabla336106734818[Cryptocurrency])</f>
        <v>0</v>
      </c>
      <c r="AC13" s="44">
        <f>SUM(Tabla336106734818[Heat6])</f>
        <v>0</v>
      </c>
      <c r="AD13" s="75">
        <f>AVERAGEIF(Tabla336106734818[Length of 
Trade],"&lt;&gt;0")</f>
        <v>8.4282407407416038</v>
      </c>
      <c r="AE13" s="75">
        <f>AVERAGEIF(Tabla336106734818[Win],"&lt;&gt;0")</f>
        <v>13.73428819444598</v>
      </c>
      <c r="AF13" s="75">
        <f>AVERAGEIF(Tabla336106734818[Loss],"&lt;&gt;0")</f>
        <v>2.3641865079366005</v>
      </c>
      <c r="AG13" s="76" t="e">
        <f>AVERAGEIF(Tabla336106734818[Breakeven],"&lt;&gt;0")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1" si="0">IF(E17&lt;&gt;"",IF(K17&lt;&gt;"","C","O"),"")</f>
        <v>C</v>
      </c>
      <c r="E17" s="199">
        <v>44550.833333333336</v>
      </c>
      <c r="F17" s="200" t="s">
        <v>115</v>
      </c>
      <c r="G17" s="201">
        <v>1.3210299999999999</v>
      </c>
      <c r="H17" s="201">
        <v>1.3310900000000001</v>
      </c>
      <c r="I17" s="202">
        <f t="shared" ref="I17:I31" si="1">ABS(G17-H17)</f>
        <v>1.006000000000018E-2</v>
      </c>
      <c r="J17" s="201">
        <v>1.28081</v>
      </c>
      <c r="K17" s="199">
        <v>44552.531944444447</v>
      </c>
      <c r="L17" s="201">
        <v>1.3310900000000001</v>
      </c>
      <c r="M17" s="203">
        <f t="shared" ref="M17:M31" si="2">ROUND(IF(C17="L",(L17-G17),(G17-L17)),4)</f>
        <v>-1.01E-2</v>
      </c>
      <c r="N17" s="204">
        <f t="shared" ref="N17:N31" si="3">IFERROR(ROUND((M17/I17),2),"")</f>
        <v>-1</v>
      </c>
      <c r="O17" s="205">
        <f t="shared" ref="O17:O31" si="4">IF(D17="O",IF(N17&lt;0,N17,0),0)</f>
        <v>0</v>
      </c>
      <c r="P17" s="206">
        <f t="shared" ref="P17:P31" si="5">IF(N17&gt;= 0,N17,0)</f>
        <v>0</v>
      </c>
      <c r="Q17" s="206">
        <f t="shared" ref="Q17:Q31" si="6">IF(N17&lt;0,N17,0)</f>
        <v>-1</v>
      </c>
      <c r="R17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7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107590</v>
      </c>
      <c r="T17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108590</v>
      </c>
      <c r="U17" s="208">
        <f ca="1">IF(Tabla336106734818[[#This Row],[Equity]]&lt;Tabla336106734818[[#This Row],[Equity Peak]],(Tabla336106734818[[#This Row],[Equity Peak]]-Tabla336106734818[[#This Row],[Equity]])/Tabla336106734818[[#This Row],[Equity Peak]],"")</f>
        <v>9.2089511004696568E-3</v>
      </c>
      <c r="V17" s="209">
        <f t="shared" ref="V17:V31" si="7">IF(B17="FX",N17,0)</f>
        <v>-1</v>
      </c>
      <c r="W17" s="209">
        <f t="shared" ref="W17:W31" si="8">IF(D17="O",IF(V17&lt;0,V17,0),0)</f>
        <v>0</v>
      </c>
      <c r="X17" s="209">
        <f t="shared" ref="X17:X31" si="9">IF(B17="COM",N17,0)</f>
        <v>0</v>
      </c>
      <c r="Y17" s="209">
        <f t="shared" ref="Y17:Y31" si="10">IF(D17="O",IF(X17&lt;0,X17,0),0)</f>
        <v>0</v>
      </c>
      <c r="Z17" s="209">
        <f t="shared" ref="Z17:Z31" si="11">IF(B17="IND",N17,0)</f>
        <v>0</v>
      </c>
      <c r="AA17" s="205">
        <f t="shared" ref="AA17:AA31" si="12">IF(D17="O",IF(Z17&lt;0,Z17,0),0)</f>
        <v>0</v>
      </c>
      <c r="AB17" s="209">
        <f t="shared" ref="AB17:AB31" si="13">IF(B17="CRYPTO",N17,0)</f>
        <v>0</v>
      </c>
      <c r="AC17" s="205">
        <f t="shared" ref="AC17:AC31" si="14">IF(D17="O",IF(AB17&lt;0,AB17,0),0)</f>
        <v>0</v>
      </c>
      <c r="AD17" s="210">
        <f t="shared" ref="AD17:AD31" si="15">IF(K17&lt;&gt;"",K17-E17,0)</f>
        <v>1.6986111111109494</v>
      </c>
      <c r="AE17" s="210">
        <f t="shared" ref="AE17:AE31" si="16">IF(N17&gt;0,AD17,0)</f>
        <v>0</v>
      </c>
      <c r="AF17" s="210">
        <f t="shared" ref="AF17:AF31" si="17">IF(N17&lt;0,AD17,0)</f>
        <v>1.6986111111109494</v>
      </c>
      <c r="AG17" s="210">
        <f t="shared" ref="AG17:AG31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44501.017361111109</v>
      </c>
      <c r="F18" s="200" t="s">
        <v>115</v>
      </c>
      <c r="G18" s="201">
        <v>1.36757</v>
      </c>
      <c r="H18" s="201">
        <v>1.3766400000000001</v>
      </c>
      <c r="I18" s="202">
        <f t="shared" si="1"/>
        <v>9.0700000000001335E-3</v>
      </c>
      <c r="J18" s="201">
        <v>1.3312900000000001</v>
      </c>
      <c r="K18" s="199">
        <v>44518.393750000003</v>
      </c>
      <c r="L18" s="201">
        <v>1.35066</v>
      </c>
      <c r="M18" s="203">
        <f t="shared" si="2"/>
        <v>1.6899999999999998E-2</v>
      </c>
      <c r="N18" s="204">
        <f t="shared" si="3"/>
        <v>1.86</v>
      </c>
      <c r="O18" s="205">
        <f t="shared" si="4"/>
        <v>0</v>
      </c>
      <c r="P18" s="206">
        <f t="shared" si="5"/>
        <v>1.86</v>
      </c>
      <c r="Q18" s="206">
        <f t="shared" si="6"/>
        <v>0</v>
      </c>
      <c r="R18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8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108590</v>
      </c>
      <c r="T18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108590</v>
      </c>
      <c r="U18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18" s="209">
        <f t="shared" si="7"/>
        <v>1.86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17.376388888893416</v>
      </c>
      <c r="AE18" s="210">
        <f t="shared" si="16"/>
        <v>17.376388888893416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44456.333333333336</v>
      </c>
      <c r="F19" s="200" t="s">
        <v>115</v>
      </c>
      <c r="G19" s="201">
        <v>1.38066</v>
      </c>
      <c r="H19" s="201">
        <v>1.3874599999999999</v>
      </c>
      <c r="I19" s="202">
        <f t="shared" si="1"/>
        <v>6.7999999999999172E-3</v>
      </c>
      <c r="J19" s="201">
        <v>1.35347</v>
      </c>
      <c r="K19" s="199">
        <v>44462.714583333334</v>
      </c>
      <c r="L19" s="201">
        <v>1.37443</v>
      </c>
      <c r="M19" s="203">
        <f t="shared" si="2"/>
        <v>6.1999999999999998E-3</v>
      </c>
      <c r="N19" s="204">
        <f t="shared" si="3"/>
        <v>0.91</v>
      </c>
      <c r="O19" s="205">
        <f t="shared" si="4"/>
        <v>0</v>
      </c>
      <c r="P19" s="206">
        <f t="shared" si="5"/>
        <v>0.91</v>
      </c>
      <c r="Q19" s="206">
        <f t="shared" si="6"/>
        <v>0</v>
      </c>
      <c r="R19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9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106730</v>
      </c>
      <c r="T19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106730</v>
      </c>
      <c r="U19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19" s="209">
        <f t="shared" si="7"/>
        <v>0.91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6.3812499999985448</v>
      </c>
      <c r="AE19" s="210">
        <f t="shared" si="16"/>
        <v>6.3812499999985448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44418.166666666664</v>
      </c>
      <c r="F20" s="200" t="s">
        <v>115</v>
      </c>
      <c r="G20" s="201">
        <v>1.38507</v>
      </c>
      <c r="H20" s="201">
        <v>1.39127</v>
      </c>
      <c r="I20" s="202">
        <f t="shared" si="1"/>
        <v>6.1999999999999833E-3</v>
      </c>
      <c r="J20" s="201">
        <v>1.3602799999999999</v>
      </c>
      <c r="K20" s="199">
        <v>44428.668749999997</v>
      </c>
      <c r="L20" s="201">
        <v>1.3602799999999999</v>
      </c>
      <c r="M20" s="203">
        <f t="shared" si="2"/>
        <v>2.4799999999999999E-2</v>
      </c>
      <c r="N20" s="204">
        <f t="shared" si="3"/>
        <v>4</v>
      </c>
      <c r="O20" s="205">
        <f t="shared" si="4"/>
        <v>0</v>
      </c>
      <c r="P20" s="206">
        <f t="shared" si="5"/>
        <v>4</v>
      </c>
      <c r="Q20" s="206">
        <f t="shared" si="6"/>
        <v>0</v>
      </c>
      <c r="R20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0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105820</v>
      </c>
      <c r="T20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105820</v>
      </c>
      <c r="U20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0" s="209">
        <f t="shared" si="7"/>
        <v>4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10.502083333332848</v>
      </c>
      <c r="AE20" s="210">
        <f t="shared" si="16"/>
        <v>10.502083333332848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44393.833333333336</v>
      </c>
      <c r="F21" s="200" t="s">
        <v>115</v>
      </c>
      <c r="G21" s="201">
        <v>1.3777900000000001</v>
      </c>
      <c r="H21" s="201">
        <v>1.38795</v>
      </c>
      <c r="I21" s="202">
        <f t="shared" si="1"/>
        <v>1.0159999999999947E-2</v>
      </c>
      <c r="J21" s="201">
        <v>1.3371500000000001</v>
      </c>
      <c r="K21" s="199">
        <v>44399.620833333334</v>
      </c>
      <c r="L21" s="201">
        <v>1.37724</v>
      </c>
      <c r="M21" s="203">
        <f t="shared" si="2"/>
        <v>5.9999999999999995E-4</v>
      </c>
      <c r="N21" s="204">
        <f t="shared" si="3"/>
        <v>0.06</v>
      </c>
      <c r="O21" s="205">
        <f t="shared" si="4"/>
        <v>0</v>
      </c>
      <c r="P21" s="206">
        <f t="shared" si="5"/>
        <v>0.06</v>
      </c>
      <c r="Q21" s="206">
        <f t="shared" si="6"/>
        <v>0</v>
      </c>
      <c r="R21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1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101820</v>
      </c>
      <c r="T21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102760</v>
      </c>
      <c r="U21" s="208">
        <f ca="1">IF(Tabla336106734818[[#This Row],[Equity]]&lt;Tabla336106734818[[#This Row],[Equity Peak]],(Tabla336106734818[[#This Row],[Equity Peak]]-Tabla336106734818[[#This Row],[Equity]])/Tabla336106734818[[#This Row],[Equity Peak]],"")</f>
        <v>9.1475282210977029E-3</v>
      </c>
      <c r="V21" s="209">
        <f t="shared" si="7"/>
        <v>0.06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5.7874999999985448</v>
      </c>
      <c r="AE21" s="210">
        <f t="shared" si="16"/>
        <v>5.7874999999985448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44355.166666666664</v>
      </c>
      <c r="F22" s="200" t="s">
        <v>115</v>
      </c>
      <c r="G22" s="201">
        <v>1.4170199999999999</v>
      </c>
      <c r="H22" s="201">
        <v>1.4093899999999999</v>
      </c>
      <c r="I22" s="202">
        <f t="shared" si="1"/>
        <v>7.6300000000000257E-3</v>
      </c>
      <c r="J22" s="201">
        <v>1.4475199999999999</v>
      </c>
      <c r="K22" s="199">
        <v>44357.425000000003</v>
      </c>
      <c r="L22" s="201">
        <v>1.4093899999999999</v>
      </c>
      <c r="M22" s="203">
        <f t="shared" si="2"/>
        <v>-7.6E-3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2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101760</v>
      </c>
      <c r="T22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102760</v>
      </c>
      <c r="U22" s="208">
        <f ca="1">IF(Tabla336106734818[[#This Row],[Equity]]&lt;Tabla336106734818[[#This Row],[Equity Peak]],(Tabla336106734818[[#This Row],[Equity Peak]]-Tabla336106734818[[#This Row],[Equity]])/Tabla336106734818[[#This Row],[Equity Peak]],"")</f>
        <v>9.7314130011677703E-3</v>
      </c>
      <c r="V22" s="209">
        <f t="shared" si="7"/>
        <v>-1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2.258333333338669</v>
      </c>
      <c r="AE22" s="210">
        <f t="shared" si="16"/>
        <v>0</v>
      </c>
      <c r="AF22" s="210">
        <f t="shared" si="17"/>
        <v>2.258333333338669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44320.166666666664</v>
      </c>
      <c r="F23" s="200" t="s">
        <v>115</v>
      </c>
      <c r="G23" s="201">
        <v>1.3900699999999999</v>
      </c>
      <c r="H23" s="201">
        <v>1.38106</v>
      </c>
      <c r="I23" s="202">
        <f t="shared" si="1"/>
        <v>9.0099999999999625E-3</v>
      </c>
      <c r="J23" s="201">
        <v>1.4260999999999999</v>
      </c>
      <c r="K23" s="199">
        <v>44349.599999999999</v>
      </c>
      <c r="L23" s="201">
        <v>1.41124</v>
      </c>
      <c r="M23" s="203">
        <f t="shared" si="2"/>
        <v>2.12E-2</v>
      </c>
      <c r="N23" s="204">
        <f t="shared" si="3"/>
        <v>2.35</v>
      </c>
      <c r="O23" s="205">
        <f t="shared" si="4"/>
        <v>0</v>
      </c>
      <c r="P23" s="206">
        <f t="shared" si="5"/>
        <v>2.35</v>
      </c>
      <c r="Q23" s="206">
        <f t="shared" si="6"/>
        <v>0</v>
      </c>
      <c r="R23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3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102760</v>
      </c>
      <c r="T23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102760</v>
      </c>
      <c r="U23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3" s="209">
        <f t="shared" si="7"/>
        <v>2.35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29.433333333334303</v>
      </c>
      <c r="AE23" s="210">
        <f t="shared" si="16"/>
        <v>29.433333333334303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44302.666666666664</v>
      </c>
      <c r="F24" s="200" t="s">
        <v>115</v>
      </c>
      <c r="G24" s="201">
        <v>1.3803300000000001</v>
      </c>
      <c r="H24" s="201">
        <v>1.3715200000000001</v>
      </c>
      <c r="I24" s="202">
        <f t="shared" si="1"/>
        <v>8.8099999999999845E-3</v>
      </c>
      <c r="J24" s="201">
        <v>1.4155599999999999</v>
      </c>
      <c r="K24" s="199">
        <v>44308.70416666667</v>
      </c>
      <c r="L24" s="201">
        <v>1.3844099999999999</v>
      </c>
      <c r="M24" s="203">
        <f t="shared" si="2"/>
        <v>4.1000000000000003E-3</v>
      </c>
      <c r="N24" s="204">
        <f t="shared" si="3"/>
        <v>0.47</v>
      </c>
      <c r="O24" s="205">
        <f t="shared" si="4"/>
        <v>0</v>
      </c>
      <c r="P24" s="206">
        <f t="shared" si="5"/>
        <v>0.47</v>
      </c>
      <c r="Q24" s="206">
        <f t="shared" si="6"/>
        <v>0</v>
      </c>
      <c r="R24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4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100410</v>
      </c>
      <c r="T24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102270</v>
      </c>
      <c r="U24" s="208">
        <f ca="1">IF(Tabla336106734818[[#This Row],[Equity]]&lt;Tabla336106734818[[#This Row],[Equity Peak]],(Tabla336106734818[[#This Row],[Equity Peak]]-Tabla336106734818[[#This Row],[Equity]])/Tabla336106734818[[#This Row],[Equity Peak]],"")</f>
        <v>1.818715165737753E-2</v>
      </c>
      <c r="V24" s="209">
        <f t="shared" si="7"/>
        <v>0.47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6.0375000000058208</v>
      </c>
      <c r="AE24" s="210">
        <f t="shared" si="16"/>
        <v>6.0375000000058208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44288.333333333336</v>
      </c>
      <c r="F25" s="200" t="s">
        <v>115</v>
      </c>
      <c r="G25" s="201">
        <v>1.3845700000000001</v>
      </c>
      <c r="H25" s="201">
        <v>1.3762700000000001</v>
      </c>
      <c r="I25" s="202">
        <f t="shared" si="1"/>
        <v>8.2999999999999741E-3</v>
      </c>
      <c r="J25" s="201">
        <v>1.41778</v>
      </c>
      <c r="K25" s="199">
        <v>44292.619444444441</v>
      </c>
      <c r="L25" s="201">
        <v>1.3818999999999999</v>
      </c>
      <c r="M25" s="203">
        <f t="shared" si="2"/>
        <v>-2.7000000000000001E-3</v>
      </c>
      <c r="N25" s="204">
        <f t="shared" si="3"/>
        <v>-0.33</v>
      </c>
      <c r="O25" s="205">
        <f t="shared" si="4"/>
        <v>0</v>
      </c>
      <c r="P25" s="206">
        <f t="shared" si="5"/>
        <v>0</v>
      </c>
      <c r="Q25" s="206">
        <f t="shared" si="6"/>
        <v>-0.33</v>
      </c>
      <c r="R25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5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99940</v>
      </c>
      <c r="T25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102270</v>
      </c>
      <c r="U25" s="208">
        <f ca="1">IF(Tabla336106734818[[#This Row],[Equity]]&lt;Tabla336106734818[[#This Row],[Equity Peak]],(Tabla336106734818[[#This Row],[Equity Peak]]-Tabla336106734818[[#This Row],[Equity]])/Tabla336106734818[[#This Row],[Equity Peak]],"")</f>
        <v>2.2782829764349272E-2</v>
      </c>
      <c r="V25" s="209">
        <f t="shared" si="7"/>
        <v>-0.33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4.2861111111051287</v>
      </c>
      <c r="AE25" s="210">
        <f t="shared" si="16"/>
        <v>0</v>
      </c>
      <c r="AF25" s="210">
        <f t="shared" si="17"/>
        <v>4.2861111111051287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44273.333333333336</v>
      </c>
      <c r="F26" s="200" t="s">
        <v>115</v>
      </c>
      <c r="G26" s="201">
        <v>1.3951899999999999</v>
      </c>
      <c r="H26" s="201">
        <v>1.3843300000000001</v>
      </c>
      <c r="I26" s="202">
        <f t="shared" si="1"/>
        <v>1.085999999999987E-2</v>
      </c>
      <c r="J26" s="201">
        <v>1.43862</v>
      </c>
      <c r="K26" s="199">
        <v>44274.693749999999</v>
      </c>
      <c r="L26" s="201">
        <v>1.3843300000000001</v>
      </c>
      <c r="M26" s="203">
        <f t="shared" si="2"/>
        <v>-1.09E-2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6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100270</v>
      </c>
      <c r="T26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102270</v>
      </c>
      <c r="U26" s="208">
        <f ca="1">IF(Tabla336106734818[[#This Row],[Equity]]&lt;Tabla336106734818[[#This Row],[Equity Peak]],(Tabla336106734818[[#This Row],[Equity Peak]]-Tabla336106734818[[#This Row],[Equity]])/Tabla336106734818[[#This Row],[Equity Peak]],"")</f>
        <v>1.9556077050943581E-2</v>
      </c>
      <c r="V26" s="209">
        <f t="shared" si="7"/>
        <v>-1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1.3604166666627862</v>
      </c>
      <c r="AE26" s="210">
        <f t="shared" si="16"/>
        <v>0</v>
      </c>
      <c r="AF26" s="210">
        <f t="shared" si="17"/>
        <v>1.3604166666627862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44267.017361111109</v>
      </c>
      <c r="F27" s="200" t="s">
        <v>115</v>
      </c>
      <c r="G27" s="201">
        <v>1.3986499999999999</v>
      </c>
      <c r="H27" s="201">
        <v>1.3895900000000001</v>
      </c>
      <c r="I27" s="202">
        <f t="shared" si="1"/>
        <v>9.059999999999846E-3</v>
      </c>
      <c r="J27" s="201">
        <v>1.4348799999999999</v>
      </c>
      <c r="K27" s="199">
        <v>44267.568749999999</v>
      </c>
      <c r="L27" s="201">
        <v>1.3895900000000001</v>
      </c>
      <c r="M27" s="203">
        <f t="shared" si="2"/>
        <v>-9.1000000000000004E-3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7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101270</v>
      </c>
      <c r="T27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102270</v>
      </c>
      <c r="U27" s="208">
        <f ca="1">IF(Tabla336106734818[[#This Row],[Equity]]&lt;Tabla336106734818[[#This Row],[Equity Peak]],(Tabla336106734818[[#This Row],[Equity Peak]]-Tabla336106734818[[#This Row],[Equity]])/Tabla336106734818[[#This Row],[Equity Peak]],"")</f>
        <v>9.7780385254717904E-3</v>
      </c>
      <c r="V27" s="209">
        <f t="shared" si="7"/>
        <v>-1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0.55138888888905058</v>
      </c>
      <c r="AE27" s="210">
        <f t="shared" si="16"/>
        <v>0</v>
      </c>
      <c r="AF27" s="210">
        <f t="shared" si="17"/>
        <v>0.55138888888905058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44235.017361111109</v>
      </c>
      <c r="F28" s="200" t="s">
        <v>115</v>
      </c>
      <c r="G28" s="201">
        <v>1.37313</v>
      </c>
      <c r="H28" s="201">
        <v>1.3629800000000001</v>
      </c>
      <c r="I28" s="202">
        <f t="shared" si="1"/>
        <v>1.0149999999999881E-2</v>
      </c>
      <c r="J28" s="201">
        <v>1.4137200000000001</v>
      </c>
      <c r="K28" s="199">
        <v>44251.12777777778</v>
      </c>
      <c r="L28" s="201">
        <v>1.4137200000000001</v>
      </c>
      <c r="M28" s="203">
        <f t="shared" si="2"/>
        <v>4.0599999999999997E-2</v>
      </c>
      <c r="N28" s="204">
        <f t="shared" si="3"/>
        <v>4</v>
      </c>
      <c r="O28" s="205">
        <f t="shared" si="4"/>
        <v>0</v>
      </c>
      <c r="P28" s="206">
        <f t="shared" si="5"/>
        <v>4</v>
      </c>
      <c r="Q28" s="206">
        <f t="shared" si="6"/>
        <v>0</v>
      </c>
      <c r="R28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8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102270</v>
      </c>
      <c r="T28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102270</v>
      </c>
      <c r="U28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8" s="209">
        <f t="shared" si="7"/>
        <v>4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16.110416666670062</v>
      </c>
      <c r="AE28" s="210">
        <f t="shared" si="16"/>
        <v>16.110416666670062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44217.5</v>
      </c>
      <c r="F29" s="200" t="s">
        <v>115</v>
      </c>
      <c r="G29" s="201">
        <v>1.37334</v>
      </c>
      <c r="H29" s="201">
        <v>1.3653999999999999</v>
      </c>
      <c r="I29" s="202">
        <f t="shared" si="1"/>
        <v>7.9400000000000581E-3</v>
      </c>
      <c r="J29" s="201">
        <v>1.40509</v>
      </c>
      <c r="K29" s="199">
        <v>44218.484722222223</v>
      </c>
      <c r="L29" s="201">
        <v>1.3653999999999999</v>
      </c>
      <c r="M29" s="203">
        <f t="shared" si="2"/>
        <v>-7.9000000000000008E-3</v>
      </c>
      <c r="N29" s="204">
        <f t="shared" si="3"/>
        <v>-0.99</v>
      </c>
      <c r="O29" s="205">
        <f t="shared" si="4"/>
        <v>0</v>
      </c>
      <c r="P29" s="206">
        <f t="shared" si="5"/>
        <v>0</v>
      </c>
      <c r="Q29" s="206">
        <f t="shared" si="6"/>
        <v>-0.99</v>
      </c>
      <c r="R29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9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98270</v>
      </c>
      <c r="T29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100150</v>
      </c>
      <c r="U29" s="208">
        <f ca="1">IF(Tabla336106734818[[#This Row],[Equity]]&lt;Tabla336106734818[[#This Row],[Equity Peak]],(Tabla336106734818[[#This Row],[Equity Peak]]-Tabla336106734818[[#This Row],[Equity]])/Tabla336106734818[[#This Row],[Equity Peak]],"")</f>
        <v>1.8771842236645034E-2</v>
      </c>
      <c r="V29" s="209">
        <f t="shared" si="7"/>
        <v>-0.99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0.98472222222335404</v>
      </c>
      <c r="AE29" s="210">
        <f t="shared" si="16"/>
        <v>0</v>
      </c>
      <c r="AF29" s="210">
        <f t="shared" si="17"/>
        <v>0.98472222222335404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44209.017361111109</v>
      </c>
      <c r="F30" s="200" t="s">
        <v>115</v>
      </c>
      <c r="G30" s="201">
        <v>1.3655299999999999</v>
      </c>
      <c r="H30" s="201">
        <v>1.35372</v>
      </c>
      <c r="I30" s="202">
        <f t="shared" si="1"/>
        <v>1.1809999999999876E-2</v>
      </c>
      <c r="J30" s="201">
        <v>1.41276</v>
      </c>
      <c r="K30" s="199">
        <v>44214.427083333336</v>
      </c>
      <c r="L30" s="201">
        <v>1.35504</v>
      </c>
      <c r="M30" s="203">
        <f t="shared" si="2"/>
        <v>-1.0500000000000001E-2</v>
      </c>
      <c r="N30" s="204">
        <f t="shared" si="3"/>
        <v>-0.89</v>
      </c>
      <c r="O30" s="205">
        <f t="shared" si="4"/>
        <v>0</v>
      </c>
      <c r="P30" s="206">
        <f t="shared" si="5"/>
        <v>0</v>
      </c>
      <c r="Q30" s="206">
        <f t="shared" si="6"/>
        <v>-0.89</v>
      </c>
      <c r="R30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30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99260</v>
      </c>
      <c r="T30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100150</v>
      </c>
      <c r="U30" s="208">
        <f ca="1">IF(Tabla336106734818[[#This Row],[Equity]]&lt;Tabla336106734818[[#This Row],[Equity Peak]],(Tabla336106734818[[#This Row],[Equity Peak]]-Tabla336106734818[[#This Row],[Equity]])/Tabla336106734818[[#This Row],[Equity Peak]],"")</f>
        <v>8.8866699950074894E-3</v>
      </c>
      <c r="V30" s="209">
        <f t="shared" si="7"/>
        <v>-0.89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5.4097222222262644</v>
      </c>
      <c r="AE30" s="210">
        <f t="shared" si="16"/>
        <v>0</v>
      </c>
      <c r="AF30" s="210">
        <f t="shared" si="17"/>
        <v>5.4097222222262644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44188.833333333336</v>
      </c>
      <c r="F31" s="200" t="s">
        <v>115</v>
      </c>
      <c r="G31" s="201">
        <v>1.3482700000000001</v>
      </c>
      <c r="H31" s="201">
        <v>1.3287599999999999</v>
      </c>
      <c r="I31" s="202">
        <f t="shared" si="1"/>
        <v>1.9510000000000138E-2</v>
      </c>
      <c r="J31" s="201">
        <v>1.42631</v>
      </c>
      <c r="K31" s="199">
        <v>44207.07916666667</v>
      </c>
      <c r="L31" s="201">
        <v>1.3512299999999999</v>
      </c>
      <c r="M31" s="203">
        <f t="shared" si="2"/>
        <v>3.0000000000000001E-3</v>
      </c>
      <c r="N31" s="204">
        <f t="shared" si="3"/>
        <v>0.15</v>
      </c>
      <c r="O31" s="205">
        <f t="shared" si="4"/>
        <v>0</v>
      </c>
      <c r="P31" s="206">
        <f t="shared" si="5"/>
        <v>0.15</v>
      </c>
      <c r="Q31" s="206">
        <f t="shared" si="6"/>
        <v>0</v>
      </c>
      <c r="R31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31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100150</v>
      </c>
      <c r="T31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100150</v>
      </c>
      <c r="U31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31" s="209">
        <f t="shared" si="7"/>
        <v>0.15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18.245833333334303</v>
      </c>
      <c r="AE31" s="210">
        <f t="shared" si="16"/>
        <v>18.245833333334303</v>
      </c>
      <c r="AF31" s="210">
        <f t="shared" si="17"/>
        <v>0</v>
      </c>
      <c r="AG31" s="210">
        <f t="shared" si="18"/>
        <v>0</v>
      </c>
    </row>
  </sheetData>
  <sheetProtection algorithmName="SHA-512" hashValue="FH8f5i4nB3PMj+snZjqi//nMDNW/szJF5cvosYY3hl7c/xZhSkXLp1EabiKakWugXmb5IVYrK9wWkmsnD6ngfA==" saltValue="fhfmtl+u4dLEjR7sZN5gQ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45" priority="3" operator="equal">
      <formula>"OK"</formula>
    </cfRule>
    <cfRule type="cellIs" dxfId="544" priority="4" operator="equal">
      <formula>"warning"</formula>
    </cfRule>
  </conditionalFormatting>
  <conditionalFormatting sqref="F13">
    <cfRule type="cellIs" dxfId="543" priority="1" operator="equal">
      <formula>"OK"</formula>
    </cfRule>
    <cfRule type="cellIs" dxfId="542" priority="2" operator="equal">
      <formula>"Error!!"</formula>
    </cfRule>
  </conditionalFormatting>
  <conditionalFormatting sqref="E15:H15 K15:L15">
    <cfRule type="expression" dxfId="541" priority="5">
      <formula>+$D15=#REF!</formula>
    </cfRule>
    <cfRule type="expression" dxfId="540" priority="6">
      <formula>+$D15=#REF!</formula>
    </cfRule>
  </conditionalFormatting>
  <conditionalFormatting sqref="D15 K16:L16 D16:H31 J17:L31">
    <cfRule type="expression" dxfId="539" priority="7">
      <formula>+$D15=$AG$8</formula>
    </cfRule>
    <cfRule type="expression" dxfId="53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74430E19-B7C6-4606-B45D-52259E45DEF7}">
      <formula1>$AE$4:$AE$6</formula1>
    </dataValidation>
    <dataValidation type="list" allowBlank="1" showInputMessage="1" showErrorMessage="1" promptTitle="Trade Direction" prompt="Select from List" sqref="C15:C16" xr:uid="{0F0D2601-24E1-49FC-8168-5936E721E7C3}">
      <formula1>$AG$4:$AG$5</formula1>
    </dataValidation>
    <dataValidation type="list" allowBlank="1" showInputMessage="1" showErrorMessage="1" promptTitle="Instrument Type" prompt="Select Type from List_x000a_" sqref="B17:B31" xr:uid="{310AEE15-7DB6-4357-95BA-9149F5ADF72B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2745-527A-499B-811D-4C52A4FD05B1}">
  <sheetPr codeName="Hoja14">
    <pageSetUpPr fitToPage="1"/>
  </sheetPr>
  <dimension ref="A1:AX4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COUNTA(Tabla33610673487[Inst])</f>
        <v>32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6.6899999999999995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6.6899999999999995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COUNTIF(Tabla33610673487[No. of Rs],"&gt;0")</f>
        <v>10</v>
      </c>
      <c r="G7" s="24">
        <f>IFERROR((F7/$F$6),"")</f>
        <v>0.3125</v>
      </c>
      <c r="H7" s="78">
        <f>IFERROR((+P13/F7),"")</f>
        <v>1.359</v>
      </c>
      <c r="I7" s="227">
        <f>H7/H9</f>
        <v>4.3330434782608691</v>
      </c>
      <c r="J7" s="227">
        <f>AVERAGE(Tabla33610673487[No. of Rs])</f>
        <v>0.20906249999999998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COUNTIF(Tabla33610673487[No.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OFFSET(Tabla33610673487[[#Headers],[Equity]],1,0)</f>
        <v>106690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COUNTIF(Tabla33610673487[No. of Rs],"&lt;0")</f>
        <v>22</v>
      </c>
      <c r="G9" s="32">
        <f>IFERROR((F9/$F$6),"")</f>
        <v>0.6875</v>
      </c>
      <c r="H9" s="79">
        <f>IFERROR((-Q13/F9),"")</f>
        <v>0.31363636363636366</v>
      </c>
      <c r="I9" s="229"/>
      <c r="J9" s="229"/>
      <c r="K9" s="149"/>
      <c r="L9" s="230" t="s">
        <v>106</v>
      </c>
      <c r="M9" s="231"/>
      <c r="N9" s="125">
        <f ca="1">MAX(Tabla33610673487[Drawdown])</f>
        <v>2.6891691394658752E-2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OFFSET(Tabla33610673487[[#Headers],[Drawdown]],1,0)</f>
        <v>1.0663946587537092E-2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IF(COUNTIFS(Tabla33610673487[O/C],"O")&lt;1,"None",COUNTIFS(Tabla33610673487[O/C],"O"))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SUM(Tabla33610673487[No. of Rs])</f>
        <v>6.6899999999999995</v>
      </c>
      <c r="O13" s="42">
        <f>SUM(Tabla33610673487[Heat])</f>
        <v>0</v>
      </c>
      <c r="P13" s="43">
        <f>SUM(Tabla33610673487[[ TR WIN]])</f>
        <v>13.59</v>
      </c>
      <c r="Q13" s="43">
        <f>SUM(Tabla33610673487[[ TR LOSS]])</f>
        <v>-6.9</v>
      </c>
      <c r="R13" s="114"/>
      <c r="S13" s="115"/>
      <c r="T13" s="115"/>
      <c r="U13" s="121"/>
      <c r="V13" s="44">
        <f>SUM(Tabla33610673487[Currency])</f>
        <v>6.6899999999999995</v>
      </c>
      <c r="W13" s="44">
        <f>SUM(Tabla33610673487[Heat3])</f>
        <v>0</v>
      </c>
      <c r="X13" s="44">
        <f>SUM(Tabla33610673487[Commodities])</f>
        <v>0</v>
      </c>
      <c r="Y13" s="44">
        <f>SUM(Tabla33610673487[Heat4])</f>
        <v>0</v>
      </c>
      <c r="Z13" s="44">
        <f>SUM(Tabla33610673487[Index])</f>
        <v>0</v>
      </c>
      <c r="AA13" s="44">
        <f>SUM(Tabla33610673487[Heat5])</f>
        <v>0</v>
      </c>
      <c r="AB13" s="44">
        <f>SUM(Tabla33610673487[Cryptocurrency])</f>
        <v>0</v>
      </c>
      <c r="AC13" s="44">
        <f>SUM(Tabla33610673487[Heat6])</f>
        <v>0</v>
      </c>
      <c r="AD13" s="75">
        <f>AVERAGEIF(Tabla33610673487[Length of 
Trade],"&lt;&gt;0")</f>
        <v>2.5568142361112223</v>
      </c>
      <c r="AE13" s="75">
        <f>AVERAGEIF(Tabla33610673487[Win],"&lt;&gt;0")</f>
        <v>5.6660416666665698</v>
      </c>
      <c r="AF13" s="75">
        <f>AVERAGEIF(Tabla33610673487[Loss],"&lt;&gt;0")</f>
        <v>1.1435290404042462</v>
      </c>
      <c r="AG13" s="76" t="e">
        <f>AVERAGEIF(Tabla33610673487[Breakeven],"&lt;&gt;0")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34" si="0">IF(E17&lt;&gt;"",IF(K17&lt;&gt;"","C","O"),"")</f>
        <v>C</v>
      </c>
      <c r="E17" s="199">
        <v>44551.666666666664</v>
      </c>
      <c r="F17" s="200" t="s">
        <v>114</v>
      </c>
      <c r="G17" s="201">
        <v>113.767</v>
      </c>
      <c r="H17" s="201">
        <v>113.181</v>
      </c>
      <c r="I17" s="202">
        <f t="shared" ref="I17:I34" si="1">ABS(G17-H17)</f>
        <v>0.58599999999999852</v>
      </c>
      <c r="J17" s="201">
        <v>116.503</v>
      </c>
      <c r="K17" s="199">
        <v>44559.719444444447</v>
      </c>
      <c r="L17" s="201">
        <v>114.709</v>
      </c>
      <c r="M17" s="203">
        <f t="shared" ref="M17:M34" si="2">ROUND(IF(C17="L",(L17-G17),(G17-L17)),4)</f>
        <v>0.94199999999999995</v>
      </c>
      <c r="N17" s="204">
        <f t="shared" ref="N17:N34" si="3">IFERROR(ROUND((M17/I17),2),"")</f>
        <v>1.61</v>
      </c>
      <c r="O17" s="205">
        <f t="shared" ref="O17:O34" si="4">IF(D17="O",IF(N17&lt;0,N17,0),0)</f>
        <v>0</v>
      </c>
      <c r="P17" s="206">
        <f t="shared" ref="P17:P34" si="5">IF(N17&gt;= 0,N17,0)</f>
        <v>1.61</v>
      </c>
      <c r="Q17" s="206">
        <f t="shared" ref="Q17:Q34" si="6">IF(N17&lt;0,N17,0)</f>
        <v>0</v>
      </c>
      <c r="R1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106690</v>
      </c>
      <c r="T1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17" s="208">
        <f ca="1">IF(Tabla33610673487[[#This Row],[Equity]]&lt;Tabla33610673487[[#This Row],[Equity Peak]],(Tabla33610673487[[#This Row],[Equity Peak]]-Tabla33610673487[[#This Row],[Equity]])/Tabla33610673487[[#This Row],[Equity Peak]],"")</f>
        <v>1.0663946587537092E-2</v>
      </c>
      <c r="V17" s="209">
        <f t="shared" ref="V17:V34" si="7">IF(B17="FX",N17,0)</f>
        <v>1.61</v>
      </c>
      <c r="W17" s="209">
        <f t="shared" ref="W17:W34" si="8">IF(D17="O",IF(V17&lt;0,V17,0),0)</f>
        <v>0</v>
      </c>
      <c r="X17" s="209">
        <f t="shared" ref="X17:X34" si="9">IF(B17="COM",N17,0)</f>
        <v>0</v>
      </c>
      <c r="Y17" s="209">
        <f t="shared" ref="Y17:Y34" si="10">IF(D17="O",IF(X17&lt;0,X17,0),0)</f>
        <v>0</v>
      </c>
      <c r="Z17" s="209">
        <f t="shared" ref="Z17:Z34" si="11">IF(B17="IND",N17,0)</f>
        <v>0</v>
      </c>
      <c r="AA17" s="205">
        <f t="shared" ref="AA17:AA34" si="12">IF(D17="O",IF(Z17&lt;0,Z17,0),0)</f>
        <v>0</v>
      </c>
      <c r="AB17" s="209">
        <f t="shared" ref="AB17:AB34" si="13">IF(B17="CRYPTO",N17,0)</f>
        <v>0</v>
      </c>
      <c r="AC17" s="205">
        <f t="shared" ref="AC17:AC34" si="14">IF(D17="O",IF(AB17&lt;0,AB17,0),0)</f>
        <v>0</v>
      </c>
      <c r="AD17" s="210">
        <f t="shared" ref="AD17:AD34" si="15">IF(K17&lt;&gt;"",K17-E17,0)</f>
        <v>8.0527777777824667</v>
      </c>
      <c r="AE17" s="210">
        <f t="shared" ref="AE17:AE34" si="16">IF(N17&gt;0,AD17,0)</f>
        <v>8.0527777777824667</v>
      </c>
      <c r="AF17" s="210">
        <f t="shared" ref="AF17:AF34" si="17">IF(N17&lt;0,AD17,0)</f>
        <v>0</v>
      </c>
      <c r="AG17" s="210">
        <f t="shared" ref="AG17:AG34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44544.833333333336</v>
      </c>
      <c r="F18" s="200" t="s">
        <v>114</v>
      </c>
      <c r="G18" s="201">
        <v>113.664</v>
      </c>
      <c r="H18" s="201">
        <v>113.066</v>
      </c>
      <c r="I18" s="202">
        <f t="shared" si="1"/>
        <v>0.59799999999999898</v>
      </c>
      <c r="J18" s="201">
        <v>116.45399999999999</v>
      </c>
      <c r="K18" s="199">
        <v>44546.695833333331</v>
      </c>
      <c r="L18" s="201">
        <v>113.75</v>
      </c>
      <c r="M18" s="203">
        <f t="shared" si="2"/>
        <v>8.5999999999999993E-2</v>
      </c>
      <c r="N18" s="204">
        <f t="shared" si="3"/>
        <v>0.14000000000000001</v>
      </c>
      <c r="O18" s="205">
        <f t="shared" si="4"/>
        <v>0</v>
      </c>
      <c r="P18" s="206">
        <f t="shared" si="5"/>
        <v>0.14000000000000001</v>
      </c>
      <c r="Q18" s="206">
        <f t="shared" si="6"/>
        <v>0</v>
      </c>
      <c r="R1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105080</v>
      </c>
      <c r="T1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18" s="208">
        <f ca="1">IF(Tabla33610673487[[#This Row],[Equity]]&lt;Tabla33610673487[[#This Row],[Equity Peak]],(Tabla33610673487[[#This Row],[Equity Peak]]-Tabla33610673487[[#This Row],[Equity]])/Tabla33610673487[[#This Row],[Equity Peak]],"")</f>
        <v>2.559347181008902E-2</v>
      </c>
      <c r="V18" s="209">
        <f t="shared" si="7"/>
        <v>0.14000000000000001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1.8624999999956344</v>
      </c>
      <c r="AE18" s="210">
        <f t="shared" si="16"/>
        <v>1.8624999999956344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44538.833333333336</v>
      </c>
      <c r="F19" s="200" t="s">
        <v>114</v>
      </c>
      <c r="G19" s="201">
        <v>113.663</v>
      </c>
      <c r="H19" s="201">
        <v>112.81100000000001</v>
      </c>
      <c r="I19" s="202">
        <f t="shared" si="1"/>
        <v>0.85199999999998965</v>
      </c>
      <c r="J19" s="201">
        <v>117.639</v>
      </c>
      <c r="K19" s="199">
        <v>44539.640972222223</v>
      </c>
      <c r="L19" s="201">
        <v>113.297</v>
      </c>
      <c r="M19" s="203">
        <f t="shared" si="2"/>
        <v>-0.36599999999999999</v>
      </c>
      <c r="N19" s="204">
        <f t="shared" si="3"/>
        <v>-0.43</v>
      </c>
      <c r="O19" s="205">
        <f t="shared" si="4"/>
        <v>0</v>
      </c>
      <c r="P19" s="206">
        <f t="shared" si="5"/>
        <v>0</v>
      </c>
      <c r="Q19" s="206">
        <f t="shared" si="6"/>
        <v>-0.43</v>
      </c>
      <c r="R1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104940</v>
      </c>
      <c r="T1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19" s="208">
        <f ca="1">IF(Tabla33610673487[[#This Row],[Equity]]&lt;Tabla33610673487[[#This Row],[Equity Peak]],(Tabla33610673487[[#This Row],[Equity Peak]]-Tabla33610673487[[#This Row],[Equity]])/Tabla33610673487[[#This Row],[Equity Peak]],"")</f>
        <v>2.6891691394658752E-2</v>
      </c>
      <c r="V19" s="209">
        <f t="shared" si="7"/>
        <v>-0.43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0.80763888888759539</v>
      </c>
      <c r="AE19" s="210">
        <f t="shared" si="16"/>
        <v>0</v>
      </c>
      <c r="AF19" s="210">
        <f t="shared" si="17"/>
        <v>0.80763888888759539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44524.833333333336</v>
      </c>
      <c r="F20" s="200" t="s">
        <v>114</v>
      </c>
      <c r="G20" s="201">
        <v>115.44799999999999</v>
      </c>
      <c r="H20" s="201">
        <v>114.49299999999999</v>
      </c>
      <c r="I20" s="202">
        <f t="shared" si="1"/>
        <v>0.95499999999999829</v>
      </c>
      <c r="J20" s="201">
        <v>119.90600000000001</v>
      </c>
      <c r="K20" s="199">
        <v>44526.081250000003</v>
      </c>
      <c r="L20" s="201">
        <v>115.06699999999999</v>
      </c>
      <c r="M20" s="203">
        <f t="shared" si="2"/>
        <v>-0.38100000000000001</v>
      </c>
      <c r="N20" s="204">
        <f t="shared" si="3"/>
        <v>-0.4</v>
      </c>
      <c r="O20" s="205">
        <f t="shared" si="4"/>
        <v>0</v>
      </c>
      <c r="P20" s="206">
        <f t="shared" si="5"/>
        <v>0</v>
      </c>
      <c r="Q20" s="206">
        <f t="shared" si="6"/>
        <v>-0.4</v>
      </c>
      <c r="R2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105370</v>
      </c>
      <c r="T2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0" s="208">
        <f ca="1">IF(Tabla33610673487[[#This Row],[Equity]]&lt;Tabla33610673487[[#This Row],[Equity Peak]],(Tabla33610673487[[#This Row],[Equity Peak]]-Tabla33610673487[[#This Row],[Equity]])/Tabla33610673487[[#This Row],[Equity Peak]],"")</f>
        <v>2.2904302670623145E-2</v>
      </c>
      <c r="V20" s="209">
        <f t="shared" si="7"/>
        <v>-0.4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1.2479166666671517</v>
      </c>
      <c r="AE20" s="210">
        <f t="shared" si="16"/>
        <v>0</v>
      </c>
      <c r="AF20" s="210">
        <f t="shared" si="17"/>
        <v>1.2479166666671517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44523.333333333336</v>
      </c>
      <c r="F21" s="200" t="s">
        <v>114</v>
      </c>
      <c r="G21" s="201">
        <v>115.113</v>
      </c>
      <c r="H21" s="201">
        <v>114.306</v>
      </c>
      <c r="I21" s="202">
        <f t="shared" si="1"/>
        <v>0.80700000000000216</v>
      </c>
      <c r="J21" s="201">
        <v>118.878</v>
      </c>
      <c r="K21" s="199">
        <v>44523.393055555556</v>
      </c>
      <c r="L21" s="201">
        <v>114.712</v>
      </c>
      <c r="M21" s="203">
        <f t="shared" si="2"/>
        <v>-0.40100000000000002</v>
      </c>
      <c r="N21" s="204">
        <f t="shared" si="3"/>
        <v>-0.5</v>
      </c>
      <c r="O21" s="205">
        <f t="shared" si="4"/>
        <v>0</v>
      </c>
      <c r="P21" s="206">
        <f t="shared" si="5"/>
        <v>0</v>
      </c>
      <c r="Q21" s="206">
        <f t="shared" si="6"/>
        <v>-0.5</v>
      </c>
      <c r="R2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105770</v>
      </c>
      <c r="T2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1" s="208">
        <f ca="1">IF(Tabla33610673487[[#This Row],[Equity]]&lt;Tabla33610673487[[#This Row],[Equity Peak]],(Tabla33610673487[[#This Row],[Equity Peak]]-Tabla33610673487[[#This Row],[Equity]])/Tabla33610673487[[#This Row],[Equity Peak]],"")</f>
        <v>1.9195103857566766E-2</v>
      </c>
      <c r="V21" s="209">
        <f t="shared" si="7"/>
        <v>-0.5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5.9722222220443655E-2</v>
      </c>
      <c r="AE21" s="210">
        <f t="shared" si="16"/>
        <v>0</v>
      </c>
      <c r="AF21" s="210">
        <f t="shared" si="17"/>
        <v>5.9722222220443655E-2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44517.017361111109</v>
      </c>
      <c r="F22" s="200" t="s">
        <v>114</v>
      </c>
      <c r="G22" s="201">
        <v>114.79300000000001</v>
      </c>
      <c r="H22" s="201">
        <v>114.169</v>
      </c>
      <c r="I22" s="202">
        <f t="shared" si="1"/>
        <v>0.62400000000000944</v>
      </c>
      <c r="J22" s="201">
        <v>117.706</v>
      </c>
      <c r="K22" s="199">
        <v>44517.647916666669</v>
      </c>
      <c r="L22" s="201">
        <v>114.58</v>
      </c>
      <c r="M22" s="203">
        <f t="shared" si="2"/>
        <v>-0.21299999999999999</v>
      </c>
      <c r="N22" s="204">
        <f t="shared" si="3"/>
        <v>-0.34</v>
      </c>
      <c r="O22" s="205">
        <f t="shared" si="4"/>
        <v>0</v>
      </c>
      <c r="P22" s="206">
        <f t="shared" si="5"/>
        <v>0</v>
      </c>
      <c r="Q22" s="206">
        <f t="shared" si="6"/>
        <v>-0.34</v>
      </c>
      <c r="R2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106270</v>
      </c>
      <c r="T2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2" s="208">
        <f ca="1">IF(Tabla33610673487[[#This Row],[Equity]]&lt;Tabla33610673487[[#This Row],[Equity Peak]],(Tabla33610673487[[#This Row],[Equity Peak]]-Tabla33610673487[[#This Row],[Equity]])/Tabla33610673487[[#This Row],[Equity Peak]],"")</f>
        <v>1.455860534124629E-2</v>
      </c>
      <c r="V22" s="209">
        <f t="shared" si="7"/>
        <v>-0.34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0.63055555555911269</v>
      </c>
      <c r="AE22" s="210">
        <f t="shared" si="16"/>
        <v>0</v>
      </c>
      <c r="AF22" s="210">
        <f t="shared" si="17"/>
        <v>0.63055555555911269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44511.333333333336</v>
      </c>
      <c r="F23" s="200" t="s">
        <v>114</v>
      </c>
      <c r="G23" s="201">
        <v>113.946</v>
      </c>
      <c r="H23" s="201">
        <v>113.104</v>
      </c>
      <c r="I23" s="202">
        <f t="shared" si="1"/>
        <v>0.84199999999999875</v>
      </c>
      <c r="J23" s="201">
        <v>117.877</v>
      </c>
      <c r="K23" s="199">
        <v>44512.710416666669</v>
      </c>
      <c r="L23" s="201">
        <v>113.84699999999999</v>
      </c>
      <c r="M23" s="203">
        <f t="shared" si="2"/>
        <v>-9.9000000000000005E-2</v>
      </c>
      <c r="N23" s="204">
        <f t="shared" si="3"/>
        <v>-0.12</v>
      </c>
      <c r="O23" s="205">
        <f t="shared" si="4"/>
        <v>0</v>
      </c>
      <c r="P23" s="206">
        <f t="shared" si="5"/>
        <v>0</v>
      </c>
      <c r="Q23" s="206">
        <f t="shared" si="6"/>
        <v>-0.12</v>
      </c>
      <c r="R2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106610</v>
      </c>
      <c r="T2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3" s="208">
        <f ca="1">IF(Tabla33610673487[[#This Row],[Equity]]&lt;Tabla33610673487[[#This Row],[Equity Peak]],(Tabla33610673487[[#This Row],[Equity Peak]]-Tabla33610673487[[#This Row],[Equity]])/Tabla33610673487[[#This Row],[Equity Peak]],"")</f>
        <v>1.1405786350148368E-2</v>
      </c>
      <c r="V23" s="209">
        <f t="shared" si="7"/>
        <v>-0.12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1.3770833333328483</v>
      </c>
      <c r="AE23" s="210">
        <f t="shared" si="16"/>
        <v>0</v>
      </c>
      <c r="AF23" s="210">
        <f t="shared" si="17"/>
        <v>1.3770833333328483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44505.666666666664</v>
      </c>
      <c r="F24" s="200" t="s">
        <v>114</v>
      </c>
      <c r="G24" s="201">
        <v>113.91500000000001</v>
      </c>
      <c r="H24" s="201">
        <v>113.172</v>
      </c>
      <c r="I24" s="202">
        <f t="shared" si="1"/>
        <v>0.74300000000000921</v>
      </c>
      <c r="J24" s="201">
        <v>117.381</v>
      </c>
      <c r="K24" s="199">
        <v>44505.685416666667</v>
      </c>
      <c r="L24" s="201">
        <v>113.544</v>
      </c>
      <c r="M24" s="203">
        <f t="shared" si="2"/>
        <v>-0.371</v>
      </c>
      <c r="N24" s="204">
        <f t="shared" si="3"/>
        <v>-0.5</v>
      </c>
      <c r="O24" s="205">
        <f t="shared" si="4"/>
        <v>0</v>
      </c>
      <c r="P24" s="206">
        <f t="shared" si="5"/>
        <v>0</v>
      </c>
      <c r="Q24" s="206">
        <f t="shared" si="6"/>
        <v>-0.5</v>
      </c>
      <c r="R2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106730</v>
      </c>
      <c r="T2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4" s="208">
        <f ca="1">IF(Tabla33610673487[[#This Row],[Equity]]&lt;Tabla33610673487[[#This Row],[Equity Peak]],(Tabla33610673487[[#This Row],[Equity Peak]]-Tabla33610673487[[#This Row],[Equity]])/Tabla33610673487[[#This Row],[Equity Peak]],"")</f>
        <v>1.0293026706231454E-2</v>
      </c>
      <c r="V24" s="209">
        <f t="shared" si="7"/>
        <v>-0.5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1.8750000002910383E-2</v>
      </c>
      <c r="AE24" s="210">
        <f t="shared" si="16"/>
        <v>0</v>
      </c>
      <c r="AF24" s="210">
        <f t="shared" si="17"/>
        <v>1.8750000002910383E-2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44462.666666666664</v>
      </c>
      <c r="F25" s="200" t="s">
        <v>114</v>
      </c>
      <c r="G25" s="201">
        <v>110.07599999999999</v>
      </c>
      <c r="H25" s="201">
        <v>109.41200000000001</v>
      </c>
      <c r="I25" s="202">
        <f t="shared" si="1"/>
        <v>0.66399999999998727</v>
      </c>
      <c r="J25" s="201">
        <v>113.176</v>
      </c>
      <c r="K25" s="199">
        <v>44469.762499999997</v>
      </c>
      <c r="L25" s="201">
        <v>111.42400000000001</v>
      </c>
      <c r="M25" s="203">
        <f t="shared" si="2"/>
        <v>1.3480000000000001</v>
      </c>
      <c r="N25" s="204">
        <f t="shared" si="3"/>
        <v>2.0299999999999998</v>
      </c>
      <c r="O25" s="205">
        <f t="shared" si="4"/>
        <v>0</v>
      </c>
      <c r="P25" s="206">
        <f t="shared" si="5"/>
        <v>2.0299999999999998</v>
      </c>
      <c r="Q25" s="206">
        <f t="shared" si="6"/>
        <v>0</v>
      </c>
      <c r="R2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107230</v>
      </c>
      <c r="T2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5" s="208">
        <f ca="1">IF(Tabla33610673487[[#This Row],[Equity]]&lt;Tabla33610673487[[#This Row],[Equity Peak]],(Tabla33610673487[[#This Row],[Equity Peak]]-Tabla33610673487[[#This Row],[Equity]])/Tabla33610673487[[#This Row],[Equity Peak]],"")</f>
        <v>5.6565281899109794E-3</v>
      </c>
      <c r="V25" s="209">
        <f t="shared" si="7"/>
        <v>2.0299999999999998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7.0958333333328483</v>
      </c>
      <c r="AE25" s="210">
        <f t="shared" si="16"/>
        <v>7.0958333333328483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44459.666666666664</v>
      </c>
      <c r="F26" s="200" t="s">
        <v>114</v>
      </c>
      <c r="G26" s="201">
        <v>109.498</v>
      </c>
      <c r="H26" s="201">
        <v>110.06100000000001</v>
      </c>
      <c r="I26" s="202">
        <f t="shared" si="1"/>
        <v>0.56300000000000239</v>
      </c>
      <c r="J26" s="201">
        <v>106.869</v>
      </c>
      <c r="K26" s="199">
        <v>44460.431944444441</v>
      </c>
      <c r="L26" s="201">
        <v>109.682</v>
      </c>
      <c r="M26" s="203">
        <f t="shared" si="2"/>
        <v>-0.184</v>
      </c>
      <c r="N26" s="204">
        <f t="shared" si="3"/>
        <v>-0.33</v>
      </c>
      <c r="O26" s="205">
        <f t="shared" si="4"/>
        <v>0</v>
      </c>
      <c r="P26" s="206">
        <f t="shared" si="5"/>
        <v>0</v>
      </c>
      <c r="Q26" s="206">
        <f t="shared" si="6"/>
        <v>-0.33</v>
      </c>
      <c r="R2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105200</v>
      </c>
      <c r="T2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6" s="208">
        <f ca="1">IF(Tabla33610673487[[#This Row],[Equity]]&lt;Tabla33610673487[[#This Row],[Equity Peak]],(Tabla33610673487[[#This Row],[Equity Peak]]-Tabla33610673487[[#This Row],[Equity]])/Tabla33610673487[[#This Row],[Equity Peak]],"")</f>
        <v>2.4480712166172106E-2</v>
      </c>
      <c r="V26" s="209">
        <f t="shared" si="7"/>
        <v>-0.33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0.76527777777664596</v>
      </c>
      <c r="AE26" s="210">
        <f t="shared" si="16"/>
        <v>0</v>
      </c>
      <c r="AF26" s="210">
        <f t="shared" si="17"/>
        <v>0.76527777777664596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44459.017361111109</v>
      </c>
      <c r="F27" s="200" t="s">
        <v>114</v>
      </c>
      <c r="G27" s="201">
        <v>109.822</v>
      </c>
      <c r="H27" s="201">
        <v>109.282</v>
      </c>
      <c r="I27" s="202">
        <f t="shared" si="1"/>
        <v>0.54000000000000625</v>
      </c>
      <c r="J27" s="201">
        <v>112.34099999999999</v>
      </c>
      <c r="K27" s="199">
        <v>44459.42291666667</v>
      </c>
      <c r="L27" s="201">
        <v>109.73699999999999</v>
      </c>
      <c r="M27" s="203">
        <f t="shared" si="2"/>
        <v>-8.5000000000000006E-2</v>
      </c>
      <c r="N27" s="204">
        <f t="shared" si="3"/>
        <v>-0.16</v>
      </c>
      <c r="O27" s="205">
        <f t="shared" si="4"/>
        <v>0</v>
      </c>
      <c r="P27" s="206">
        <f t="shared" si="5"/>
        <v>0</v>
      </c>
      <c r="Q27" s="206">
        <f t="shared" si="6"/>
        <v>-0.16</v>
      </c>
      <c r="R2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105530</v>
      </c>
      <c r="T2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7" s="208">
        <f ca="1">IF(Tabla33610673487[[#This Row],[Equity]]&lt;Tabla33610673487[[#This Row],[Equity Peak]],(Tabla33610673487[[#This Row],[Equity Peak]]-Tabla33610673487[[#This Row],[Equity]])/Tabla33610673487[[#This Row],[Equity Peak]],"")</f>
        <v>2.1420623145400594E-2</v>
      </c>
      <c r="V27" s="209">
        <f t="shared" si="7"/>
        <v>-0.16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0.40555555556056788</v>
      </c>
      <c r="AE27" s="210">
        <f t="shared" si="16"/>
        <v>0</v>
      </c>
      <c r="AF27" s="210">
        <f t="shared" si="17"/>
        <v>0.40555555556056788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44453.833333333336</v>
      </c>
      <c r="F28" s="200" t="s">
        <v>114</v>
      </c>
      <c r="G28" s="201">
        <v>109.631</v>
      </c>
      <c r="H28" s="201">
        <v>110.128</v>
      </c>
      <c r="I28" s="202">
        <f t="shared" si="1"/>
        <v>0.49699999999999989</v>
      </c>
      <c r="J28" s="201">
        <v>107.31</v>
      </c>
      <c r="K28" s="199">
        <v>44455.651388888888</v>
      </c>
      <c r="L28" s="201">
        <v>109.67100000000001</v>
      </c>
      <c r="M28" s="203">
        <f t="shared" si="2"/>
        <v>-0.04</v>
      </c>
      <c r="N28" s="204">
        <f t="shared" si="3"/>
        <v>-0.08</v>
      </c>
      <c r="O28" s="205">
        <f t="shared" si="4"/>
        <v>0</v>
      </c>
      <c r="P28" s="206">
        <f t="shared" si="5"/>
        <v>0</v>
      </c>
      <c r="Q28" s="206">
        <f t="shared" si="6"/>
        <v>-0.08</v>
      </c>
      <c r="R2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105690</v>
      </c>
      <c r="T2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8" s="208">
        <f ca="1">IF(Tabla33610673487[[#This Row],[Equity]]&lt;Tabla33610673487[[#This Row],[Equity Peak]],(Tabla33610673487[[#This Row],[Equity Peak]]-Tabla33610673487[[#This Row],[Equity]])/Tabla33610673487[[#This Row],[Equity Peak]],"")</f>
        <v>1.9936943620178043E-2</v>
      </c>
      <c r="V28" s="209">
        <f t="shared" si="7"/>
        <v>-0.08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1.8180555555518367</v>
      </c>
      <c r="AE28" s="210">
        <f t="shared" si="16"/>
        <v>0</v>
      </c>
      <c r="AF28" s="210">
        <f t="shared" si="17"/>
        <v>1.8180555555518367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44452.5</v>
      </c>
      <c r="F29" s="200" t="s">
        <v>114</v>
      </c>
      <c r="G29" s="201">
        <v>110.117</v>
      </c>
      <c r="H29" s="201">
        <v>109.651</v>
      </c>
      <c r="I29" s="202">
        <f t="shared" si="1"/>
        <v>0.46600000000000819</v>
      </c>
      <c r="J29" s="201">
        <v>112.29300000000001</v>
      </c>
      <c r="K29" s="199">
        <v>44453.662499999999</v>
      </c>
      <c r="L29" s="201">
        <v>109.883</v>
      </c>
      <c r="M29" s="203">
        <f t="shared" si="2"/>
        <v>-0.23400000000000001</v>
      </c>
      <c r="N29" s="204">
        <f t="shared" si="3"/>
        <v>-0.5</v>
      </c>
      <c r="O29" s="205">
        <f t="shared" si="4"/>
        <v>0</v>
      </c>
      <c r="P29" s="206">
        <f t="shared" si="5"/>
        <v>0</v>
      </c>
      <c r="Q29" s="206">
        <f t="shared" si="6"/>
        <v>-0.5</v>
      </c>
      <c r="R2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105770</v>
      </c>
      <c r="T2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29" s="208">
        <f ca="1">IF(Tabla33610673487[[#This Row],[Equity]]&lt;Tabla33610673487[[#This Row],[Equity Peak]],(Tabla33610673487[[#This Row],[Equity Peak]]-Tabla33610673487[[#This Row],[Equity]])/Tabla33610673487[[#This Row],[Equity Peak]],"")</f>
        <v>1.9195103857566766E-2</v>
      </c>
      <c r="V29" s="209">
        <f t="shared" si="7"/>
        <v>-0.5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1.1624999999985448</v>
      </c>
      <c r="AE29" s="210">
        <f t="shared" si="16"/>
        <v>0</v>
      </c>
      <c r="AF29" s="210">
        <f t="shared" si="17"/>
        <v>1.1624999999985448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44446.833333333336</v>
      </c>
      <c r="F30" s="200" t="s">
        <v>114</v>
      </c>
      <c r="G30" s="201">
        <v>110.21599999999999</v>
      </c>
      <c r="H30" s="201">
        <v>109.81699999999999</v>
      </c>
      <c r="I30" s="202">
        <f t="shared" si="1"/>
        <v>0.39900000000000091</v>
      </c>
      <c r="J30" s="201">
        <v>112.077</v>
      </c>
      <c r="K30" s="199">
        <v>44448.214583333334</v>
      </c>
      <c r="L30" s="201">
        <v>110.11499999999999</v>
      </c>
      <c r="M30" s="203">
        <f t="shared" si="2"/>
        <v>-0.10100000000000001</v>
      </c>
      <c r="N30" s="204">
        <f t="shared" si="3"/>
        <v>-0.25</v>
      </c>
      <c r="O30" s="205">
        <f t="shared" si="4"/>
        <v>0</v>
      </c>
      <c r="P30" s="206">
        <f t="shared" si="5"/>
        <v>0</v>
      </c>
      <c r="Q30" s="206">
        <f t="shared" si="6"/>
        <v>-0.25</v>
      </c>
      <c r="R3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106270</v>
      </c>
      <c r="T3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0" s="208">
        <f ca="1">IF(Tabla33610673487[[#This Row],[Equity]]&lt;Tabla33610673487[[#This Row],[Equity Peak]],(Tabla33610673487[[#This Row],[Equity Peak]]-Tabla33610673487[[#This Row],[Equity]])/Tabla33610673487[[#This Row],[Equity Peak]],"")</f>
        <v>1.455860534124629E-2</v>
      </c>
      <c r="V30" s="209">
        <f t="shared" si="7"/>
        <v>-0.25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1.3812499999985448</v>
      </c>
      <c r="AE30" s="210">
        <f t="shared" si="16"/>
        <v>0</v>
      </c>
      <c r="AF30" s="210">
        <f t="shared" si="17"/>
        <v>1.3812499999985448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44442.833333333336</v>
      </c>
      <c r="F31" s="200" t="s">
        <v>114</v>
      </c>
      <c r="G31" s="201">
        <v>109.63500000000001</v>
      </c>
      <c r="H31" s="201">
        <v>110.166</v>
      </c>
      <c r="I31" s="202">
        <f t="shared" si="1"/>
        <v>0.5309999999999917</v>
      </c>
      <c r="J31" s="201">
        <v>107.15600000000001</v>
      </c>
      <c r="K31" s="199">
        <v>44445.429861111108</v>
      </c>
      <c r="L31" s="201">
        <v>109.902</v>
      </c>
      <c r="M31" s="203">
        <f t="shared" si="2"/>
        <v>-0.26700000000000002</v>
      </c>
      <c r="N31" s="204">
        <f t="shared" si="3"/>
        <v>-0.5</v>
      </c>
      <c r="O31" s="205">
        <f t="shared" si="4"/>
        <v>0</v>
      </c>
      <c r="P31" s="206">
        <f t="shared" si="5"/>
        <v>0</v>
      </c>
      <c r="Q31" s="206">
        <f t="shared" si="6"/>
        <v>-0.5</v>
      </c>
      <c r="R3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106520</v>
      </c>
      <c r="T3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1" s="208">
        <f ca="1">IF(Tabla33610673487[[#This Row],[Equity]]&lt;Tabla33610673487[[#This Row],[Equity Peak]],(Tabla33610673487[[#This Row],[Equity Peak]]-Tabla33610673487[[#This Row],[Equity]])/Tabla33610673487[[#This Row],[Equity Peak]],"")</f>
        <v>1.2240356083086053E-2</v>
      </c>
      <c r="V31" s="209">
        <f t="shared" si="7"/>
        <v>-0.5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2.5965277777722804</v>
      </c>
      <c r="AE31" s="210">
        <f t="shared" si="16"/>
        <v>0</v>
      </c>
      <c r="AF31" s="210">
        <f t="shared" si="17"/>
        <v>2.5965277777722804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44439.833333333336</v>
      </c>
      <c r="F32" s="200" t="s">
        <v>114</v>
      </c>
      <c r="G32" s="201">
        <v>109.97199999999999</v>
      </c>
      <c r="H32" s="201">
        <v>109.453</v>
      </c>
      <c r="I32" s="202">
        <f t="shared" si="1"/>
        <v>0.51899999999999125</v>
      </c>
      <c r="J32" s="201">
        <v>112.395</v>
      </c>
      <c r="K32" s="199">
        <v>44440.667361111111</v>
      </c>
      <c r="L32" s="201">
        <v>109.992</v>
      </c>
      <c r="M32" s="203">
        <f t="shared" si="2"/>
        <v>0.02</v>
      </c>
      <c r="N32" s="204">
        <f t="shared" si="3"/>
        <v>0.04</v>
      </c>
      <c r="O32" s="205">
        <f t="shared" si="4"/>
        <v>0</v>
      </c>
      <c r="P32" s="206">
        <f t="shared" si="5"/>
        <v>0.04</v>
      </c>
      <c r="Q32" s="206">
        <f t="shared" si="6"/>
        <v>0</v>
      </c>
      <c r="R3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107020</v>
      </c>
      <c r="T3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2" s="208">
        <f ca="1">IF(Tabla33610673487[[#This Row],[Equity]]&lt;Tabla33610673487[[#This Row],[Equity Peak]],(Tabla33610673487[[#This Row],[Equity Peak]]-Tabla33610673487[[#This Row],[Equity]])/Tabla33610673487[[#This Row],[Equity Peak]],"")</f>
        <v>7.6038575667655784E-3</v>
      </c>
      <c r="V32" s="209">
        <f t="shared" si="7"/>
        <v>0.04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0.83402777777519077</v>
      </c>
      <c r="AE32" s="210">
        <f t="shared" si="16"/>
        <v>0.83402777777519077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0"/>
        <v>C</v>
      </c>
      <c r="E33" s="199">
        <v>44433.833333333336</v>
      </c>
      <c r="F33" s="200" t="s">
        <v>114</v>
      </c>
      <c r="G33" s="201">
        <v>110.053</v>
      </c>
      <c r="H33" s="201">
        <v>109.4</v>
      </c>
      <c r="I33" s="202">
        <f t="shared" si="1"/>
        <v>0.65299999999999159</v>
      </c>
      <c r="J33" s="201">
        <v>113.098</v>
      </c>
      <c r="K33" s="199">
        <v>44435.719444444447</v>
      </c>
      <c r="L33" s="201">
        <v>109.878</v>
      </c>
      <c r="M33" s="203">
        <f t="shared" si="2"/>
        <v>-0.17499999999999999</v>
      </c>
      <c r="N33" s="204">
        <f t="shared" si="3"/>
        <v>-0.27</v>
      </c>
      <c r="O33" s="205">
        <f t="shared" si="4"/>
        <v>0</v>
      </c>
      <c r="P33" s="206">
        <f t="shared" si="5"/>
        <v>0</v>
      </c>
      <c r="Q33" s="206">
        <f t="shared" si="6"/>
        <v>-0.27</v>
      </c>
      <c r="R3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106980</v>
      </c>
      <c r="T3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3" s="208">
        <f ca="1">IF(Tabla33610673487[[#This Row],[Equity]]&lt;Tabla33610673487[[#This Row],[Equity Peak]],(Tabla33610673487[[#This Row],[Equity Peak]]-Tabla33610673487[[#This Row],[Equity]])/Tabla33610673487[[#This Row],[Equity Peak]],"")</f>
        <v>7.9747774480712161E-3</v>
      </c>
      <c r="V33" s="209">
        <f t="shared" si="7"/>
        <v>-0.27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1.8861111111109494</v>
      </c>
      <c r="AE33" s="210">
        <f t="shared" si="16"/>
        <v>0</v>
      </c>
      <c r="AF33" s="210">
        <f t="shared" si="17"/>
        <v>1.8861111111109494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44431.666666666664</v>
      </c>
      <c r="F34" s="200" t="s">
        <v>114</v>
      </c>
      <c r="G34" s="201">
        <v>110.041</v>
      </c>
      <c r="H34" s="201">
        <v>109.482</v>
      </c>
      <c r="I34" s="202">
        <f t="shared" si="1"/>
        <v>0.5589999999999975</v>
      </c>
      <c r="J34" s="201">
        <v>112.649</v>
      </c>
      <c r="K34" s="199">
        <v>44431.683333333334</v>
      </c>
      <c r="L34" s="201">
        <v>109.761</v>
      </c>
      <c r="M34" s="203">
        <f t="shared" si="2"/>
        <v>-0.28000000000000003</v>
      </c>
      <c r="N34" s="204">
        <f t="shared" si="3"/>
        <v>-0.5</v>
      </c>
      <c r="O34" s="205">
        <f t="shared" si="4"/>
        <v>0</v>
      </c>
      <c r="P34" s="206">
        <f t="shared" si="5"/>
        <v>0</v>
      </c>
      <c r="Q34" s="206">
        <f t="shared" si="6"/>
        <v>-0.5</v>
      </c>
      <c r="R3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107250</v>
      </c>
      <c r="T3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4" s="208">
        <f ca="1">IF(Tabla33610673487[[#This Row],[Equity]]&lt;Tabla33610673487[[#This Row],[Equity Peak]],(Tabla33610673487[[#This Row],[Equity Peak]]-Tabla33610673487[[#This Row],[Equity]])/Tabla33610673487[[#This Row],[Equity Peak]],"")</f>
        <v>5.4710682492581601E-3</v>
      </c>
      <c r="V34" s="209">
        <f t="shared" si="7"/>
        <v>-0.5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1.6666666670062114E-2</v>
      </c>
      <c r="AE34" s="210">
        <f t="shared" si="16"/>
        <v>0</v>
      </c>
      <c r="AF34" s="210">
        <f t="shared" si="17"/>
        <v>1.6666666670062114E-2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ref="D35:D48" si="19">IF(E35&lt;&gt;"",IF(K35&lt;&gt;"","C","O"),"")</f>
        <v>C</v>
      </c>
      <c r="E35" s="199">
        <v>44424.166666666664</v>
      </c>
      <c r="F35" s="200" t="s">
        <v>114</v>
      </c>
      <c r="G35" s="201">
        <v>109.502</v>
      </c>
      <c r="H35" s="201">
        <v>110.137</v>
      </c>
      <c r="I35" s="202">
        <f t="shared" ref="I35:I48" si="20">ABS(G35-H35)</f>
        <v>0.63500000000000512</v>
      </c>
      <c r="J35" s="201">
        <v>106.54</v>
      </c>
      <c r="K35" s="199">
        <v>44425.662499999999</v>
      </c>
      <c r="L35" s="201">
        <v>109.559</v>
      </c>
      <c r="M35" s="203">
        <f t="shared" ref="M35:M48" si="21">ROUND(IF(C35="L",(L35-G35),(G35-L35)),4)</f>
        <v>-5.7000000000000002E-2</v>
      </c>
      <c r="N35" s="204">
        <f t="shared" ref="N35:N48" si="22">IFERROR(ROUND((M35/I35),2),"")</f>
        <v>-0.09</v>
      </c>
      <c r="O35" s="205">
        <f t="shared" ref="O35:O48" si="23">IF(D35="O",IF(N35&lt;0,N35,0),0)</f>
        <v>0</v>
      </c>
      <c r="P35" s="206">
        <f t="shared" ref="P35:P48" si="24">IF(N35&gt;= 0,N35,0)</f>
        <v>0</v>
      </c>
      <c r="Q35" s="206">
        <f t="shared" ref="Q35:Q48" si="25">IF(N35&lt;0,N35,0)</f>
        <v>-0.09</v>
      </c>
      <c r="R3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107750</v>
      </c>
      <c r="T3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5" s="208">
        <f ca="1">IF(Tabla33610673487[[#This Row],[Equity]]&lt;Tabla33610673487[[#This Row],[Equity Peak]],(Tabla33610673487[[#This Row],[Equity Peak]]-Tabla33610673487[[#This Row],[Equity]])/Tabla33610673487[[#This Row],[Equity Peak]],"")</f>
        <v>8.3456973293768544E-4</v>
      </c>
      <c r="V35" s="209">
        <f t="shared" ref="V35:V48" si="26">IF(B35="FX",N35,0)</f>
        <v>-0.09</v>
      </c>
      <c r="W35" s="209">
        <f t="shared" ref="W35:W48" si="27">IF(D35="O",IF(V35&lt;0,V35,0),0)</f>
        <v>0</v>
      </c>
      <c r="X35" s="209">
        <f t="shared" ref="X35:X48" si="28">IF(B35="COM",N35,0)</f>
        <v>0</v>
      </c>
      <c r="Y35" s="209">
        <f t="shared" ref="Y35:Y48" si="29">IF(D35="O",IF(X35&lt;0,X35,0),0)</f>
        <v>0</v>
      </c>
      <c r="Z35" s="209">
        <f t="shared" ref="Z35:Z48" si="30">IF(B35="IND",N35,0)</f>
        <v>0</v>
      </c>
      <c r="AA35" s="205">
        <f t="shared" ref="AA35:AA48" si="31">IF(D35="O",IF(Z35&lt;0,Z35,0),0)</f>
        <v>0</v>
      </c>
      <c r="AB35" s="209">
        <f t="shared" ref="AB35:AB48" si="32">IF(B35="CRYPTO",N35,0)</f>
        <v>0</v>
      </c>
      <c r="AC35" s="205">
        <f t="shared" ref="AC35:AC48" si="33">IF(D35="O",IF(AB35&lt;0,AB35,0),0)</f>
        <v>0</v>
      </c>
      <c r="AD35" s="210">
        <f t="shared" ref="AD35:AD48" si="34">IF(K35&lt;&gt;"",K35-E35,0)</f>
        <v>1.4958333333343035</v>
      </c>
      <c r="AE35" s="210">
        <f t="shared" ref="AE35:AE48" si="35">IF(N35&gt;0,AD35,0)</f>
        <v>0</v>
      </c>
      <c r="AF35" s="210">
        <f t="shared" ref="AF35:AF48" si="36">IF(N35&lt;0,AD35,0)</f>
        <v>1.4958333333343035</v>
      </c>
      <c r="AG35" s="210">
        <f t="shared" ref="AG35:AG48" si="37">IF(N35=0,AD35,0)</f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44414.5</v>
      </c>
      <c r="F36" s="200" t="s">
        <v>114</v>
      </c>
      <c r="G36" s="201">
        <v>109.782</v>
      </c>
      <c r="H36" s="201">
        <v>109.328</v>
      </c>
      <c r="I36" s="202">
        <f t="shared" si="20"/>
        <v>0.45399999999999352</v>
      </c>
      <c r="J36" s="201">
        <v>111.9</v>
      </c>
      <c r="K36" s="199">
        <v>44419.648611111108</v>
      </c>
      <c r="L36" s="201">
        <v>110.526</v>
      </c>
      <c r="M36" s="203">
        <f t="shared" si="21"/>
        <v>0.74399999999999999</v>
      </c>
      <c r="N36" s="204">
        <f t="shared" si="22"/>
        <v>1.64</v>
      </c>
      <c r="O36" s="205">
        <f t="shared" si="23"/>
        <v>0</v>
      </c>
      <c r="P36" s="206">
        <f t="shared" si="24"/>
        <v>1.64</v>
      </c>
      <c r="Q36" s="206">
        <f t="shared" si="25"/>
        <v>0</v>
      </c>
      <c r="R3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107840</v>
      </c>
      <c r="T3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107840</v>
      </c>
      <c r="U36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6" s="209">
        <f t="shared" si="26"/>
        <v>1.64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5.148611111108039</v>
      </c>
      <c r="AE36" s="210">
        <f t="shared" si="35"/>
        <v>5.148611111108039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19"/>
        <v>C</v>
      </c>
      <c r="E37" s="199">
        <v>44399.5</v>
      </c>
      <c r="F37" s="200" t="s">
        <v>114</v>
      </c>
      <c r="G37" s="201">
        <v>110.254</v>
      </c>
      <c r="H37" s="201">
        <v>109.712</v>
      </c>
      <c r="I37" s="202">
        <f t="shared" si="20"/>
        <v>0.54200000000000159</v>
      </c>
      <c r="J37" s="201">
        <v>112.785</v>
      </c>
      <c r="K37" s="199">
        <v>44403.411111111112</v>
      </c>
      <c r="L37" s="201">
        <v>110.25</v>
      </c>
      <c r="M37" s="203">
        <f t="shared" si="21"/>
        <v>-4.0000000000000001E-3</v>
      </c>
      <c r="N37" s="204">
        <f t="shared" si="22"/>
        <v>-0.01</v>
      </c>
      <c r="O37" s="205">
        <f t="shared" si="23"/>
        <v>0</v>
      </c>
      <c r="P37" s="206">
        <f t="shared" si="24"/>
        <v>0</v>
      </c>
      <c r="Q37" s="206">
        <f t="shared" si="25"/>
        <v>-0.01</v>
      </c>
      <c r="R3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106200</v>
      </c>
      <c r="T3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106470</v>
      </c>
      <c r="U37" s="208">
        <f ca="1">IF(Tabla33610673487[[#This Row],[Equity]]&lt;Tabla33610673487[[#This Row],[Equity Peak]],(Tabla33610673487[[#This Row],[Equity Peak]]-Tabla33610673487[[#This Row],[Equity]])/Tabla33610673487[[#This Row],[Equity Peak]],"")</f>
        <v>2.5359256128486898E-3</v>
      </c>
      <c r="V37" s="209">
        <f t="shared" si="26"/>
        <v>-0.01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3.9111111111124046</v>
      </c>
      <c r="AE37" s="210">
        <f t="shared" si="35"/>
        <v>0</v>
      </c>
      <c r="AF37" s="210">
        <f t="shared" si="36"/>
        <v>3.9111111111124046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19"/>
        <v>C</v>
      </c>
      <c r="E38" s="199">
        <v>44378.5</v>
      </c>
      <c r="F38" s="200" t="s">
        <v>114</v>
      </c>
      <c r="G38" s="201">
        <v>111.40600000000001</v>
      </c>
      <c r="H38" s="201">
        <v>110.83199999999999</v>
      </c>
      <c r="I38" s="202">
        <f t="shared" si="20"/>
        <v>0.57400000000001228</v>
      </c>
      <c r="J38" s="201">
        <v>114.083</v>
      </c>
      <c r="K38" s="199">
        <v>44379.652083333334</v>
      </c>
      <c r="L38" s="201">
        <v>111.32299999999999</v>
      </c>
      <c r="M38" s="203">
        <f t="shared" si="21"/>
        <v>-8.3000000000000004E-2</v>
      </c>
      <c r="N38" s="204">
        <f t="shared" si="22"/>
        <v>-0.14000000000000001</v>
      </c>
      <c r="O38" s="205">
        <f t="shared" si="23"/>
        <v>0</v>
      </c>
      <c r="P38" s="206">
        <f t="shared" si="24"/>
        <v>0</v>
      </c>
      <c r="Q38" s="206">
        <f t="shared" si="25"/>
        <v>-0.14000000000000001</v>
      </c>
      <c r="R3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106210</v>
      </c>
      <c r="T3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106470</v>
      </c>
      <c r="U38" s="208">
        <f ca="1">IF(Tabla33610673487[[#This Row],[Equity]]&lt;Tabla33610673487[[#This Row],[Equity Peak]],(Tabla33610673487[[#This Row],[Equity Peak]]-Tabla33610673487[[#This Row],[Equity]])/Tabla33610673487[[#This Row],[Equity Peak]],"")</f>
        <v>2.442002442002442E-3</v>
      </c>
      <c r="V38" s="209">
        <f t="shared" si="26"/>
        <v>-0.14000000000000001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1.1520833333343035</v>
      </c>
      <c r="AE38" s="210">
        <f t="shared" si="35"/>
        <v>0</v>
      </c>
      <c r="AF38" s="210">
        <f t="shared" si="36"/>
        <v>1.1520833333343035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19"/>
        <v>C</v>
      </c>
      <c r="E39" s="199">
        <v>44358.833333333336</v>
      </c>
      <c r="F39" s="200" t="s">
        <v>114</v>
      </c>
      <c r="G39" s="201">
        <v>109.68899999999999</v>
      </c>
      <c r="H39" s="201">
        <v>109.081</v>
      </c>
      <c r="I39" s="202">
        <f t="shared" si="20"/>
        <v>0.60799999999998988</v>
      </c>
      <c r="J39" s="201">
        <v>112.52800000000001</v>
      </c>
      <c r="K39" s="199">
        <v>44363.629861111112</v>
      </c>
      <c r="L39" s="201">
        <v>109.85899999999999</v>
      </c>
      <c r="M39" s="203">
        <f t="shared" si="21"/>
        <v>0.17</v>
      </c>
      <c r="N39" s="204">
        <f t="shared" si="22"/>
        <v>0.28000000000000003</v>
      </c>
      <c r="O39" s="205">
        <f t="shared" si="23"/>
        <v>0</v>
      </c>
      <c r="P39" s="206">
        <f t="shared" si="24"/>
        <v>0.28000000000000003</v>
      </c>
      <c r="Q39" s="206">
        <f t="shared" si="25"/>
        <v>0</v>
      </c>
      <c r="R3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106350</v>
      </c>
      <c r="T3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106470</v>
      </c>
      <c r="U39" s="208">
        <f ca="1">IF(Tabla33610673487[[#This Row],[Equity]]&lt;Tabla33610673487[[#This Row],[Equity Peak]],(Tabla33610673487[[#This Row],[Equity Peak]]-Tabla33610673487[[#This Row],[Equity]])/Tabla33610673487[[#This Row],[Equity Peak]],"")</f>
        <v>1.1270780501549732E-3</v>
      </c>
      <c r="V39" s="209">
        <f t="shared" si="26"/>
        <v>0.28000000000000003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4.796527777776646</v>
      </c>
      <c r="AE39" s="210">
        <f t="shared" si="35"/>
        <v>4.796527777776646</v>
      </c>
      <c r="AF39" s="210">
        <f t="shared" si="36"/>
        <v>0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19"/>
        <v>C</v>
      </c>
      <c r="E40" s="199">
        <v>44357.017361111109</v>
      </c>
      <c r="F40" s="200" t="s">
        <v>114</v>
      </c>
      <c r="G40" s="201">
        <v>109.60299999999999</v>
      </c>
      <c r="H40" s="201">
        <v>109.07599999999999</v>
      </c>
      <c r="I40" s="202">
        <f t="shared" si="20"/>
        <v>0.52700000000000102</v>
      </c>
      <c r="J40" s="201">
        <v>112.06</v>
      </c>
      <c r="K40" s="199">
        <v>44357.92291666667</v>
      </c>
      <c r="L40" s="201">
        <v>109.39100000000001</v>
      </c>
      <c r="M40" s="203">
        <f t="shared" si="21"/>
        <v>-0.21199999999999999</v>
      </c>
      <c r="N40" s="204">
        <f t="shared" si="22"/>
        <v>-0.4</v>
      </c>
      <c r="O40" s="205">
        <f t="shared" si="23"/>
        <v>0</v>
      </c>
      <c r="P40" s="206">
        <f t="shared" si="24"/>
        <v>0</v>
      </c>
      <c r="Q40" s="206">
        <f t="shared" si="25"/>
        <v>-0.4</v>
      </c>
      <c r="R4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106070</v>
      </c>
      <c r="T4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106470</v>
      </c>
      <c r="U40" s="208">
        <f ca="1">IF(Tabla33610673487[[#This Row],[Equity]]&lt;Tabla33610673487[[#This Row],[Equity Peak]],(Tabla33610673487[[#This Row],[Equity Peak]]-Tabla33610673487[[#This Row],[Equity]])/Tabla33610673487[[#This Row],[Equity Peak]],"")</f>
        <v>3.7569268338499108E-3</v>
      </c>
      <c r="V40" s="209">
        <f t="shared" si="26"/>
        <v>-0.4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0.90555555556056788</v>
      </c>
      <c r="AE40" s="210">
        <f t="shared" si="35"/>
        <v>0</v>
      </c>
      <c r="AF40" s="210">
        <f t="shared" si="36"/>
        <v>0.90555555556056788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15</v>
      </c>
      <c r="D41" s="198" t="str">
        <f t="shared" si="19"/>
        <v>C</v>
      </c>
      <c r="E41" s="199">
        <v>44343.166666666664</v>
      </c>
      <c r="F41" s="200" t="s">
        <v>114</v>
      </c>
      <c r="G41" s="201">
        <v>109.16200000000001</v>
      </c>
      <c r="H41" s="201">
        <v>108.66500000000001</v>
      </c>
      <c r="I41" s="202">
        <f t="shared" si="20"/>
        <v>0.49699999999999989</v>
      </c>
      <c r="J41" s="201">
        <v>111.48</v>
      </c>
      <c r="K41" s="199">
        <v>44347.17291666667</v>
      </c>
      <c r="L41" s="201">
        <v>109.72</v>
      </c>
      <c r="M41" s="203">
        <f t="shared" si="21"/>
        <v>0.55800000000000005</v>
      </c>
      <c r="N41" s="204">
        <f t="shared" si="22"/>
        <v>1.1200000000000001</v>
      </c>
      <c r="O41" s="205">
        <f t="shared" si="23"/>
        <v>0</v>
      </c>
      <c r="P41" s="206">
        <f t="shared" si="24"/>
        <v>1.1200000000000001</v>
      </c>
      <c r="Q41" s="206">
        <f t="shared" si="25"/>
        <v>0</v>
      </c>
      <c r="R4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106470</v>
      </c>
      <c r="T4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106470</v>
      </c>
      <c r="U41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1" s="209">
        <f t="shared" si="26"/>
        <v>1.1200000000000001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4.0062500000058208</v>
      </c>
      <c r="AE41" s="210">
        <f t="shared" si="35"/>
        <v>4.0062500000058208</v>
      </c>
      <c r="AF41" s="210">
        <f t="shared" si="36"/>
        <v>0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15</v>
      </c>
      <c r="D42" s="198" t="str">
        <f t="shared" si="19"/>
        <v>C</v>
      </c>
      <c r="E42" s="199">
        <v>44328.833333333336</v>
      </c>
      <c r="F42" s="200" t="s">
        <v>114</v>
      </c>
      <c r="G42" s="201">
        <v>109.631</v>
      </c>
      <c r="H42" s="201">
        <v>108.717</v>
      </c>
      <c r="I42" s="202">
        <f t="shared" si="20"/>
        <v>0.91400000000000148</v>
      </c>
      <c r="J42" s="201">
        <v>113.89400000000001</v>
      </c>
      <c r="K42" s="199">
        <v>44330.645833333336</v>
      </c>
      <c r="L42" s="201">
        <v>109.236</v>
      </c>
      <c r="M42" s="203">
        <f t="shared" si="21"/>
        <v>-0.39500000000000002</v>
      </c>
      <c r="N42" s="204">
        <f t="shared" si="22"/>
        <v>-0.43</v>
      </c>
      <c r="O42" s="205">
        <f t="shared" si="23"/>
        <v>0</v>
      </c>
      <c r="P42" s="206">
        <f t="shared" si="24"/>
        <v>0</v>
      </c>
      <c r="Q42" s="206">
        <f t="shared" si="25"/>
        <v>-0.43</v>
      </c>
      <c r="R4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105350</v>
      </c>
      <c r="T4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106130</v>
      </c>
      <c r="U42" s="208">
        <f ca="1">IF(Tabla33610673487[[#This Row],[Equity]]&lt;Tabla33610673487[[#This Row],[Equity Peak]],(Tabla33610673487[[#This Row],[Equity Peak]]-Tabla33610673487[[#This Row],[Equity]])/Tabla33610673487[[#This Row],[Equity Peak]],"")</f>
        <v>7.3494770564402146E-3</v>
      </c>
      <c r="V42" s="209">
        <f t="shared" si="26"/>
        <v>-0.43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1.8125</v>
      </c>
      <c r="AE42" s="210">
        <f t="shared" si="35"/>
        <v>0</v>
      </c>
      <c r="AF42" s="210">
        <f t="shared" si="36"/>
        <v>1.8125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15</v>
      </c>
      <c r="D43" s="198" t="str">
        <f t="shared" si="19"/>
        <v>C</v>
      </c>
      <c r="E43" s="199">
        <v>44314.333333333336</v>
      </c>
      <c r="F43" s="200" t="s">
        <v>114</v>
      </c>
      <c r="G43" s="201">
        <v>108.851</v>
      </c>
      <c r="H43" s="201">
        <v>108.175</v>
      </c>
      <c r="I43" s="202">
        <f t="shared" si="20"/>
        <v>0.67600000000000193</v>
      </c>
      <c r="J43" s="201">
        <v>112.00700000000001</v>
      </c>
      <c r="K43" s="199">
        <v>44314.902083333334</v>
      </c>
      <c r="L43" s="201">
        <v>108.614</v>
      </c>
      <c r="M43" s="203">
        <f t="shared" si="21"/>
        <v>-0.23699999999999999</v>
      </c>
      <c r="N43" s="204">
        <f t="shared" si="22"/>
        <v>-0.35</v>
      </c>
      <c r="O43" s="205">
        <f t="shared" si="23"/>
        <v>0</v>
      </c>
      <c r="P43" s="206">
        <f t="shared" si="24"/>
        <v>0</v>
      </c>
      <c r="Q43" s="206">
        <f t="shared" si="25"/>
        <v>-0.35</v>
      </c>
      <c r="R4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105780</v>
      </c>
      <c r="T4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106130</v>
      </c>
      <c r="U43" s="208">
        <f ca="1">IF(Tabla33610673487[[#This Row],[Equity]]&lt;Tabla33610673487[[#This Row],[Equity Peak]],(Tabla33610673487[[#This Row],[Equity Peak]]-Tabla33610673487[[#This Row],[Equity]])/Tabla33610673487[[#This Row],[Equity Peak]],"")</f>
        <v>3.2978422689154811E-3</v>
      </c>
      <c r="V43" s="209">
        <f t="shared" si="26"/>
        <v>-0.35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0.56874999999854481</v>
      </c>
      <c r="AE43" s="210">
        <f t="shared" si="35"/>
        <v>0</v>
      </c>
      <c r="AF43" s="210">
        <f t="shared" si="36"/>
        <v>0.56874999999854481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19"/>
        <v>C</v>
      </c>
      <c r="E44" s="199">
        <v>44251.333333333336</v>
      </c>
      <c r="F44" s="200" t="s">
        <v>114</v>
      </c>
      <c r="G44" s="201">
        <v>105.533</v>
      </c>
      <c r="H44" s="201">
        <v>104.845</v>
      </c>
      <c r="I44" s="202">
        <f t="shared" si="20"/>
        <v>0.68800000000000239</v>
      </c>
      <c r="J44" s="201">
        <v>108.74299999999999</v>
      </c>
      <c r="K44" s="199">
        <v>44263.693749999999</v>
      </c>
      <c r="L44" s="201">
        <v>108.74299999999999</v>
      </c>
      <c r="M44" s="203">
        <f t="shared" si="21"/>
        <v>3.21</v>
      </c>
      <c r="N44" s="204">
        <f t="shared" si="22"/>
        <v>4.67</v>
      </c>
      <c r="O44" s="205">
        <f t="shared" si="23"/>
        <v>0</v>
      </c>
      <c r="P44" s="206">
        <f t="shared" si="24"/>
        <v>4.67</v>
      </c>
      <c r="Q44" s="206">
        <f t="shared" si="25"/>
        <v>0</v>
      </c>
      <c r="R4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106130</v>
      </c>
      <c r="T4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106130</v>
      </c>
      <c r="U44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4" s="209">
        <f t="shared" si="26"/>
        <v>4.67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12.360416666662786</v>
      </c>
      <c r="AE44" s="210">
        <f t="shared" si="35"/>
        <v>12.360416666662786</v>
      </c>
      <c r="AF44" s="210">
        <f t="shared" si="36"/>
        <v>0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15</v>
      </c>
      <c r="D45" s="198" t="str">
        <f t="shared" si="19"/>
        <v>C</v>
      </c>
      <c r="E45" s="199">
        <v>44239.5</v>
      </c>
      <c r="F45" s="200" t="s">
        <v>114</v>
      </c>
      <c r="G45" s="201">
        <v>105.041</v>
      </c>
      <c r="H45" s="201">
        <v>104.599</v>
      </c>
      <c r="I45" s="202">
        <f t="shared" si="20"/>
        <v>0.44199999999999307</v>
      </c>
      <c r="J45" s="201">
        <v>107.105</v>
      </c>
      <c r="K45" s="199">
        <v>44246.29791666667</v>
      </c>
      <c r="L45" s="201">
        <v>105.57299999999999</v>
      </c>
      <c r="M45" s="203">
        <f t="shared" si="21"/>
        <v>0.53200000000000003</v>
      </c>
      <c r="N45" s="204">
        <f t="shared" si="22"/>
        <v>1.2</v>
      </c>
      <c r="O45" s="205">
        <f t="shared" si="23"/>
        <v>0</v>
      </c>
      <c r="P45" s="206">
        <f t="shared" si="24"/>
        <v>1.2</v>
      </c>
      <c r="Q45" s="206">
        <f t="shared" si="25"/>
        <v>0</v>
      </c>
      <c r="R4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101460</v>
      </c>
      <c r="T4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101460</v>
      </c>
      <c r="U45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5" s="209">
        <f t="shared" si="26"/>
        <v>1.2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6.7979166666700621</v>
      </c>
      <c r="AE45" s="210">
        <f t="shared" si="35"/>
        <v>6.7979166666700621</v>
      </c>
      <c r="AF45" s="210">
        <f t="shared" si="36"/>
        <v>0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13</v>
      </c>
      <c r="D46" s="198" t="str">
        <f t="shared" si="19"/>
        <v>C</v>
      </c>
      <c r="E46" s="199">
        <v>44223.017361111109</v>
      </c>
      <c r="F46" s="200" t="s">
        <v>114</v>
      </c>
      <c r="G46" s="201">
        <v>103.622</v>
      </c>
      <c r="H46" s="201">
        <v>104.024</v>
      </c>
      <c r="I46" s="202">
        <f t="shared" si="20"/>
        <v>0.40200000000000102</v>
      </c>
      <c r="J46" s="201">
        <v>101.745</v>
      </c>
      <c r="K46" s="199">
        <v>44223.502083333333</v>
      </c>
      <c r="L46" s="201">
        <v>103.80200000000001</v>
      </c>
      <c r="M46" s="203">
        <f t="shared" si="21"/>
        <v>-0.18</v>
      </c>
      <c r="N46" s="204">
        <f t="shared" si="22"/>
        <v>-0.45</v>
      </c>
      <c r="O46" s="205">
        <f t="shared" si="23"/>
        <v>0</v>
      </c>
      <c r="P46" s="206">
        <f t="shared" si="24"/>
        <v>0</v>
      </c>
      <c r="Q46" s="206">
        <f t="shared" si="25"/>
        <v>-0.45</v>
      </c>
      <c r="R4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100260</v>
      </c>
      <c r="T4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100860</v>
      </c>
      <c r="U46" s="208">
        <f ca="1">IF(Tabla33610673487[[#This Row],[Equity]]&lt;Tabla33610673487[[#This Row],[Equity Peak]],(Tabla33610673487[[#This Row],[Equity Peak]]-Tabla33610673487[[#This Row],[Equity]])/Tabla33610673487[[#This Row],[Equity Peak]],"")</f>
        <v>5.9488399762046397E-3</v>
      </c>
      <c r="V46" s="209">
        <f t="shared" si="26"/>
        <v>-0.45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0.48472222222335404</v>
      </c>
      <c r="AE46" s="210">
        <f t="shared" si="35"/>
        <v>0</v>
      </c>
      <c r="AF46" s="210">
        <f t="shared" si="36"/>
        <v>0.48472222222335404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44217.017361111109</v>
      </c>
      <c r="F47" s="200" t="s">
        <v>114</v>
      </c>
      <c r="G47" s="201">
        <v>103.54600000000001</v>
      </c>
      <c r="H47" s="201">
        <v>103.998</v>
      </c>
      <c r="I47" s="202">
        <f t="shared" si="20"/>
        <v>0.45199999999999818</v>
      </c>
      <c r="J47" s="201">
        <v>101.435</v>
      </c>
      <c r="K47" s="199">
        <v>44217.67083333333</v>
      </c>
      <c r="L47" s="201">
        <v>103.61199999999999</v>
      </c>
      <c r="M47" s="203">
        <f t="shared" si="21"/>
        <v>-6.6000000000000003E-2</v>
      </c>
      <c r="N47" s="204">
        <f t="shared" si="22"/>
        <v>-0.15</v>
      </c>
      <c r="O47" s="205">
        <f t="shared" si="23"/>
        <v>0</v>
      </c>
      <c r="P47" s="206">
        <f t="shared" si="24"/>
        <v>0</v>
      </c>
      <c r="Q47" s="206">
        <f t="shared" si="25"/>
        <v>-0.15</v>
      </c>
      <c r="R4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100710</v>
      </c>
      <c r="T4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100860</v>
      </c>
      <c r="U47" s="208">
        <f ca="1">IF(Tabla33610673487[[#This Row],[Equity]]&lt;Tabla33610673487[[#This Row],[Equity Peak]],(Tabla33610673487[[#This Row],[Equity Peak]]-Tabla33610673487[[#This Row],[Equity]])/Tabla33610673487[[#This Row],[Equity Peak]],"")</f>
        <v>1.4872099940511599E-3</v>
      </c>
      <c r="V47" s="209">
        <f t="shared" si="26"/>
        <v>-0.15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0.65347222222044365</v>
      </c>
      <c r="AE47" s="210">
        <f t="shared" si="35"/>
        <v>0</v>
      </c>
      <c r="AF47" s="210">
        <f t="shared" si="36"/>
        <v>0.65347222222044365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19"/>
        <v>C</v>
      </c>
      <c r="E48" s="199">
        <v>44195.017361111109</v>
      </c>
      <c r="F48" s="200" t="s">
        <v>114</v>
      </c>
      <c r="G48" s="201">
        <v>103.56100000000001</v>
      </c>
      <c r="H48" s="201">
        <v>104.033</v>
      </c>
      <c r="I48" s="202">
        <f t="shared" si="20"/>
        <v>0.4719999999999942</v>
      </c>
      <c r="J48" s="201">
        <v>101.35899999999999</v>
      </c>
      <c r="K48" s="199">
        <v>44200.722916666666</v>
      </c>
      <c r="L48" s="201">
        <v>103.15300000000001</v>
      </c>
      <c r="M48" s="203">
        <f t="shared" si="21"/>
        <v>0.40799999999999997</v>
      </c>
      <c r="N48" s="204">
        <f t="shared" si="22"/>
        <v>0.86</v>
      </c>
      <c r="O48" s="205">
        <f t="shared" si="23"/>
        <v>0</v>
      </c>
      <c r="P48" s="206">
        <f t="shared" si="24"/>
        <v>0.86</v>
      </c>
      <c r="Q48" s="206">
        <f t="shared" si="25"/>
        <v>0</v>
      </c>
      <c r="R4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100860</v>
      </c>
      <c r="T4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100860</v>
      </c>
      <c r="U48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8" s="209">
        <f t="shared" si="26"/>
        <v>0.86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5.7055555555562023</v>
      </c>
      <c r="AE48" s="210">
        <f t="shared" si="35"/>
        <v>5.7055555555562023</v>
      </c>
      <c r="AF48" s="210">
        <f t="shared" si="36"/>
        <v>0</v>
      </c>
      <c r="AG48" s="210">
        <f t="shared" si="37"/>
        <v>0</v>
      </c>
    </row>
  </sheetData>
  <sheetProtection algorithmName="SHA-512" hashValue="ChFuruxfTCYmJjbT6uArN/ou6xAMUUE2cHXnK1APoAQZgB1dy6pk9g5sdlGgCc6i35c+sqekt3KDm6aE+OFr/w==" saltValue="RQ9q8aTa1G6malsRNf/3L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03" priority="3" operator="equal">
      <formula>"OK"</formula>
    </cfRule>
    <cfRule type="cellIs" dxfId="502" priority="4" operator="equal">
      <formula>"warning"</formula>
    </cfRule>
  </conditionalFormatting>
  <conditionalFormatting sqref="F13">
    <cfRule type="cellIs" dxfId="501" priority="1" operator="equal">
      <formula>"OK"</formula>
    </cfRule>
    <cfRule type="cellIs" dxfId="500" priority="2" operator="equal">
      <formula>"Error!!"</formula>
    </cfRule>
  </conditionalFormatting>
  <conditionalFormatting sqref="E15:H15 K15:L15">
    <cfRule type="expression" dxfId="499" priority="5">
      <formula>+$D15=#REF!</formula>
    </cfRule>
    <cfRule type="expression" dxfId="498" priority="6">
      <formula>+$D15=#REF!</formula>
    </cfRule>
  </conditionalFormatting>
  <conditionalFormatting sqref="D15 K16:L16 D16:H48 J17:L48">
    <cfRule type="expression" dxfId="497" priority="7">
      <formula>+$D15=$AG$8</formula>
    </cfRule>
    <cfRule type="expression" dxfId="49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E02DF4FB-26E3-4931-86B9-5CBD72BC10FC}">
      <formula1>$AE$4:$AE$6</formula1>
    </dataValidation>
    <dataValidation type="list" allowBlank="1" showInputMessage="1" showErrorMessage="1" promptTitle="Trade Direction" prompt="Select from List" sqref="C15:C16" xr:uid="{8B2CD69A-6E38-429C-9C4B-4B88E19C5E68}">
      <formula1>$AG$4:$AG$5</formula1>
    </dataValidation>
    <dataValidation type="list" allowBlank="1" showInputMessage="1" showErrorMessage="1" promptTitle="Instrument Type" prompt="Select Type from List_x000a_" sqref="B17:B48" xr:uid="{C8B75768-2A9C-4DDB-978F-19794C356DE7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F841-3DF8-4F72-ADE2-2220CC30A5C0}">
  <sheetPr codeName="Hoja26">
    <pageSetUpPr fitToPage="1"/>
  </sheetPr>
  <dimension ref="A1:AX2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COUNTA(Tabla336106734820[Inst])</f>
        <v>11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11.36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11.36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COUNTIF(Tabla336106734820[No. of Rs],"&gt;0")</f>
        <v>8</v>
      </c>
      <c r="G7" s="24">
        <f>IFERROR((F7/$F$6),"")</f>
        <v>0.72727272727272729</v>
      </c>
      <c r="H7" s="78">
        <f>IFERROR((+P13/F7),"")</f>
        <v>1.6875</v>
      </c>
      <c r="I7" s="227">
        <f>H7/H9</f>
        <v>2.3656542056074765</v>
      </c>
      <c r="J7" s="227">
        <f>AVERAGE(Tabla336106734820[No. of Rs])</f>
        <v>1.0327272727272727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COUNTIF(Tabla336106734820[No.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OFFSET(Tabla336106734820[[#Headers],[Equity]],1,0)</f>
        <v>111360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COUNTIF(Tabla336106734820[No. of Rs],"&lt;0")</f>
        <v>3</v>
      </c>
      <c r="G9" s="32">
        <f>IFERROR((F9/$F$6),"")</f>
        <v>0.27272727272727271</v>
      </c>
      <c r="H9" s="79">
        <f>IFERROR((-Q13/F9),"")</f>
        <v>0.71333333333333337</v>
      </c>
      <c r="I9" s="229"/>
      <c r="J9" s="229"/>
      <c r="K9" s="149"/>
      <c r="L9" s="230" t="s">
        <v>106</v>
      </c>
      <c r="M9" s="231"/>
      <c r="N9" s="125">
        <f ca="1">MAX(Tabla336106734820[Drawdown])</f>
        <v>0.01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OFFSET(Tabla336106734820[[#Headers],[Drawdown]],1,0)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COUNTIF(Tabla336106734820[Heat],"&lt;0")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IF(COUNTIFS(Tabla336106734820[O/C],"O")&lt;1,"None",COUNTIFS(Tabla336106734820[O/C],"O"))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SUM(Tabla336106734820[No. of Rs])</f>
        <v>11.36</v>
      </c>
      <c r="O13" s="42">
        <f>SUM(Tabla336106734820[Heat])</f>
        <v>0</v>
      </c>
      <c r="P13" s="43">
        <f>SUM(Tabla336106734820[[ TR WIN]])</f>
        <v>13.5</v>
      </c>
      <c r="Q13" s="43">
        <f>SUM(Tabla336106734820[[ TR LOSS]])</f>
        <v>-2.14</v>
      </c>
      <c r="R13" s="114"/>
      <c r="S13" s="115"/>
      <c r="T13" s="115"/>
      <c r="U13" s="121"/>
      <c r="V13" s="44">
        <f>SUM(Tabla336106734820[Currency])</f>
        <v>0</v>
      </c>
      <c r="W13" s="44">
        <f>SUM(Tabla336106734820[Heat3])</f>
        <v>0</v>
      </c>
      <c r="X13" s="44">
        <f>SUM(Tabla336106734820[Commodities])</f>
        <v>11.36</v>
      </c>
      <c r="Y13" s="44">
        <f>SUM(Tabla336106734820[Heat4])</f>
        <v>0</v>
      </c>
      <c r="Z13" s="44">
        <f>SUM(Tabla336106734820[Index])</f>
        <v>0</v>
      </c>
      <c r="AA13" s="44">
        <f>SUM(Tabla336106734820[Heat5])</f>
        <v>0</v>
      </c>
      <c r="AB13" s="44">
        <f>SUM(Tabla336106734820[Cryptocurrency])</f>
        <v>0</v>
      </c>
      <c r="AC13" s="44">
        <f>SUM(Tabla336106734820[Heat6])</f>
        <v>0</v>
      </c>
      <c r="AD13" s="75">
        <f>AVERAGEIF(Tabla336106734820[Length of 
Trade],"&lt;&gt;0")</f>
        <v>7.2059343434355636</v>
      </c>
      <c r="AE13" s="75">
        <f>AVERAGEIF(Tabla336106734820[Win],"&lt;&gt;0")</f>
        <v>7.7097222222228083</v>
      </c>
      <c r="AF13" s="75">
        <f>AVERAGEIF(Tabla336106734820[Loss],"&lt;&gt;0")</f>
        <v>5.8625000000029104</v>
      </c>
      <c r="AG13" s="76" t="e">
        <f>AVERAGEIF(Tabla336106734820[Breakeven],"&lt;&gt;0")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13</v>
      </c>
      <c r="D17" s="198" t="str">
        <f t="shared" ref="D17:D27" si="0">IF(E17&lt;&gt;"",IF(K17&lt;&gt;"","C","O"),"")</f>
        <v>C</v>
      </c>
      <c r="E17" s="199">
        <v>44523.708333333336</v>
      </c>
      <c r="F17" s="200" t="s">
        <v>89</v>
      </c>
      <c r="G17" s="201">
        <v>23.529</v>
      </c>
      <c r="H17" s="201">
        <v>24.111999999999998</v>
      </c>
      <c r="I17" s="202">
        <f t="shared" ref="I17:I27" si="1">ABS(G17-H17)</f>
        <v>0.58299999999999841</v>
      </c>
      <c r="J17" s="201">
        <v>20.73</v>
      </c>
      <c r="K17" s="199">
        <v>44543.123611111114</v>
      </c>
      <c r="L17" s="201">
        <v>22.295999999999999</v>
      </c>
      <c r="M17" s="203">
        <f t="shared" ref="M17:M27" si="2">ROUND(IF(C17="L",(L17-G17),(G17-L17)),4)</f>
        <v>1.2330000000000001</v>
      </c>
      <c r="N17" s="204">
        <f t="shared" ref="N17:N27" si="3">IFERROR(ROUND((M17/I17),2),"")</f>
        <v>2.11</v>
      </c>
      <c r="O17" s="205">
        <f t="shared" ref="O17:O27" si="4">IF(D17="O",IF(N17&lt;0,N17,0),0)</f>
        <v>0</v>
      </c>
      <c r="P17" s="206">
        <f t="shared" ref="P17:P27" si="5">IF(N17&gt;= 0,N17,0)</f>
        <v>2.11</v>
      </c>
      <c r="Q17" s="206">
        <f t="shared" ref="Q17:Q27" si="6">IF(N17&lt;0,N17,0)</f>
        <v>0</v>
      </c>
      <c r="R17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7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111360</v>
      </c>
      <c r="T17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111360</v>
      </c>
      <c r="U17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17" s="209">
        <f t="shared" ref="V17:V27" si="7">IF(B17="FX",N17,0)</f>
        <v>0</v>
      </c>
      <c r="W17" s="209">
        <f t="shared" ref="W17:W27" si="8">IF(D17="O",IF(V17&lt;0,V17,0),0)</f>
        <v>0</v>
      </c>
      <c r="X17" s="209">
        <f t="shared" ref="X17:X27" si="9">IF(B17="COM",N17,0)</f>
        <v>2.11</v>
      </c>
      <c r="Y17" s="209">
        <f t="shared" ref="Y17:Y27" si="10">IF(D17="O",IF(X17&lt;0,X17,0),0)</f>
        <v>0</v>
      </c>
      <c r="Z17" s="209">
        <f t="shared" ref="Z17:Z27" si="11">IF(B17="IND",N17,0)</f>
        <v>0</v>
      </c>
      <c r="AA17" s="205">
        <f t="shared" ref="AA17:AA27" si="12">IF(D17="O",IF(Z17&lt;0,Z17,0),0)</f>
        <v>0</v>
      </c>
      <c r="AB17" s="209">
        <f t="shared" ref="AB17:AB27" si="13">IF(B17="CRYPTO",N17,0)</f>
        <v>0</v>
      </c>
      <c r="AC17" s="205">
        <f t="shared" ref="AC17:AC27" si="14">IF(D17="O",IF(AB17&lt;0,AB17,0),0)</f>
        <v>0</v>
      </c>
      <c r="AD17" s="210">
        <f t="shared" ref="AD17:AD27" si="15">IF(K17&lt;&gt;"",K17-E17,0)</f>
        <v>19.415277777778101</v>
      </c>
      <c r="AE17" s="210">
        <f t="shared" ref="AE17:AE27" si="16">IF(N17&gt;0,AD17,0)</f>
        <v>19.415277777778101</v>
      </c>
      <c r="AF17" s="210">
        <f t="shared" ref="AF17:AF27" si="17">IF(N17&lt;0,AD17,0)</f>
        <v>0</v>
      </c>
      <c r="AG17" s="210">
        <f t="shared" ref="AG17:AG27" si="18">IF(N17=0,AD17,0)</f>
        <v>0</v>
      </c>
    </row>
    <row r="18" spans="2:33" ht="15" customHeight="1" x14ac:dyDescent="0.3">
      <c r="B18" s="196" t="s">
        <v>19</v>
      </c>
      <c r="C18" s="197" t="s">
        <v>15</v>
      </c>
      <c r="D18" s="198" t="str">
        <f t="shared" si="0"/>
        <v>C</v>
      </c>
      <c r="E18" s="199">
        <v>44505.375</v>
      </c>
      <c r="F18" s="200" t="s">
        <v>89</v>
      </c>
      <c r="G18" s="201">
        <v>23.876000000000001</v>
      </c>
      <c r="H18" s="201">
        <v>23.33</v>
      </c>
      <c r="I18" s="202">
        <f t="shared" si="1"/>
        <v>0.54600000000000293</v>
      </c>
      <c r="J18" s="201">
        <v>26.494</v>
      </c>
      <c r="K18" s="199">
        <v>44510.81527777778</v>
      </c>
      <c r="L18" s="201">
        <v>24.622</v>
      </c>
      <c r="M18" s="203">
        <f t="shared" si="2"/>
        <v>0.746</v>
      </c>
      <c r="N18" s="204">
        <f t="shared" si="3"/>
        <v>1.37</v>
      </c>
      <c r="O18" s="205">
        <f t="shared" si="4"/>
        <v>0</v>
      </c>
      <c r="P18" s="206">
        <f t="shared" si="5"/>
        <v>1.37</v>
      </c>
      <c r="Q18" s="206">
        <f t="shared" si="6"/>
        <v>0</v>
      </c>
      <c r="R18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8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109250</v>
      </c>
      <c r="T18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18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1.37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5.4402777777795563</v>
      </c>
      <c r="AE18" s="210">
        <f t="shared" si="16"/>
        <v>5.4402777777795563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13</v>
      </c>
      <c r="D19" s="198" t="str">
        <f t="shared" si="0"/>
        <v>C</v>
      </c>
      <c r="E19" s="199">
        <v>44503.875</v>
      </c>
      <c r="F19" s="200" t="s">
        <v>89</v>
      </c>
      <c r="G19" s="201">
        <v>23.149000000000001</v>
      </c>
      <c r="H19" s="201">
        <v>23.690999999999999</v>
      </c>
      <c r="I19" s="202">
        <f t="shared" si="1"/>
        <v>0.54199999999999804</v>
      </c>
      <c r="J19" s="201">
        <v>20.545000000000002</v>
      </c>
      <c r="K19" s="199">
        <v>44504.121527777781</v>
      </c>
      <c r="L19" s="201">
        <v>23.690999999999999</v>
      </c>
      <c r="M19" s="203">
        <f t="shared" si="2"/>
        <v>-0.54200000000000004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9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107880</v>
      </c>
      <c r="T19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108880</v>
      </c>
      <c r="U19" s="208">
        <f ca="1">IF(Tabla336106734820[[#This Row],[Equity]]&lt;Tabla336106734820[[#This Row],[Equity Peak]],(Tabla336106734820[[#This Row],[Equity Peak]]-Tabla336106734820[[#This Row],[Equity]])/Tabla336106734820[[#This Row],[Equity Peak]],"")</f>
        <v>9.184423218221896E-3</v>
      </c>
      <c r="V19" s="209">
        <f t="shared" si="7"/>
        <v>0</v>
      </c>
      <c r="W19" s="209">
        <f t="shared" si="8"/>
        <v>0</v>
      </c>
      <c r="X19" s="209">
        <f t="shared" si="9"/>
        <v>-1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0.24652777778101154</v>
      </c>
      <c r="AE19" s="210">
        <f t="shared" si="16"/>
        <v>0</v>
      </c>
      <c r="AF19" s="210">
        <f t="shared" si="17"/>
        <v>0.24652777778101154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15</v>
      </c>
      <c r="D20" s="198" t="str">
        <f t="shared" si="0"/>
        <v>C</v>
      </c>
      <c r="E20" s="199">
        <v>44482.708333333336</v>
      </c>
      <c r="F20" s="200" t="s">
        <v>89</v>
      </c>
      <c r="G20" s="201">
        <v>23.001999999999999</v>
      </c>
      <c r="H20" s="201">
        <v>22.420999999999999</v>
      </c>
      <c r="I20" s="202">
        <f t="shared" si="1"/>
        <v>0.58099999999999952</v>
      </c>
      <c r="J20" s="201">
        <v>25.79</v>
      </c>
      <c r="K20" s="199">
        <v>44491.779861111114</v>
      </c>
      <c r="L20" s="201">
        <v>24.216999999999999</v>
      </c>
      <c r="M20" s="203">
        <f t="shared" si="2"/>
        <v>1.2150000000000001</v>
      </c>
      <c r="N20" s="204">
        <f t="shared" si="3"/>
        <v>2.09</v>
      </c>
      <c r="O20" s="205">
        <f t="shared" si="4"/>
        <v>0</v>
      </c>
      <c r="P20" s="206">
        <f t="shared" si="5"/>
        <v>2.09</v>
      </c>
      <c r="Q20" s="206">
        <f t="shared" si="6"/>
        <v>0</v>
      </c>
      <c r="R20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0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108880</v>
      </c>
      <c r="T20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108880</v>
      </c>
      <c r="U20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0" s="209">
        <f t="shared" si="7"/>
        <v>0</v>
      </c>
      <c r="W20" s="209">
        <f t="shared" si="8"/>
        <v>0</v>
      </c>
      <c r="X20" s="209">
        <f t="shared" si="9"/>
        <v>2.09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9.0715277777781012</v>
      </c>
      <c r="AE20" s="210">
        <f t="shared" si="16"/>
        <v>9.0715277777781012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13</v>
      </c>
      <c r="D21" s="198" t="str">
        <f t="shared" si="0"/>
        <v>C</v>
      </c>
      <c r="E21" s="199">
        <v>44452.375</v>
      </c>
      <c r="F21" s="200" t="s">
        <v>89</v>
      </c>
      <c r="G21" s="201">
        <v>23.763999999999999</v>
      </c>
      <c r="H21" s="201">
        <v>24.231000000000002</v>
      </c>
      <c r="I21" s="202">
        <f t="shared" si="1"/>
        <v>0.4670000000000023</v>
      </c>
      <c r="J21" s="201">
        <v>21.524000000000001</v>
      </c>
      <c r="K21" s="199">
        <v>44460.563194444447</v>
      </c>
      <c r="L21" s="201">
        <v>22.617000000000001</v>
      </c>
      <c r="M21" s="203">
        <f t="shared" si="2"/>
        <v>1.147</v>
      </c>
      <c r="N21" s="204">
        <f t="shared" si="3"/>
        <v>2.46</v>
      </c>
      <c r="O21" s="205">
        <f t="shared" si="4"/>
        <v>0</v>
      </c>
      <c r="P21" s="206">
        <f t="shared" si="5"/>
        <v>2.46</v>
      </c>
      <c r="Q21" s="206">
        <f t="shared" si="6"/>
        <v>0</v>
      </c>
      <c r="R21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1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106790</v>
      </c>
      <c r="T21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106790</v>
      </c>
      <c r="U21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2.46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8.1881944444467081</v>
      </c>
      <c r="AE21" s="210">
        <f t="shared" si="16"/>
        <v>8.1881944444467081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44439.541666666664</v>
      </c>
      <c r="F22" s="200" t="s">
        <v>89</v>
      </c>
      <c r="G22" s="201">
        <v>24.135000000000002</v>
      </c>
      <c r="H22" s="201">
        <v>23.613</v>
      </c>
      <c r="I22" s="202">
        <f t="shared" si="1"/>
        <v>0.52200000000000202</v>
      </c>
      <c r="J22" s="201">
        <v>26.643000000000001</v>
      </c>
      <c r="K22" s="199">
        <v>44447.699305555558</v>
      </c>
      <c r="L22" s="201">
        <v>24.06</v>
      </c>
      <c r="M22" s="203">
        <f t="shared" si="2"/>
        <v>-7.4999999999999997E-2</v>
      </c>
      <c r="N22" s="204">
        <f t="shared" si="3"/>
        <v>-0.14000000000000001</v>
      </c>
      <c r="O22" s="205">
        <f t="shared" si="4"/>
        <v>0</v>
      </c>
      <c r="P22" s="206">
        <f t="shared" si="5"/>
        <v>0</v>
      </c>
      <c r="Q22" s="206">
        <f t="shared" si="6"/>
        <v>-0.14000000000000001</v>
      </c>
      <c r="R22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2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104330</v>
      </c>
      <c r="T22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104470</v>
      </c>
      <c r="U22" s="208">
        <f ca="1">IF(Tabla336106734820[[#This Row],[Equity]]&lt;Tabla336106734820[[#This Row],[Equity Peak]],(Tabla336106734820[[#This Row],[Equity Peak]]-Tabla336106734820[[#This Row],[Equity]])/Tabla336106734820[[#This Row],[Equity Peak]],"")</f>
        <v>1.3400976356848855E-3</v>
      </c>
      <c r="V22" s="209">
        <f t="shared" si="7"/>
        <v>0</v>
      </c>
      <c r="W22" s="209">
        <f t="shared" si="8"/>
        <v>0</v>
      </c>
      <c r="X22" s="209">
        <f t="shared" si="9"/>
        <v>-0.14000000000000001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8.1576388888934162</v>
      </c>
      <c r="AE22" s="210">
        <f t="shared" si="16"/>
        <v>0</v>
      </c>
      <c r="AF22" s="210">
        <f t="shared" si="17"/>
        <v>8.1576388888934162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13</v>
      </c>
      <c r="D23" s="198" t="str">
        <f t="shared" si="0"/>
        <v>C</v>
      </c>
      <c r="E23" s="199">
        <v>44364.041666666664</v>
      </c>
      <c r="F23" s="200" t="s">
        <v>89</v>
      </c>
      <c r="G23" s="201">
        <v>26.884</v>
      </c>
      <c r="H23" s="201">
        <v>27.457000000000001</v>
      </c>
      <c r="I23" s="202">
        <f t="shared" si="1"/>
        <v>0.5730000000000004</v>
      </c>
      <c r="J23" s="201">
        <v>24.132999999999999</v>
      </c>
      <c r="K23" s="199">
        <v>44365.45</v>
      </c>
      <c r="L23" s="201">
        <v>26.315000000000001</v>
      </c>
      <c r="M23" s="203">
        <f t="shared" si="2"/>
        <v>0.56899999999999995</v>
      </c>
      <c r="N23" s="204">
        <f t="shared" si="3"/>
        <v>0.99</v>
      </c>
      <c r="O23" s="205">
        <f t="shared" si="4"/>
        <v>0</v>
      </c>
      <c r="P23" s="206">
        <f t="shared" si="5"/>
        <v>0.99</v>
      </c>
      <c r="Q23" s="206">
        <f t="shared" si="6"/>
        <v>0</v>
      </c>
      <c r="R23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3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104470</v>
      </c>
      <c r="T23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104470</v>
      </c>
      <c r="U23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3" s="209">
        <f t="shared" si="7"/>
        <v>0</v>
      </c>
      <c r="W23" s="209">
        <f t="shared" si="8"/>
        <v>0</v>
      </c>
      <c r="X23" s="209">
        <f t="shared" si="9"/>
        <v>0.99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1.4083333333328483</v>
      </c>
      <c r="AE23" s="210">
        <f t="shared" si="16"/>
        <v>1.4083333333328483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44300.541666666664</v>
      </c>
      <c r="F24" s="200" t="s">
        <v>89</v>
      </c>
      <c r="G24" s="201">
        <v>25.367999999999999</v>
      </c>
      <c r="H24" s="201">
        <v>24.786000000000001</v>
      </c>
      <c r="I24" s="202">
        <f t="shared" si="1"/>
        <v>0.58199999999999719</v>
      </c>
      <c r="J24" s="201">
        <v>28.161999999999999</v>
      </c>
      <c r="K24" s="199">
        <v>44308.875694444447</v>
      </c>
      <c r="L24" s="201">
        <v>26.064</v>
      </c>
      <c r="M24" s="203">
        <f t="shared" si="2"/>
        <v>0.69599999999999995</v>
      </c>
      <c r="N24" s="204">
        <f t="shared" si="3"/>
        <v>1.2</v>
      </c>
      <c r="O24" s="205">
        <f t="shared" si="4"/>
        <v>0</v>
      </c>
      <c r="P24" s="206">
        <f t="shared" si="5"/>
        <v>1.2</v>
      </c>
      <c r="Q24" s="206">
        <f t="shared" si="6"/>
        <v>0</v>
      </c>
      <c r="R24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4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103480</v>
      </c>
      <c r="T24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103480</v>
      </c>
      <c r="U24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1.2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8.3340277777824667</v>
      </c>
      <c r="AE24" s="210">
        <f t="shared" si="16"/>
        <v>8.3340277777824667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13</v>
      </c>
      <c r="D25" s="198" t="str">
        <f t="shared" si="0"/>
        <v>C</v>
      </c>
      <c r="E25" s="199">
        <v>44256.708333333336</v>
      </c>
      <c r="F25" s="200" t="s">
        <v>89</v>
      </c>
      <c r="G25" s="201">
        <v>26.86</v>
      </c>
      <c r="H25" s="201">
        <v>27.728000000000002</v>
      </c>
      <c r="I25" s="202">
        <f t="shared" si="1"/>
        <v>0.8680000000000021</v>
      </c>
      <c r="J25" s="201">
        <v>22.693999999999999</v>
      </c>
      <c r="K25" s="199">
        <v>44263.15902777778</v>
      </c>
      <c r="L25" s="201">
        <v>25.837</v>
      </c>
      <c r="M25" s="203">
        <f t="shared" si="2"/>
        <v>1.0229999999999999</v>
      </c>
      <c r="N25" s="204">
        <f t="shared" si="3"/>
        <v>1.18</v>
      </c>
      <c r="O25" s="205">
        <f t="shared" si="4"/>
        <v>0</v>
      </c>
      <c r="P25" s="206">
        <f t="shared" si="5"/>
        <v>1.18</v>
      </c>
      <c r="Q25" s="206">
        <f t="shared" si="6"/>
        <v>0</v>
      </c>
      <c r="R25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5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102280</v>
      </c>
      <c r="T25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102280</v>
      </c>
      <c r="U25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1.18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6.4506944444437977</v>
      </c>
      <c r="AE25" s="210">
        <f t="shared" si="16"/>
        <v>6.4506944444437977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0"/>
        <v>C</v>
      </c>
      <c r="E26" s="199">
        <v>44225.375</v>
      </c>
      <c r="F26" s="200" t="s">
        <v>89</v>
      </c>
      <c r="G26" s="201">
        <v>26.417999999999999</v>
      </c>
      <c r="H26" s="201">
        <v>25.437000000000001</v>
      </c>
      <c r="I26" s="202">
        <f t="shared" si="1"/>
        <v>0.9809999999999981</v>
      </c>
      <c r="J26" s="201">
        <v>31.125</v>
      </c>
      <c r="K26" s="199">
        <v>44228.744444444441</v>
      </c>
      <c r="L26" s="201">
        <v>28.481999999999999</v>
      </c>
      <c r="M26" s="203">
        <f t="shared" si="2"/>
        <v>2.0640000000000001</v>
      </c>
      <c r="N26" s="204">
        <f t="shared" si="3"/>
        <v>2.1</v>
      </c>
      <c r="O26" s="205">
        <f t="shared" si="4"/>
        <v>0</v>
      </c>
      <c r="P26" s="206">
        <f t="shared" si="5"/>
        <v>2.1</v>
      </c>
      <c r="Q26" s="206">
        <f t="shared" si="6"/>
        <v>0</v>
      </c>
      <c r="R26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6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101100</v>
      </c>
      <c r="T26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101100</v>
      </c>
      <c r="U26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2.1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3.3694444444408873</v>
      </c>
      <c r="AE26" s="210">
        <f t="shared" si="16"/>
        <v>3.3694444444408873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13</v>
      </c>
      <c r="D27" s="198" t="str">
        <f t="shared" si="0"/>
        <v>C</v>
      </c>
      <c r="E27" s="199">
        <v>44208.041666666664</v>
      </c>
      <c r="F27" s="200" t="s">
        <v>89</v>
      </c>
      <c r="G27" s="201">
        <v>24.908000000000001</v>
      </c>
      <c r="H27" s="201">
        <v>25.978000000000002</v>
      </c>
      <c r="I27" s="202">
        <f t="shared" si="1"/>
        <v>1.0700000000000003</v>
      </c>
      <c r="J27" s="201">
        <v>19.771000000000001</v>
      </c>
      <c r="K27" s="199">
        <v>44217.224999999999</v>
      </c>
      <c r="L27" s="201">
        <v>25.978000000000002</v>
      </c>
      <c r="M27" s="203">
        <f t="shared" si="2"/>
        <v>-1.07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Yes</v>
      </c>
      <c r="S27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99000</v>
      </c>
      <c r="T27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100000</v>
      </c>
      <c r="U27" s="208">
        <f ca="1">IF(Tabla336106734820[[#This Row],[Equity]]&lt;Tabla336106734820[[#This Row],[Equity Peak]],(Tabla336106734820[[#This Row],[Equity Peak]]-Tabla336106734820[[#This Row],[Equity]])/Tabla336106734820[[#This Row],[Equity Peak]],"")</f>
        <v>0.01</v>
      </c>
      <c r="V27" s="209">
        <f t="shared" si="7"/>
        <v>0</v>
      </c>
      <c r="W27" s="209">
        <f t="shared" si="8"/>
        <v>0</v>
      </c>
      <c r="X27" s="209">
        <f t="shared" si="9"/>
        <v>-1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9.1833333333343035</v>
      </c>
      <c r="AE27" s="210">
        <f t="shared" si="16"/>
        <v>0</v>
      </c>
      <c r="AF27" s="210">
        <f t="shared" si="17"/>
        <v>9.1833333333343035</v>
      </c>
      <c r="AG27" s="210">
        <f t="shared" si="18"/>
        <v>0</v>
      </c>
    </row>
  </sheetData>
  <sheetProtection algorithmName="SHA-512" hashValue="iMVtpzl4HvRM4qxiXPswInyDikcBIbw4iyG0oqQf2wM6RkwiPYHh4B+M3Wvzjc4VHH//DG4UHq3yRDixpfHu1A==" saltValue="+8ETPzUHpN9aSDUy4nNwY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61" priority="3" operator="equal">
      <formula>"OK"</formula>
    </cfRule>
    <cfRule type="cellIs" dxfId="460" priority="4" operator="equal">
      <formula>"warning"</formula>
    </cfRule>
  </conditionalFormatting>
  <conditionalFormatting sqref="F13">
    <cfRule type="cellIs" dxfId="459" priority="1" operator="equal">
      <formula>"OK"</formula>
    </cfRule>
    <cfRule type="cellIs" dxfId="458" priority="2" operator="equal">
      <formula>"Error!!"</formula>
    </cfRule>
  </conditionalFormatting>
  <conditionalFormatting sqref="E15:H15 K15:L15">
    <cfRule type="expression" dxfId="457" priority="5">
      <formula>+$D15=#REF!</formula>
    </cfRule>
    <cfRule type="expression" dxfId="456" priority="6">
      <formula>+$D15=#REF!</formula>
    </cfRule>
  </conditionalFormatting>
  <conditionalFormatting sqref="D15 K16:L16 D16:H27 J17:L27">
    <cfRule type="expression" dxfId="455" priority="7">
      <formula>+$D15=$AG$8</formula>
    </cfRule>
    <cfRule type="expression" dxfId="45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3ADBB8D-C696-4A9A-8191-A4AEB4DDB4F3}">
      <formula1>$AE$4:$AE$6</formula1>
    </dataValidation>
    <dataValidation type="list" allowBlank="1" showInputMessage="1" showErrorMessage="1" promptTitle="Trade Direction" prompt="Select from List" sqref="C15:C16" xr:uid="{288E45AD-1CEB-4A30-977C-EB1A323EB2F2}">
      <formula1>$AG$4:$AG$5</formula1>
    </dataValidation>
    <dataValidation type="list" allowBlank="1" showInputMessage="1" showErrorMessage="1" promptTitle="Instrument Type" prompt="Select Type from List_x000a_" sqref="B17:B27" xr:uid="{6BD3F5AA-822F-43B5-9939-ABD5A0C52DD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A5E-EC00-4F42-9588-5FC233762EE6}">
  <sheetPr codeName="Hoja15">
    <pageSetUpPr fitToPage="1"/>
  </sheetPr>
  <dimension ref="A1:AX44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COUNTA(Tabla33610673489[Inst])</f>
        <v>28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5.74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5.74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COUNTIF(Tabla33610673489[No. of Rs],"&gt;0")</f>
        <v>10</v>
      </c>
      <c r="G7" s="24">
        <f>IFERROR((F7/$F$6),"")</f>
        <v>0.35714285714285715</v>
      </c>
      <c r="H7" s="78">
        <f>IFERROR((+P13/F7),"")</f>
        <v>1.6889999999999996</v>
      </c>
      <c r="I7" s="227">
        <f>H7/H9</f>
        <v>2.726636771300448</v>
      </c>
      <c r="J7" s="227">
        <f>AVERAGE(Tabla33610673489[No. of Rs])</f>
        <v>0.20500000000000002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OFFSET(Tabla33610673489[[#Headers],[Equity]],1,0)</f>
        <v>105740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COUNTIF(Tabla33610673489[No. of Rs],"&lt;0")</f>
        <v>18</v>
      </c>
      <c r="G9" s="32">
        <f>IFERROR((F9/$F$6),"")</f>
        <v>0.6428571428571429</v>
      </c>
      <c r="H9" s="79">
        <f>IFERROR((-Q13/F9),"")</f>
        <v>0.61944444444444435</v>
      </c>
      <c r="I9" s="229"/>
      <c r="J9" s="229"/>
      <c r="K9" s="149"/>
      <c r="L9" s="230" t="s">
        <v>106</v>
      </c>
      <c r="M9" s="231"/>
      <c r="N9" s="125">
        <f ca="1">MAX(Tabla33610673489[Drawdown])</f>
        <v>4.1101164693425736E-2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OFFSET(Tabla33610673489[[#Headers],[Drawdown]],1,0)</f>
        <v>1.0203126462604137E-2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IF(COUNTIFS(Tabla33610673489[O/C],"O")&lt;1,"None",COUNTIFS(Tabla33610673489[O/C],"O"))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SUM(Tabla33610673489[No. of Rs])</f>
        <v>5.74</v>
      </c>
      <c r="O13" s="42">
        <f>SUM(Tabla33610673489[Heat])</f>
        <v>0</v>
      </c>
      <c r="P13" s="43">
        <f>SUM(Tabla33610673489[[ TR WIN]])</f>
        <v>16.889999999999997</v>
      </c>
      <c r="Q13" s="43">
        <f>SUM(Tabla33610673489[[ TR LOSS]])</f>
        <v>-11.149999999999999</v>
      </c>
      <c r="R13" s="114"/>
      <c r="S13" s="115"/>
      <c r="T13" s="115"/>
      <c r="U13" s="121"/>
      <c r="V13" s="44">
        <f>SUM(Tabla33610673489[Currency])</f>
        <v>0</v>
      </c>
      <c r="W13" s="44">
        <f>SUM(Tabla33610673489[Heat3])</f>
        <v>0</v>
      </c>
      <c r="X13" s="44">
        <f>SUM(Tabla33610673489[Commodities])</f>
        <v>5.74</v>
      </c>
      <c r="Y13" s="44">
        <f>SUM(Tabla33610673489[Heat4])</f>
        <v>0</v>
      </c>
      <c r="Z13" s="44">
        <f>SUM(Tabla33610673489[Index])</f>
        <v>0</v>
      </c>
      <c r="AA13" s="44">
        <f>SUM(Tabla33610673489[Heat5])</f>
        <v>0</v>
      </c>
      <c r="AB13" s="44">
        <f>SUM(Tabla33610673489[Cryptocurrency])</f>
        <v>0</v>
      </c>
      <c r="AC13" s="44">
        <f>SUM(Tabla33610673489[Heat6])</f>
        <v>0</v>
      </c>
      <c r="AD13" s="75">
        <f>AVERAGEIF(Tabla33610673489[Length of 
Trade],"&lt;&gt;0")</f>
        <v>3.4013144841264875</v>
      </c>
      <c r="AE13" s="75">
        <f>AVERAGEIF(Tabla33610673489[Win],"&lt;&gt;0")</f>
        <v>4.9214583333334305</v>
      </c>
      <c r="AF13" s="75">
        <f>AVERAGEIF(Tabla33610673489[Loss],"&lt;&gt;0")</f>
        <v>2.5567901234559636</v>
      </c>
      <c r="AG13" s="76" t="e">
        <f>AVERAGEIF(Tabla33610673489[Breakeven],"&lt;&gt;0")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13</v>
      </c>
      <c r="D17" s="198" t="str">
        <f t="shared" ref="D17:D26" si="0">IF(E17&lt;&gt;"",IF(K17&lt;&gt;"","C","O"),"")</f>
        <v>C</v>
      </c>
      <c r="E17" s="199">
        <v>44544.708333333336</v>
      </c>
      <c r="F17" s="200" t="s">
        <v>88</v>
      </c>
      <c r="G17" s="201">
        <v>1775.86</v>
      </c>
      <c r="H17" s="201">
        <v>1792.9</v>
      </c>
      <c r="I17" s="202">
        <f t="shared" ref="I17:I26" si="1">ABS(G17-H17)</f>
        <v>17.040000000000191</v>
      </c>
      <c r="J17" s="201">
        <v>1666.79</v>
      </c>
      <c r="K17" s="199">
        <v>44545.936111111114</v>
      </c>
      <c r="L17" s="201">
        <v>1778.83</v>
      </c>
      <c r="M17" s="203">
        <f t="shared" ref="M17:M26" si="2">ROUND(IF(C17="L",(L17-G17),(G17-L17)),4)</f>
        <v>-2.97</v>
      </c>
      <c r="N17" s="204">
        <f t="shared" ref="N17:N26" si="3">IFERROR(ROUND((M17/I17),2),"")</f>
        <v>-0.17</v>
      </c>
      <c r="O17" s="205">
        <f t="shared" ref="O17:O26" si="4">IF(D17="O",IF(N17&lt;0,N17,0),0)</f>
        <v>0</v>
      </c>
      <c r="P17" s="206">
        <f t="shared" ref="P17:P26" si="5">IF(N17&gt;= 0,N17,0)</f>
        <v>0</v>
      </c>
      <c r="Q17" s="206">
        <f t="shared" ref="Q17:Q26" si="6">IF(N17&lt;0,N17,0)</f>
        <v>-0.17</v>
      </c>
      <c r="R1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105740</v>
      </c>
      <c r="T1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17" s="208">
        <f ca="1">IF(Tabla33610673489[[#This Row],[Equity]]&lt;Tabla33610673489[[#This Row],[Equity Peak]],(Tabla33610673489[[#This Row],[Equity Peak]]-Tabla33610673489[[#This Row],[Equity]])/Tabla33610673489[[#This Row],[Equity Peak]],"")</f>
        <v>1.0203126462604137E-2</v>
      </c>
      <c r="V17" s="209">
        <f t="shared" ref="V17:V26" si="7">IF(B17="FX",N17,0)</f>
        <v>0</v>
      </c>
      <c r="W17" s="209">
        <f t="shared" ref="W17:W26" si="8">IF(D17="O",IF(V17&lt;0,V17,0),0)</f>
        <v>0</v>
      </c>
      <c r="X17" s="209">
        <f t="shared" ref="X17:X26" si="9">IF(B17="COM",N17,0)</f>
        <v>-0.17</v>
      </c>
      <c r="Y17" s="209">
        <f t="shared" ref="Y17:Y26" si="10">IF(D17="O",IF(X17&lt;0,X17,0),0)</f>
        <v>0</v>
      </c>
      <c r="Z17" s="209">
        <f t="shared" ref="Z17:Z26" si="11">IF(B17="IND",N17,0)</f>
        <v>0</v>
      </c>
      <c r="AA17" s="205">
        <f t="shared" ref="AA17:AA26" si="12">IF(D17="O",IF(Z17&lt;0,Z17,0),0)</f>
        <v>0</v>
      </c>
      <c r="AB17" s="209">
        <f t="shared" ref="AB17:AB26" si="13">IF(B17="CRYPTO",N17,0)</f>
        <v>0</v>
      </c>
      <c r="AC17" s="205">
        <f t="shared" ref="AC17:AC26" si="14">IF(D17="O",IF(AB17&lt;0,AB17,0),0)</f>
        <v>0</v>
      </c>
      <c r="AD17" s="210">
        <f t="shared" ref="AD17:AD26" si="15">IF(K17&lt;&gt;"",K17-E17,0)</f>
        <v>1.2277777777781012</v>
      </c>
      <c r="AE17" s="210">
        <f t="shared" ref="AE17:AE26" si="16">IF(N17&gt;0,AD17,0)</f>
        <v>0</v>
      </c>
      <c r="AF17" s="210">
        <f t="shared" ref="AF17:AF26" si="17">IF(N17&lt;0,AD17,0)</f>
        <v>1.2277777777781012</v>
      </c>
      <c r="AG17" s="210">
        <f t="shared" ref="AG17:AG26" si="18">IF(N17=0,AD17,0)</f>
        <v>0</v>
      </c>
    </row>
    <row r="18" spans="2:33" ht="15" customHeight="1" x14ac:dyDescent="0.3">
      <c r="B18" s="196" t="s">
        <v>19</v>
      </c>
      <c r="C18" s="197" t="s">
        <v>15</v>
      </c>
      <c r="D18" s="198" t="str">
        <f t="shared" si="0"/>
        <v>C</v>
      </c>
      <c r="E18" s="199">
        <v>44505.041666666664</v>
      </c>
      <c r="F18" s="200" t="s">
        <v>88</v>
      </c>
      <c r="G18" s="201">
        <v>1791.08</v>
      </c>
      <c r="H18" s="201">
        <v>1770.08</v>
      </c>
      <c r="I18" s="202">
        <f t="shared" si="1"/>
        <v>21</v>
      </c>
      <c r="J18" s="201">
        <v>1925.48</v>
      </c>
      <c r="K18" s="199">
        <v>44510.859722222223</v>
      </c>
      <c r="L18" s="201">
        <v>1843.48</v>
      </c>
      <c r="M18" s="203">
        <f t="shared" si="2"/>
        <v>52.4</v>
      </c>
      <c r="N18" s="204">
        <f t="shared" si="3"/>
        <v>2.5</v>
      </c>
      <c r="O18" s="205">
        <f t="shared" si="4"/>
        <v>0</v>
      </c>
      <c r="P18" s="206">
        <f t="shared" si="5"/>
        <v>2.5</v>
      </c>
      <c r="Q18" s="206">
        <f t="shared" si="6"/>
        <v>0</v>
      </c>
      <c r="R1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105910</v>
      </c>
      <c r="T1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18" s="208">
        <f ca="1">IF(Tabla33610673489[[#This Row],[Equity]]&lt;Tabla33610673489[[#This Row],[Equity Peak]],(Tabla33610673489[[#This Row],[Equity Peak]]-Tabla33610673489[[#This Row],[Equity]])/Tabla33610673489[[#This Row],[Equity Peak]],"")</f>
        <v>8.6118131610970709E-3</v>
      </c>
      <c r="V18" s="209">
        <f t="shared" si="7"/>
        <v>0</v>
      </c>
      <c r="W18" s="209">
        <f t="shared" si="8"/>
        <v>0</v>
      </c>
      <c r="X18" s="209">
        <f t="shared" si="9"/>
        <v>2.5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5.8180555555591127</v>
      </c>
      <c r="AE18" s="210">
        <f t="shared" si="16"/>
        <v>5.8180555555591127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13</v>
      </c>
      <c r="D19" s="198" t="str">
        <f t="shared" si="0"/>
        <v>C</v>
      </c>
      <c r="E19" s="199">
        <v>44503.208333333336</v>
      </c>
      <c r="F19" s="200" t="s">
        <v>88</v>
      </c>
      <c r="G19" s="201">
        <v>1783.32</v>
      </c>
      <c r="H19" s="201">
        <v>1796.65</v>
      </c>
      <c r="I19" s="202">
        <f t="shared" si="1"/>
        <v>13.330000000000155</v>
      </c>
      <c r="J19" s="201">
        <v>1697.99</v>
      </c>
      <c r="K19" s="199">
        <v>44504.240277777775</v>
      </c>
      <c r="L19" s="201">
        <v>1778.35</v>
      </c>
      <c r="M19" s="203">
        <f t="shared" si="2"/>
        <v>4.97</v>
      </c>
      <c r="N19" s="204">
        <f t="shared" si="3"/>
        <v>0.37</v>
      </c>
      <c r="O19" s="205">
        <f t="shared" si="4"/>
        <v>0</v>
      </c>
      <c r="P19" s="206">
        <f t="shared" si="5"/>
        <v>0.37</v>
      </c>
      <c r="Q19" s="206">
        <f t="shared" si="6"/>
        <v>0</v>
      </c>
      <c r="R1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103410</v>
      </c>
      <c r="T1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19" s="208">
        <f ca="1">IF(Tabla33610673489[[#This Row],[Equity]]&lt;Tabla33610673489[[#This Row],[Equity Peak]],(Tabla33610673489[[#This Row],[Equity Peak]]-Tabla33610673489[[#This Row],[Equity]])/Tabla33610673489[[#This Row],[Equity Peak]],"")</f>
        <v>3.201347935973041E-2</v>
      </c>
      <c r="V19" s="209">
        <f t="shared" si="7"/>
        <v>0</v>
      </c>
      <c r="W19" s="209">
        <f t="shared" si="8"/>
        <v>0</v>
      </c>
      <c r="X19" s="209">
        <f t="shared" si="9"/>
        <v>0.37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1.0319444444394321</v>
      </c>
      <c r="AE19" s="210">
        <f t="shared" si="16"/>
        <v>1.0319444444394321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15</v>
      </c>
      <c r="D20" s="198" t="str">
        <f t="shared" si="0"/>
        <v>C</v>
      </c>
      <c r="E20" s="199">
        <v>44501.875</v>
      </c>
      <c r="F20" s="200" t="s">
        <v>88</v>
      </c>
      <c r="G20" s="201">
        <v>1793.71</v>
      </c>
      <c r="H20" s="201">
        <v>1772.07</v>
      </c>
      <c r="I20" s="202">
        <f t="shared" si="1"/>
        <v>21.6400000000001</v>
      </c>
      <c r="J20" s="201">
        <v>1932.19</v>
      </c>
      <c r="K20" s="199">
        <v>44503.208333333336</v>
      </c>
      <c r="L20" s="201">
        <v>1783.32</v>
      </c>
      <c r="M20" s="203">
        <f t="shared" si="2"/>
        <v>-10.39</v>
      </c>
      <c r="N20" s="204">
        <f t="shared" si="3"/>
        <v>-0.48</v>
      </c>
      <c r="O20" s="205">
        <f t="shared" si="4"/>
        <v>0</v>
      </c>
      <c r="P20" s="206">
        <f t="shared" si="5"/>
        <v>0</v>
      </c>
      <c r="Q20" s="206">
        <f t="shared" si="6"/>
        <v>-0.48</v>
      </c>
      <c r="R2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103040</v>
      </c>
      <c r="T2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20" s="208">
        <f ca="1">IF(Tabla33610673489[[#This Row],[Equity]]&lt;Tabla33610673489[[#This Row],[Equity Peak]],(Tabla33610673489[[#This Row],[Equity Peak]]-Tabla33610673489[[#This Row],[Equity]])/Tabla33610673489[[#This Row],[Equity Peak]],"")</f>
        <v>3.5476925957128147E-2</v>
      </c>
      <c r="V20" s="209">
        <f t="shared" si="7"/>
        <v>0</v>
      </c>
      <c r="W20" s="209">
        <f t="shared" si="8"/>
        <v>0</v>
      </c>
      <c r="X20" s="209">
        <f t="shared" si="9"/>
        <v>-0.48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1.3333333333357587</v>
      </c>
      <c r="AE20" s="210">
        <f t="shared" si="16"/>
        <v>0</v>
      </c>
      <c r="AF20" s="210">
        <f t="shared" si="17"/>
        <v>1.3333333333357587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13</v>
      </c>
      <c r="D21" s="198" t="str">
        <f t="shared" si="0"/>
        <v>C</v>
      </c>
      <c r="E21" s="199">
        <v>44498.875</v>
      </c>
      <c r="F21" s="200" t="s">
        <v>88</v>
      </c>
      <c r="G21" s="201">
        <v>1781.76</v>
      </c>
      <c r="H21" s="201">
        <v>1806.1</v>
      </c>
      <c r="I21" s="202">
        <f t="shared" si="1"/>
        <v>24.339999999999918</v>
      </c>
      <c r="J21" s="201">
        <v>1625.97</v>
      </c>
      <c r="K21" s="199">
        <v>44501.875</v>
      </c>
      <c r="L21" s="201">
        <v>1793.71</v>
      </c>
      <c r="M21" s="203">
        <f t="shared" si="2"/>
        <v>-11.95</v>
      </c>
      <c r="N21" s="204">
        <f t="shared" si="3"/>
        <v>-0.49</v>
      </c>
      <c r="O21" s="205">
        <f t="shared" si="4"/>
        <v>0</v>
      </c>
      <c r="P21" s="206">
        <f t="shared" si="5"/>
        <v>0</v>
      </c>
      <c r="Q21" s="206">
        <f t="shared" si="6"/>
        <v>-0.49</v>
      </c>
      <c r="R2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103520</v>
      </c>
      <c r="T2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21" s="208">
        <f ca="1">IF(Tabla33610673489[[#This Row],[Equity]]&lt;Tabla33610673489[[#This Row],[Equity Peak]],(Tabla33610673489[[#This Row],[Equity Peak]]-Tabla33610673489[[#This Row],[Equity]])/Tabla33610673489[[#This Row],[Equity Peak]],"")</f>
        <v>3.0983806046990546E-2</v>
      </c>
      <c r="V21" s="209">
        <f t="shared" si="7"/>
        <v>0</v>
      </c>
      <c r="W21" s="209">
        <f t="shared" si="8"/>
        <v>0</v>
      </c>
      <c r="X21" s="209">
        <f t="shared" si="9"/>
        <v>-0.49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</v>
      </c>
      <c r="AE21" s="210">
        <f t="shared" si="16"/>
        <v>0</v>
      </c>
      <c r="AF21" s="210">
        <f t="shared" si="17"/>
        <v>3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13</v>
      </c>
      <c r="D22" s="198" t="str">
        <f t="shared" si="0"/>
        <v>C</v>
      </c>
      <c r="E22" s="199">
        <v>44487.541666666664</v>
      </c>
      <c r="F22" s="200" t="s">
        <v>88</v>
      </c>
      <c r="G22" s="201">
        <v>1762.39</v>
      </c>
      <c r="H22" s="201">
        <v>1780.03</v>
      </c>
      <c r="I22" s="202">
        <f t="shared" si="1"/>
        <v>17.639999999999873</v>
      </c>
      <c r="J22" s="201">
        <v>1649.48</v>
      </c>
      <c r="K22" s="199">
        <v>44488.418749999997</v>
      </c>
      <c r="L22" s="201">
        <v>1780.02</v>
      </c>
      <c r="M22" s="203">
        <f t="shared" si="2"/>
        <v>-17.63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104010</v>
      </c>
      <c r="T2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22" s="208">
        <f ca="1">IF(Tabla33610673489[[#This Row],[Equity]]&lt;Tabla33610673489[[#This Row],[Equity Peak]],(Tabla33610673489[[#This Row],[Equity Peak]]-Tabla33610673489[[#This Row],[Equity]])/Tabla33610673489[[#This Row],[Equity Peak]],"")</f>
        <v>2.639707947205841E-2</v>
      </c>
      <c r="V22" s="209">
        <f t="shared" si="7"/>
        <v>0</v>
      </c>
      <c r="W22" s="209">
        <f t="shared" si="8"/>
        <v>0</v>
      </c>
      <c r="X22" s="209">
        <f t="shared" si="9"/>
        <v>-1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0.87708333333284827</v>
      </c>
      <c r="AE22" s="210">
        <f t="shared" si="16"/>
        <v>0</v>
      </c>
      <c r="AF22" s="210">
        <f t="shared" si="17"/>
        <v>0.87708333333284827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13</v>
      </c>
      <c r="D23" s="198" t="str">
        <f t="shared" si="0"/>
        <v>C</v>
      </c>
      <c r="E23" s="199">
        <v>44480.875</v>
      </c>
      <c r="F23" s="200" t="s">
        <v>88</v>
      </c>
      <c r="G23" s="201">
        <v>1754.33</v>
      </c>
      <c r="H23" s="201">
        <v>1776.07</v>
      </c>
      <c r="I23" s="202">
        <f t="shared" si="1"/>
        <v>21.740000000000009</v>
      </c>
      <c r="J23" s="201">
        <v>1615.22</v>
      </c>
      <c r="K23" s="199">
        <v>44482.620138888888</v>
      </c>
      <c r="L23" s="201">
        <v>1774.19</v>
      </c>
      <c r="M23" s="203">
        <f t="shared" si="2"/>
        <v>-19.86</v>
      </c>
      <c r="N23" s="204">
        <f t="shared" si="3"/>
        <v>-0.91</v>
      </c>
      <c r="O23" s="205">
        <f t="shared" si="4"/>
        <v>0</v>
      </c>
      <c r="P23" s="206">
        <f t="shared" si="5"/>
        <v>0</v>
      </c>
      <c r="Q23" s="206">
        <f t="shared" si="6"/>
        <v>-0.91</v>
      </c>
      <c r="R2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105010</v>
      </c>
      <c r="T2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23" s="208">
        <f ca="1">IF(Tabla33610673489[[#This Row],[Equity]]&lt;Tabla33610673489[[#This Row],[Equity Peak]],(Tabla33610673489[[#This Row],[Equity Peak]]-Tabla33610673489[[#This Row],[Equity]])/Tabla33610673489[[#This Row],[Equity Peak]],"")</f>
        <v>1.7036412992605072E-2</v>
      </c>
      <c r="V23" s="209">
        <f t="shared" si="7"/>
        <v>0</v>
      </c>
      <c r="W23" s="209">
        <f t="shared" si="8"/>
        <v>0</v>
      </c>
      <c r="X23" s="209">
        <f t="shared" si="9"/>
        <v>-0.91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1.7451388888875954</v>
      </c>
      <c r="AE23" s="210">
        <f t="shared" si="16"/>
        <v>0</v>
      </c>
      <c r="AF23" s="210">
        <f t="shared" si="17"/>
        <v>1.7451388888875954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13</v>
      </c>
      <c r="D24" s="198" t="str">
        <f t="shared" si="0"/>
        <v>C</v>
      </c>
      <c r="E24" s="199">
        <v>44475.375</v>
      </c>
      <c r="F24" s="200" t="s">
        <v>88</v>
      </c>
      <c r="G24" s="201">
        <v>1751.16</v>
      </c>
      <c r="H24" s="201">
        <v>1772.64</v>
      </c>
      <c r="I24" s="202">
        <f t="shared" si="1"/>
        <v>21.480000000000018</v>
      </c>
      <c r="J24" s="201">
        <v>1613.69</v>
      </c>
      <c r="K24" s="199">
        <v>44477.647222222222</v>
      </c>
      <c r="L24" s="201">
        <v>1770.7</v>
      </c>
      <c r="M24" s="203">
        <f t="shared" si="2"/>
        <v>-19.54</v>
      </c>
      <c r="N24" s="204">
        <f t="shared" si="3"/>
        <v>-0.91</v>
      </c>
      <c r="O24" s="205">
        <f t="shared" si="4"/>
        <v>0</v>
      </c>
      <c r="P24" s="206">
        <f t="shared" si="5"/>
        <v>0</v>
      </c>
      <c r="Q24" s="206">
        <f t="shared" si="6"/>
        <v>-0.91</v>
      </c>
      <c r="R2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105920</v>
      </c>
      <c r="T2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24" s="208">
        <f ca="1">IF(Tabla33610673489[[#This Row],[Equity]]&lt;Tabla33610673489[[#This Row],[Equity Peak]],(Tabla33610673489[[#This Row],[Equity Peak]]-Tabla33610673489[[#This Row],[Equity]])/Tabla33610673489[[#This Row],[Equity Peak]],"")</f>
        <v>8.5182064963025359E-3</v>
      </c>
      <c r="V24" s="209">
        <f t="shared" si="7"/>
        <v>0</v>
      </c>
      <c r="W24" s="209">
        <f t="shared" si="8"/>
        <v>0</v>
      </c>
      <c r="X24" s="209">
        <f t="shared" si="9"/>
        <v>-0.91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2.2722222222218988</v>
      </c>
      <c r="AE24" s="210">
        <f t="shared" si="16"/>
        <v>0</v>
      </c>
      <c r="AF24" s="210">
        <f t="shared" si="17"/>
        <v>2.2722222222218988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13</v>
      </c>
      <c r="D25" s="198" t="str">
        <f t="shared" si="0"/>
        <v>C</v>
      </c>
      <c r="E25" s="199">
        <v>44454.875</v>
      </c>
      <c r="F25" s="200" t="s">
        <v>88</v>
      </c>
      <c r="G25" s="201">
        <v>1792.4</v>
      </c>
      <c r="H25" s="201">
        <v>1811.01</v>
      </c>
      <c r="I25" s="202">
        <f t="shared" si="1"/>
        <v>18.6099999999999</v>
      </c>
      <c r="J25" s="201">
        <v>1673.27</v>
      </c>
      <c r="K25" s="199">
        <v>44460.629166666666</v>
      </c>
      <c r="L25" s="201">
        <v>1769.73</v>
      </c>
      <c r="M25" s="203">
        <f t="shared" si="2"/>
        <v>22.67</v>
      </c>
      <c r="N25" s="204">
        <f t="shared" si="3"/>
        <v>1.22</v>
      </c>
      <c r="O25" s="205">
        <f t="shared" si="4"/>
        <v>0</v>
      </c>
      <c r="P25" s="206">
        <f t="shared" si="5"/>
        <v>1.22</v>
      </c>
      <c r="Q25" s="206">
        <f t="shared" si="6"/>
        <v>0</v>
      </c>
      <c r="R2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106830</v>
      </c>
      <c r="T2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106830</v>
      </c>
      <c r="U25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1.22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5.7541666666656965</v>
      </c>
      <c r="AE25" s="210">
        <f t="shared" si="16"/>
        <v>5.7541666666656965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13</v>
      </c>
      <c r="D26" s="198" t="str">
        <f t="shared" si="0"/>
        <v>C</v>
      </c>
      <c r="E26" s="199">
        <v>44446.875</v>
      </c>
      <c r="F26" s="200" t="s">
        <v>88</v>
      </c>
      <c r="G26" s="201">
        <v>1796.53</v>
      </c>
      <c r="H26" s="201">
        <v>1815.18</v>
      </c>
      <c r="I26" s="202">
        <f t="shared" si="1"/>
        <v>18.650000000000091</v>
      </c>
      <c r="J26" s="201">
        <v>1677.18</v>
      </c>
      <c r="K26" s="199">
        <v>44453.734027777777</v>
      </c>
      <c r="L26" s="201">
        <v>1804.17</v>
      </c>
      <c r="M26" s="203">
        <f t="shared" si="2"/>
        <v>-7.64</v>
      </c>
      <c r="N26" s="204">
        <f t="shared" si="3"/>
        <v>-0.41</v>
      </c>
      <c r="O26" s="205">
        <f t="shared" si="4"/>
        <v>0</v>
      </c>
      <c r="P26" s="206">
        <f t="shared" si="5"/>
        <v>0</v>
      </c>
      <c r="Q26" s="206">
        <f t="shared" si="6"/>
        <v>-0.41</v>
      </c>
      <c r="R2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105610</v>
      </c>
      <c r="T2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106020</v>
      </c>
      <c r="U26" s="208">
        <f ca="1">IF(Tabla33610673489[[#This Row],[Equity]]&lt;Tabla33610673489[[#This Row],[Equity Peak]],(Tabla33610673489[[#This Row],[Equity Peak]]-Tabla33610673489[[#This Row],[Equity]])/Tabla33610673489[[#This Row],[Equity Peak]],"")</f>
        <v>3.8671948688926618E-3</v>
      </c>
      <c r="V26" s="209">
        <f t="shared" si="7"/>
        <v>0</v>
      </c>
      <c r="W26" s="209">
        <f t="shared" si="8"/>
        <v>0</v>
      </c>
      <c r="X26" s="209">
        <f t="shared" si="9"/>
        <v>-0.41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6.859027777776646</v>
      </c>
      <c r="AE26" s="210">
        <f t="shared" si="16"/>
        <v>0</v>
      </c>
      <c r="AF26" s="210">
        <f t="shared" si="17"/>
        <v>6.859027777776646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13</v>
      </c>
      <c r="D27" s="198" t="str">
        <f t="shared" ref="D27:D44" si="19">IF(E27&lt;&gt;"",IF(K27&lt;&gt;"","C","O"),"")</f>
        <v>C</v>
      </c>
      <c r="E27" s="199">
        <v>44413.541666666664</v>
      </c>
      <c r="F27" s="200" t="s">
        <v>88</v>
      </c>
      <c r="G27" s="201">
        <v>1810.49</v>
      </c>
      <c r="H27" s="201">
        <v>1826.78</v>
      </c>
      <c r="I27" s="202">
        <f t="shared" ref="I27:I44" si="20">ABS(G27-H27)</f>
        <v>16.289999999999964</v>
      </c>
      <c r="J27" s="201">
        <v>1706.25</v>
      </c>
      <c r="K27" s="199">
        <v>44417.081250000003</v>
      </c>
      <c r="L27" s="201">
        <v>1706.25</v>
      </c>
      <c r="M27" s="203">
        <f t="shared" ref="M27:M44" si="21">ROUND(IF(C27="L",(L27-G27),(G27-L27)),4)</f>
        <v>104.24</v>
      </c>
      <c r="N27" s="204">
        <f t="shared" ref="N27:N44" si="22">IFERROR(ROUND((M27/I27),2),"")</f>
        <v>6.4</v>
      </c>
      <c r="O27" s="205">
        <f t="shared" ref="O27:O44" si="23">IF(D27="O",IF(N27&lt;0,N27,0),0)</f>
        <v>0</v>
      </c>
      <c r="P27" s="206">
        <f t="shared" ref="P27:P44" si="24">IF(N27&gt;= 0,N27,0)</f>
        <v>6.4</v>
      </c>
      <c r="Q27" s="206">
        <f t="shared" ref="Q27:Q44" si="25">IF(N27&lt;0,N27,0)</f>
        <v>0</v>
      </c>
      <c r="R2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106020</v>
      </c>
      <c r="T2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106020</v>
      </c>
      <c r="U27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7" s="209">
        <f t="shared" ref="V27:V44" si="26">IF(B27="FX",N27,0)</f>
        <v>0</v>
      </c>
      <c r="W27" s="209">
        <f t="shared" ref="W27:W44" si="27">IF(D27="O",IF(V27&lt;0,V27,0),0)</f>
        <v>0</v>
      </c>
      <c r="X27" s="209">
        <f t="shared" ref="X27:X44" si="28">IF(B27="COM",N27,0)</f>
        <v>6.4</v>
      </c>
      <c r="Y27" s="209">
        <f t="shared" ref="Y27:Y44" si="29">IF(D27="O",IF(X27&lt;0,X27,0),0)</f>
        <v>0</v>
      </c>
      <c r="Z27" s="209">
        <f t="shared" ref="Z27:Z44" si="30">IF(B27="IND",N27,0)</f>
        <v>0</v>
      </c>
      <c r="AA27" s="205">
        <f t="shared" ref="AA27:AA44" si="31">IF(D27="O",IF(Z27&lt;0,Z27,0),0)</f>
        <v>0</v>
      </c>
      <c r="AB27" s="209">
        <f t="shared" ref="AB27:AB44" si="32">IF(B27="CRYPTO",N27,0)</f>
        <v>0</v>
      </c>
      <c r="AC27" s="205">
        <f t="shared" ref="AC27:AC44" si="33">IF(D27="O",IF(AB27&lt;0,AB27,0),0)</f>
        <v>0</v>
      </c>
      <c r="AD27" s="210">
        <f t="shared" ref="AD27:AD44" si="34">IF(K27&lt;&gt;"",K27-E27,0)</f>
        <v>3.539583333338669</v>
      </c>
      <c r="AE27" s="210">
        <f t="shared" ref="AE27:AE44" si="35">IF(N27&gt;0,AD27,0)</f>
        <v>3.539583333338669</v>
      </c>
      <c r="AF27" s="210">
        <f t="shared" ref="AF27:AF44" si="36">IF(N27&lt;0,AD27,0)</f>
        <v>0</v>
      </c>
      <c r="AG27" s="210">
        <f t="shared" ref="AG27:AG44" si="37">IF(N27=0,AD27,0)</f>
        <v>0</v>
      </c>
    </row>
    <row r="28" spans="2:33" ht="15" customHeight="1" x14ac:dyDescent="0.3">
      <c r="B28" s="196" t="s">
        <v>19</v>
      </c>
      <c r="C28" s="197" t="s">
        <v>15</v>
      </c>
      <c r="D28" s="198" t="str">
        <f t="shared" si="19"/>
        <v>C</v>
      </c>
      <c r="E28" s="199">
        <v>44406.208333333336</v>
      </c>
      <c r="F28" s="200" t="s">
        <v>88</v>
      </c>
      <c r="G28" s="201">
        <v>1815.69</v>
      </c>
      <c r="H28" s="201">
        <v>1796.73</v>
      </c>
      <c r="I28" s="202">
        <f t="shared" si="20"/>
        <v>18.960000000000036</v>
      </c>
      <c r="J28" s="201">
        <v>1937.04</v>
      </c>
      <c r="K28" s="199">
        <v>44407.896527777775</v>
      </c>
      <c r="L28" s="201">
        <v>1811.3</v>
      </c>
      <c r="M28" s="203">
        <f t="shared" si="21"/>
        <v>-4.3899999999999997</v>
      </c>
      <c r="N28" s="204">
        <f t="shared" si="22"/>
        <v>-0.23</v>
      </c>
      <c r="O28" s="205">
        <f t="shared" si="23"/>
        <v>0</v>
      </c>
      <c r="P28" s="206">
        <f t="shared" si="24"/>
        <v>0</v>
      </c>
      <c r="Q28" s="206">
        <f t="shared" si="25"/>
        <v>-0.23</v>
      </c>
      <c r="R2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99620</v>
      </c>
      <c r="T2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28" s="208">
        <f ca="1">IF(Tabla33610673489[[#This Row],[Equity]]&lt;Tabla33610673489[[#This Row],[Equity Peak]],(Tabla33610673489[[#This Row],[Equity Peak]]-Tabla33610673489[[#This Row],[Equity]])/Tabla33610673489[[#This Row],[Equity Peak]],"")</f>
        <v>4.1101164693425736E-2</v>
      </c>
      <c r="V28" s="209">
        <f t="shared" si="26"/>
        <v>0</v>
      </c>
      <c r="W28" s="209">
        <f t="shared" si="27"/>
        <v>0</v>
      </c>
      <c r="X28" s="209">
        <f t="shared" si="28"/>
        <v>-0.23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1.6881944444394321</v>
      </c>
      <c r="AE28" s="210">
        <f t="shared" si="35"/>
        <v>0</v>
      </c>
      <c r="AF28" s="210">
        <f t="shared" si="36"/>
        <v>1.6881944444394321</v>
      </c>
      <c r="AG28" s="210">
        <f t="shared" si="37"/>
        <v>0</v>
      </c>
    </row>
    <row r="29" spans="2:33" ht="15" customHeight="1" x14ac:dyDescent="0.3">
      <c r="B29" s="196" t="s">
        <v>19</v>
      </c>
      <c r="C29" s="197" t="s">
        <v>13</v>
      </c>
      <c r="D29" s="198" t="str">
        <f t="shared" si="19"/>
        <v>C</v>
      </c>
      <c r="E29" s="199">
        <v>44398.375</v>
      </c>
      <c r="F29" s="200" t="s">
        <v>88</v>
      </c>
      <c r="G29" s="201">
        <v>1808.54</v>
      </c>
      <c r="H29" s="201">
        <v>1829.9</v>
      </c>
      <c r="I29" s="202">
        <f t="shared" si="20"/>
        <v>21.360000000000127</v>
      </c>
      <c r="J29" s="201">
        <v>1671.81</v>
      </c>
      <c r="K29" s="199">
        <v>44406.166666666664</v>
      </c>
      <c r="L29" s="201">
        <v>1811.35</v>
      </c>
      <c r="M29" s="203">
        <f t="shared" si="21"/>
        <v>-2.81</v>
      </c>
      <c r="N29" s="204">
        <f t="shared" si="22"/>
        <v>-0.13</v>
      </c>
      <c r="O29" s="205">
        <f t="shared" si="23"/>
        <v>0</v>
      </c>
      <c r="P29" s="206">
        <f t="shared" si="24"/>
        <v>0</v>
      </c>
      <c r="Q29" s="206">
        <f t="shared" si="25"/>
        <v>-0.13</v>
      </c>
      <c r="R2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99850</v>
      </c>
      <c r="T2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29" s="208">
        <f ca="1">IF(Tabla33610673489[[#This Row],[Equity]]&lt;Tabla33610673489[[#This Row],[Equity Peak]],(Tabla33610673489[[#This Row],[Equity Peak]]-Tabla33610673489[[#This Row],[Equity]])/Tabla33610673489[[#This Row],[Equity Peak]],"")</f>
        <v>3.8887284627971891E-2</v>
      </c>
      <c r="V29" s="209">
        <f t="shared" si="26"/>
        <v>0</v>
      </c>
      <c r="W29" s="209">
        <f t="shared" si="27"/>
        <v>0</v>
      </c>
      <c r="X29" s="209">
        <f t="shared" si="28"/>
        <v>-0.13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7.7916666666642413</v>
      </c>
      <c r="AE29" s="210">
        <f t="shared" si="35"/>
        <v>0</v>
      </c>
      <c r="AF29" s="210">
        <f t="shared" si="36"/>
        <v>7.7916666666642413</v>
      </c>
      <c r="AG29" s="210">
        <f t="shared" si="37"/>
        <v>0</v>
      </c>
    </row>
    <row r="30" spans="2:33" ht="15" customHeight="1" x14ac:dyDescent="0.3">
      <c r="B30" s="196" t="s">
        <v>19</v>
      </c>
      <c r="C30" s="197" t="s">
        <v>15</v>
      </c>
      <c r="D30" s="198" t="str">
        <f t="shared" si="19"/>
        <v>C</v>
      </c>
      <c r="E30" s="199">
        <v>44357.875</v>
      </c>
      <c r="F30" s="200" t="s">
        <v>88</v>
      </c>
      <c r="G30" s="201">
        <v>1894.75</v>
      </c>
      <c r="H30" s="201">
        <v>1872.98</v>
      </c>
      <c r="I30" s="202">
        <f t="shared" si="20"/>
        <v>21.769999999999982</v>
      </c>
      <c r="J30" s="201">
        <v>2034.05</v>
      </c>
      <c r="K30" s="199">
        <v>44358.667361111111</v>
      </c>
      <c r="L30" s="201">
        <v>1882.23</v>
      </c>
      <c r="M30" s="203">
        <f t="shared" si="21"/>
        <v>-12.52</v>
      </c>
      <c r="N30" s="204">
        <f t="shared" si="22"/>
        <v>-0.57999999999999996</v>
      </c>
      <c r="O30" s="205">
        <f t="shared" si="23"/>
        <v>0</v>
      </c>
      <c r="P30" s="206">
        <f t="shared" si="24"/>
        <v>0</v>
      </c>
      <c r="Q30" s="206">
        <f t="shared" si="25"/>
        <v>-0.57999999999999996</v>
      </c>
      <c r="R3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99980</v>
      </c>
      <c r="T3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0" s="208">
        <f ca="1">IF(Tabla33610673489[[#This Row],[Equity]]&lt;Tabla33610673489[[#This Row],[Equity Peak]],(Tabla33610673489[[#This Row],[Equity Peak]]-Tabla33610673489[[#This Row],[Equity]])/Tabla33610673489[[#This Row],[Equity Peak]],"")</f>
        <v>3.7635961112715374E-2</v>
      </c>
      <c r="V30" s="209">
        <f t="shared" si="26"/>
        <v>0</v>
      </c>
      <c r="W30" s="209">
        <f t="shared" si="27"/>
        <v>0</v>
      </c>
      <c r="X30" s="209">
        <f t="shared" si="28"/>
        <v>-0.57999999999999996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0.79236111111094942</v>
      </c>
      <c r="AE30" s="210">
        <f t="shared" si="35"/>
        <v>0</v>
      </c>
      <c r="AF30" s="210">
        <f t="shared" si="36"/>
        <v>0.79236111111094942</v>
      </c>
      <c r="AG30" s="210">
        <f t="shared" si="37"/>
        <v>0</v>
      </c>
    </row>
    <row r="31" spans="2:33" ht="15" customHeight="1" x14ac:dyDescent="0.3">
      <c r="B31" s="196" t="s">
        <v>19</v>
      </c>
      <c r="C31" s="197" t="s">
        <v>15</v>
      </c>
      <c r="D31" s="198" t="str">
        <f t="shared" si="19"/>
        <v>C</v>
      </c>
      <c r="E31" s="199">
        <v>44354.875</v>
      </c>
      <c r="F31" s="200" t="s">
        <v>88</v>
      </c>
      <c r="G31" s="201">
        <v>1897.8</v>
      </c>
      <c r="H31" s="201">
        <v>1871.52</v>
      </c>
      <c r="I31" s="202">
        <f t="shared" si="20"/>
        <v>26.279999999999973</v>
      </c>
      <c r="J31" s="201">
        <v>2065.98</v>
      </c>
      <c r="K31" s="199">
        <v>44357.443749999999</v>
      </c>
      <c r="L31" s="201">
        <v>1878.13</v>
      </c>
      <c r="M31" s="203">
        <f t="shared" si="21"/>
        <v>-19.670000000000002</v>
      </c>
      <c r="N31" s="204">
        <f t="shared" si="22"/>
        <v>-0.75</v>
      </c>
      <c r="O31" s="205">
        <f t="shared" si="23"/>
        <v>0</v>
      </c>
      <c r="P31" s="206">
        <f t="shared" si="24"/>
        <v>0</v>
      </c>
      <c r="Q31" s="206">
        <f t="shared" si="25"/>
        <v>-0.75</v>
      </c>
      <c r="R3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100560</v>
      </c>
      <c r="T3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1" s="208">
        <f ca="1">IF(Tabla33610673489[[#This Row],[Equity]]&lt;Tabla33610673489[[#This Row],[Equity Peak]],(Tabla33610673489[[#This Row],[Equity Peak]]-Tabla33610673489[[#This Row],[Equity]])/Tabla33610673489[[#This Row],[Equity Peak]],"")</f>
        <v>3.205313312157089E-2</v>
      </c>
      <c r="V31" s="209">
        <f t="shared" si="26"/>
        <v>0</v>
      </c>
      <c r="W31" s="209">
        <f t="shared" si="27"/>
        <v>0</v>
      </c>
      <c r="X31" s="209">
        <f t="shared" si="28"/>
        <v>-0.75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2.5687499999985448</v>
      </c>
      <c r="AE31" s="210">
        <f t="shared" si="35"/>
        <v>0</v>
      </c>
      <c r="AF31" s="210">
        <f t="shared" si="36"/>
        <v>2.5687499999985448</v>
      </c>
      <c r="AG31" s="210">
        <f t="shared" si="37"/>
        <v>0</v>
      </c>
    </row>
    <row r="32" spans="2:33" ht="15" customHeight="1" x14ac:dyDescent="0.3">
      <c r="B32" s="196" t="s">
        <v>19</v>
      </c>
      <c r="C32" s="197" t="s">
        <v>15</v>
      </c>
      <c r="D32" s="198" t="str">
        <f t="shared" si="19"/>
        <v>C</v>
      </c>
      <c r="E32" s="199">
        <v>44322.708333333336</v>
      </c>
      <c r="F32" s="200" t="s">
        <v>88</v>
      </c>
      <c r="G32" s="201">
        <v>1812.87</v>
      </c>
      <c r="H32" s="201">
        <v>1788.68</v>
      </c>
      <c r="I32" s="202">
        <f t="shared" si="20"/>
        <v>24.189999999999827</v>
      </c>
      <c r="J32" s="201">
        <v>1967.67</v>
      </c>
      <c r="K32" s="199">
        <v>44327.681944444441</v>
      </c>
      <c r="L32" s="201">
        <v>1821.85</v>
      </c>
      <c r="M32" s="203">
        <f t="shared" si="21"/>
        <v>8.98</v>
      </c>
      <c r="N32" s="204">
        <f t="shared" si="22"/>
        <v>0.37</v>
      </c>
      <c r="O32" s="205">
        <f t="shared" si="23"/>
        <v>0</v>
      </c>
      <c r="P32" s="206">
        <f t="shared" si="24"/>
        <v>0.37</v>
      </c>
      <c r="Q32" s="206">
        <f t="shared" si="25"/>
        <v>0</v>
      </c>
      <c r="R3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101310</v>
      </c>
      <c r="T3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2" s="208">
        <f ca="1">IF(Tabla33610673489[[#This Row],[Equity]]&lt;Tabla33610673489[[#This Row],[Equity Peak]],(Tabla33610673489[[#This Row],[Equity Peak]]-Tabla33610673489[[#This Row],[Equity]])/Tabla33610673489[[#This Row],[Equity Peak]],"")</f>
        <v>2.4833958995090961E-2</v>
      </c>
      <c r="V32" s="209">
        <f t="shared" si="26"/>
        <v>0</v>
      </c>
      <c r="W32" s="209">
        <f t="shared" si="27"/>
        <v>0</v>
      </c>
      <c r="X32" s="209">
        <f t="shared" si="28"/>
        <v>0.37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4.9736111111051287</v>
      </c>
      <c r="AE32" s="210">
        <f t="shared" si="35"/>
        <v>4.9736111111051287</v>
      </c>
      <c r="AF32" s="210">
        <f t="shared" si="36"/>
        <v>0</v>
      </c>
      <c r="AG32" s="210">
        <f t="shared" si="37"/>
        <v>0</v>
      </c>
    </row>
    <row r="33" spans="2:33" ht="15" customHeight="1" x14ac:dyDescent="0.3">
      <c r="B33" s="196" t="s">
        <v>19</v>
      </c>
      <c r="C33" s="197" t="s">
        <v>13</v>
      </c>
      <c r="D33" s="198" t="str">
        <f t="shared" si="19"/>
        <v>C</v>
      </c>
      <c r="E33" s="199">
        <v>44315.708333333336</v>
      </c>
      <c r="F33" s="200" t="s">
        <v>88</v>
      </c>
      <c r="G33" s="201">
        <v>1757.64</v>
      </c>
      <c r="H33" s="201">
        <v>1779.97</v>
      </c>
      <c r="I33" s="202">
        <f t="shared" si="20"/>
        <v>22.329999999999927</v>
      </c>
      <c r="J33" s="201">
        <v>1614.74</v>
      </c>
      <c r="K33" s="199">
        <v>44319.412499999999</v>
      </c>
      <c r="L33" s="201">
        <v>1779.91</v>
      </c>
      <c r="M33" s="203">
        <f t="shared" si="21"/>
        <v>-22.27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100940</v>
      </c>
      <c r="T3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3" s="208">
        <f ca="1">IF(Tabla33610673489[[#This Row],[Equity]]&lt;Tabla33610673489[[#This Row],[Equity Peak]],(Tabla33610673489[[#This Row],[Equity Peak]]-Tabla33610673489[[#This Row],[Equity]])/Tabla33610673489[[#This Row],[Equity Peak]],"")</f>
        <v>2.8395418230821062E-2</v>
      </c>
      <c r="V33" s="209">
        <f t="shared" si="26"/>
        <v>0</v>
      </c>
      <c r="W33" s="209">
        <f t="shared" si="27"/>
        <v>0</v>
      </c>
      <c r="X33" s="209">
        <f t="shared" si="28"/>
        <v>-1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3.7041666666627862</v>
      </c>
      <c r="AE33" s="210">
        <f t="shared" si="35"/>
        <v>0</v>
      </c>
      <c r="AF33" s="210">
        <f t="shared" si="36"/>
        <v>3.7041666666627862</v>
      </c>
      <c r="AG33" s="210">
        <f t="shared" si="37"/>
        <v>0</v>
      </c>
    </row>
    <row r="34" spans="2:33" ht="15" customHeight="1" x14ac:dyDescent="0.3">
      <c r="B34" s="196" t="s">
        <v>19</v>
      </c>
      <c r="C34" s="197" t="s">
        <v>13</v>
      </c>
      <c r="D34" s="198" t="str">
        <f t="shared" si="19"/>
        <v>C</v>
      </c>
      <c r="E34" s="199">
        <v>44314.541666666664</v>
      </c>
      <c r="F34" s="200" t="s">
        <v>88</v>
      </c>
      <c r="G34" s="201">
        <v>1766.28</v>
      </c>
      <c r="H34" s="201">
        <v>1784.67</v>
      </c>
      <c r="I34" s="202">
        <f t="shared" si="20"/>
        <v>18.3900000000001</v>
      </c>
      <c r="J34" s="201">
        <v>1648.59</v>
      </c>
      <c r="K34" s="199">
        <v>44315.129166666666</v>
      </c>
      <c r="L34" s="201">
        <v>1784.67</v>
      </c>
      <c r="M34" s="203">
        <f t="shared" si="21"/>
        <v>-18.39</v>
      </c>
      <c r="N34" s="204">
        <f t="shared" si="22"/>
        <v>-1</v>
      </c>
      <c r="O34" s="205">
        <f t="shared" si="23"/>
        <v>0</v>
      </c>
      <c r="P34" s="206">
        <f t="shared" si="24"/>
        <v>0</v>
      </c>
      <c r="Q34" s="206">
        <f t="shared" si="25"/>
        <v>-1</v>
      </c>
      <c r="R3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101940</v>
      </c>
      <c r="T3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4" s="208">
        <f ca="1">IF(Tabla33610673489[[#This Row],[Equity]]&lt;Tabla33610673489[[#This Row],[Equity Peak]],(Tabla33610673489[[#This Row],[Equity Peak]]-Tabla33610673489[[#This Row],[Equity]])/Tabla33610673489[[#This Row],[Equity Peak]],"")</f>
        <v>1.8769852728847819E-2</v>
      </c>
      <c r="V34" s="209">
        <f t="shared" si="26"/>
        <v>0</v>
      </c>
      <c r="W34" s="209">
        <f t="shared" si="27"/>
        <v>0</v>
      </c>
      <c r="X34" s="209">
        <f t="shared" si="28"/>
        <v>-1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0.58750000000145519</v>
      </c>
      <c r="AE34" s="210">
        <f t="shared" si="35"/>
        <v>0</v>
      </c>
      <c r="AF34" s="210">
        <f t="shared" si="36"/>
        <v>0.58750000000145519</v>
      </c>
      <c r="AG34" s="210">
        <f t="shared" si="37"/>
        <v>0</v>
      </c>
    </row>
    <row r="35" spans="2:33" ht="15" customHeight="1" x14ac:dyDescent="0.3">
      <c r="B35" s="196" t="s">
        <v>19</v>
      </c>
      <c r="C35" s="197" t="s">
        <v>13</v>
      </c>
      <c r="D35" s="198" t="str">
        <f t="shared" si="19"/>
        <v>C</v>
      </c>
      <c r="E35" s="199">
        <v>44299.375</v>
      </c>
      <c r="F35" s="200" t="s">
        <v>88</v>
      </c>
      <c r="G35" s="201">
        <v>1727.67</v>
      </c>
      <c r="H35" s="201">
        <v>1746.29</v>
      </c>
      <c r="I35" s="202">
        <f t="shared" si="20"/>
        <v>18.619999999999891</v>
      </c>
      <c r="J35" s="201">
        <v>1608.49</v>
      </c>
      <c r="K35" s="199">
        <v>44299.691666666666</v>
      </c>
      <c r="L35" s="201">
        <v>1745.43</v>
      </c>
      <c r="M35" s="203">
        <f t="shared" si="21"/>
        <v>-17.760000000000002</v>
      </c>
      <c r="N35" s="204">
        <f t="shared" si="22"/>
        <v>-0.95</v>
      </c>
      <c r="O35" s="205">
        <f t="shared" si="23"/>
        <v>0</v>
      </c>
      <c r="P35" s="206">
        <f t="shared" si="24"/>
        <v>0</v>
      </c>
      <c r="Q35" s="206">
        <f t="shared" si="25"/>
        <v>-0.95</v>
      </c>
      <c r="R3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102940</v>
      </c>
      <c r="T3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5" s="208">
        <f ca="1">IF(Tabla33610673489[[#This Row],[Equity]]&lt;Tabla33610673489[[#This Row],[Equity Peak]],(Tabla33610673489[[#This Row],[Equity Peak]]-Tabla33610673489[[#This Row],[Equity]])/Tabla33610673489[[#This Row],[Equity Peak]],"")</f>
        <v>9.1442872268745791E-3</v>
      </c>
      <c r="V35" s="209">
        <f t="shared" si="26"/>
        <v>0</v>
      </c>
      <c r="W35" s="209">
        <f t="shared" si="27"/>
        <v>0</v>
      </c>
      <c r="X35" s="209">
        <f t="shared" si="28"/>
        <v>-0.95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0.31666666666569654</v>
      </c>
      <c r="AE35" s="210">
        <f t="shared" si="35"/>
        <v>0</v>
      </c>
      <c r="AF35" s="210">
        <f t="shared" si="36"/>
        <v>0.31666666666569654</v>
      </c>
      <c r="AG35" s="210">
        <f t="shared" si="37"/>
        <v>0</v>
      </c>
    </row>
    <row r="36" spans="2:33" ht="15" customHeight="1" x14ac:dyDescent="0.3">
      <c r="B36" s="196" t="s">
        <v>19</v>
      </c>
      <c r="C36" s="197" t="s">
        <v>13</v>
      </c>
      <c r="D36" s="198" t="str">
        <f t="shared" si="19"/>
        <v>C</v>
      </c>
      <c r="E36" s="199">
        <v>44279.041666666664</v>
      </c>
      <c r="F36" s="200" t="s">
        <v>88</v>
      </c>
      <c r="G36" s="201">
        <v>1727.2</v>
      </c>
      <c r="H36" s="201">
        <v>1746.79</v>
      </c>
      <c r="I36" s="202">
        <f t="shared" si="20"/>
        <v>19.589999999999918</v>
      </c>
      <c r="J36" s="201">
        <v>1601.79</v>
      </c>
      <c r="K36" s="199">
        <v>44286.719444444447</v>
      </c>
      <c r="L36" s="201">
        <v>1698.93</v>
      </c>
      <c r="M36" s="203">
        <f t="shared" si="21"/>
        <v>28.27</v>
      </c>
      <c r="N36" s="204">
        <f t="shared" si="22"/>
        <v>1.44</v>
      </c>
      <c r="O36" s="205">
        <f t="shared" si="23"/>
        <v>0</v>
      </c>
      <c r="P36" s="206">
        <f t="shared" si="24"/>
        <v>1.44</v>
      </c>
      <c r="Q36" s="206">
        <f t="shared" si="25"/>
        <v>0</v>
      </c>
      <c r="R3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103890</v>
      </c>
      <c r="T3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103890</v>
      </c>
      <c r="U36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6" s="209">
        <f t="shared" si="26"/>
        <v>0</v>
      </c>
      <c r="W36" s="209">
        <f t="shared" si="27"/>
        <v>0</v>
      </c>
      <c r="X36" s="209">
        <f t="shared" si="28"/>
        <v>1.44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7.6777777777824667</v>
      </c>
      <c r="AE36" s="210">
        <f t="shared" si="35"/>
        <v>7.6777777777824667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19</v>
      </c>
      <c r="C37" s="197" t="s">
        <v>13</v>
      </c>
      <c r="D37" s="198" t="str">
        <f t="shared" si="19"/>
        <v>C</v>
      </c>
      <c r="E37" s="199">
        <v>44251.708333333336</v>
      </c>
      <c r="F37" s="200" t="s">
        <v>88</v>
      </c>
      <c r="G37" s="201">
        <v>1785.63</v>
      </c>
      <c r="H37" s="201">
        <v>1811.26</v>
      </c>
      <c r="I37" s="202">
        <f t="shared" si="20"/>
        <v>25.629999999999882</v>
      </c>
      <c r="J37" s="201">
        <v>1621.63</v>
      </c>
      <c r="K37" s="199">
        <v>44264.554861111108</v>
      </c>
      <c r="L37" s="201">
        <v>1705.76</v>
      </c>
      <c r="M37" s="203">
        <f t="shared" si="21"/>
        <v>79.87</v>
      </c>
      <c r="N37" s="204">
        <f t="shared" si="22"/>
        <v>3.12</v>
      </c>
      <c r="O37" s="205">
        <f t="shared" si="23"/>
        <v>0</v>
      </c>
      <c r="P37" s="206">
        <f t="shared" si="24"/>
        <v>3.12</v>
      </c>
      <c r="Q37" s="206">
        <f t="shared" si="25"/>
        <v>0</v>
      </c>
      <c r="R3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102450</v>
      </c>
      <c r="T3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102450</v>
      </c>
      <c r="U37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7" s="209">
        <f t="shared" si="26"/>
        <v>0</v>
      </c>
      <c r="W37" s="209">
        <f t="shared" si="27"/>
        <v>0</v>
      </c>
      <c r="X37" s="209">
        <f t="shared" si="28"/>
        <v>3.12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12.84652777777228</v>
      </c>
      <c r="AE37" s="210">
        <f t="shared" si="35"/>
        <v>12.84652777777228</v>
      </c>
      <c r="AF37" s="210">
        <f t="shared" si="36"/>
        <v>0</v>
      </c>
      <c r="AG37" s="210">
        <f t="shared" si="37"/>
        <v>0</v>
      </c>
    </row>
    <row r="38" spans="2:33" ht="15" customHeight="1" x14ac:dyDescent="0.3">
      <c r="B38" s="196" t="s">
        <v>19</v>
      </c>
      <c r="C38" s="197" t="s">
        <v>13</v>
      </c>
      <c r="D38" s="198" t="str">
        <f t="shared" si="19"/>
        <v>C</v>
      </c>
      <c r="E38" s="199">
        <v>44239.041666666664</v>
      </c>
      <c r="F38" s="200" t="s">
        <v>88</v>
      </c>
      <c r="G38" s="201">
        <v>1826.07</v>
      </c>
      <c r="H38" s="201">
        <v>1849.04</v>
      </c>
      <c r="I38" s="202">
        <f t="shared" si="20"/>
        <v>22.970000000000027</v>
      </c>
      <c r="J38" s="201">
        <v>1679.09</v>
      </c>
      <c r="K38" s="199">
        <v>44243.724999999999</v>
      </c>
      <c r="L38" s="201">
        <v>1811.33</v>
      </c>
      <c r="M38" s="203">
        <f t="shared" si="21"/>
        <v>14.74</v>
      </c>
      <c r="N38" s="204">
        <f t="shared" si="22"/>
        <v>0.64</v>
      </c>
      <c r="O38" s="205">
        <f t="shared" si="23"/>
        <v>0</v>
      </c>
      <c r="P38" s="206">
        <f t="shared" si="24"/>
        <v>0.64</v>
      </c>
      <c r="Q38" s="206">
        <f t="shared" si="25"/>
        <v>0</v>
      </c>
      <c r="R3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99330</v>
      </c>
      <c r="T3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38" s="208">
        <f ca="1">IF(Tabla33610673489[[#This Row],[Equity]]&lt;Tabla33610673489[[#This Row],[Equity Peak]],(Tabla33610673489[[#This Row],[Equity Peak]]-Tabla33610673489[[#This Row],[Equity]])/Tabla33610673489[[#This Row],[Equity Peak]],"")</f>
        <v>6.7000000000000002E-3</v>
      </c>
      <c r="V38" s="209">
        <f t="shared" si="26"/>
        <v>0</v>
      </c>
      <c r="W38" s="209">
        <f t="shared" si="27"/>
        <v>0</v>
      </c>
      <c r="X38" s="209">
        <f t="shared" si="28"/>
        <v>0.64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4.6833333333343035</v>
      </c>
      <c r="AE38" s="210">
        <f t="shared" si="35"/>
        <v>4.6833333333343035</v>
      </c>
      <c r="AF38" s="210">
        <f t="shared" si="36"/>
        <v>0</v>
      </c>
      <c r="AG38" s="210">
        <f t="shared" si="37"/>
        <v>0</v>
      </c>
    </row>
    <row r="39" spans="2:33" ht="15" customHeight="1" x14ac:dyDescent="0.3">
      <c r="B39" s="196" t="s">
        <v>19</v>
      </c>
      <c r="C39" s="197" t="s">
        <v>13</v>
      </c>
      <c r="D39" s="198" t="str">
        <f t="shared" si="19"/>
        <v>C</v>
      </c>
      <c r="E39" s="199">
        <v>44229.708333333336</v>
      </c>
      <c r="F39" s="200" t="s">
        <v>88</v>
      </c>
      <c r="G39" s="201">
        <v>1834.19</v>
      </c>
      <c r="H39" s="201">
        <v>1867.83</v>
      </c>
      <c r="I39" s="202">
        <f t="shared" si="20"/>
        <v>33.639999999999873</v>
      </c>
      <c r="J39" s="201">
        <v>1618.86</v>
      </c>
      <c r="K39" s="199">
        <v>44232.431250000001</v>
      </c>
      <c r="L39" s="201">
        <v>1808.85</v>
      </c>
      <c r="M39" s="203">
        <f t="shared" si="21"/>
        <v>25.34</v>
      </c>
      <c r="N39" s="204">
        <f t="shared" si="22"/>
        <v>0.75</v>
      </c>
      <c r="O39" s="205">
        <f t="shared" si="23"/>
        <v>0</v>
      </c>
      <c r="P39" s="206">
        <f t="shared" si="24"/>
        <v>0.75</v>
      </c>
      <c r="Q39" s="206">
        <f t="shared" si="25"/>
        <v>0</v>
      </c>
      <c r="R3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98690</v>
      </c>
      <c r="T3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39" s="208">
        <f ca="1">IF(Tabla33610673489[[#This Row],[Equity]]&lt;Tabla33610673489[[#This Row],[Equity Peak]],(Tabla33610673489[[#This Row],[Equity Peak]]-Tabla33610673489[[#This Row],[Equity]])/Tabla33610673489[[#This Row],[Equity Peak]],"")</f>
        <v>1.3100000000000001E-2</v>
      </c>
      <c r="V39" s="209">
        <f t="shared" si="26"/>
        <v>0</v>
      </c>
      <c r="W39" s="209">
        <f t="shared" si="27"/>
        <v>0</v>
      </c>
      <c r="X39" s="209">
        <f t="shared" si="28"/>
        <v>0.75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2.7229166666656965</v>
      </c>
      <c r="AE39" s="210">
        <f t="shared" si="35"/>
        <v>2.7229166666656965</v>
      </c>
      <c r="AF39" s="210">
        <f t="shared" si="36"/>
        <v>0</v>
      </c>
      <c r="AG39" s="210">
        <f t="shared" si="37"/>
        <v>0</v>
      </c>
    </row>
    <row r="40" spans="2:33" ht="15" customHeight="1" x14ac:dyDescent="0.3">
      <c r="B40" s="196" t="s">
        <v>19</v>
      </c>
      <c r="C40" s="197" t="s">
        <v>15</v>
      </c>
      <c r="D40" s="198" t="str">
        <f t="shared" si="19"/>
        <v>C</v>
      </c>
      <c r="E40" s="199">
        <v>44228.208333333336</v>
      </c>
      <c r="F40" s="200" t="s">
        <v>88</v>
      </c>
      <c r="G40" s="201">
        <v>1861.63</v>
      </c>
      <c r="H40" s="201">
        <v>1826.34</v>
      </c>
      <c r="I40" s="202">
        <f t="shared" si="20"/>
        <v>35.290000000000191</v>
      </c>
      <c r="J40" s="201">
        <v>2087.4899999999998</v>
      </c>
      <c r="K40" s="199">
        <v>44229.658333333333</v>
      </c>
      <c r="L40" s="201">
        <v>1830.16</v>
      </c>
      <c r="M40" s="203">
        <f t="shared" si="21"/>
        <v>-31.47</v>
      </c>
      <c r="N40" s="204">
        <f t="shared" si="22"/>
        <v>-0.89</v>
      </c>
      <c r="O40" s="205">
        <f t="shared" si="23"/>
        <v>0</v>
      </c>
      <c r="P40" s="206">
        <f t="shared" si="24"/>
        <v>0</v>
      </c>
      <c r="Q40" s="206">
        <f t="shared" si="25"/>
        <v>-0.89</v>
      </c>
      <c r="R4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97940</v>
      </c>
      <c r="T4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40" s="208">
        <f ca="1">IF(Tabla33610673489[[#This Row],[Equity]]&lt;Tabla33610673489[[#This Row],[Equity Peak]],(Tabla33610673489[[#This Row],[Equity Peak]]-Tabla33610673489[[#This Row],[Equity]])/Tabla33610673489[[#This Row],[Equity Peak]],"")</f>
        <v>2.06E-2</v>
      </c>
      <c r="V40" s="209">
        <f t="shared" si="26"/>
        <v>0</v>
      </c>
      <c r="W40" s="209">
        <f t="shared" si="27"/>
        <v>0</v>
      </c>
      <c r="X40" s="209">
        <f t="shared" si="28"/>
        <v>-0.89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1.4499999999970896</v>
      </c>
      <c r="AE40" s="210">
        <f t="shared" si="35"/>
        <v>0</v>
      </c>
      <c r="AF40" s="210">
        <f t="shared" si="36"/>
        <v>1.4499999999970896</v>
      </c>
      <c r="AG40" s="210">
        <f t="shared" si="37"/>
        <v>0</v>
      </c>
    </row>
    <row r="41" spans="2:33" ht="15" customHeight="1" x14ac:dyDescent="0.3">
      <c r="B41" s="196" t="s">
        <v>19</v>
      </c>
      <c r="C41" s="197" t="s">
        <v>13</v>
      </c>
      <c r="D41" s="198" t="str">
        <f t="shared" si="19"/>
        <v>C</v>
      </c>
      <c r="E41" s="199">
        <v>44228.041666666664</v>
      </c>
      <c r="F41" s="200" t="s">
        <v>88</v>
      </c>
      <c r="G41" s="201">
        <v>1864.38</v>
      </c>
      <c r="H41" s="201">
        <v>1899.7</v>
      </c>
      <c r="I41" s="202">
        <f t="shared" si="20"/>
        <v>35.319999999999936</v>
      </c>
      <c r="J41" s="201">
        <v>1638.32</v>
      </c>
      <c r="K41" s="199">
        <v>44228.208333333336</v>
      </c>
      <c r="L41" s="201">
        <v>1861.63</v>
      </c>
      <c r="M41" s="203">
        <f t="shared" si="21"/>
        <v>2.75</v>
      </c>
      <c r="N41" s="204">
        <f t="shared" si="22"/>
        <v>0.08</v>
      </c>
      <c r="O41" s="205">
        <f t="shared" si="23"/>
        <v>0</v>
      </c>
      <c r="P41" s="206">
        <f t="shared" si="24"/>
        <v>0.08</v>
      </c>
      <c r="Q41" s="206">
        <f t="shared" si="25"/>
        <v>0</v>
      </c>
      <c r="R4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98830</v>
      </c>
      <c r="T4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41" s="208">
        <f ca="1">IF(Tabla33610673489[[#This Row],[Equity]]&lt;Tabla33610673489[[#This Row],[Equity Peak]],(Tabla33610673489[[#This Row],[Equity Peak]]-Tabla33610673489[[#This Row],[Equity]])/Tabla33610673489[[#This Row],[Equity Peak]],"")</f>
        <v>1.17E-2</v>
      </c>
      <c r="V41" s="209">
        <f t="shared" si="26"/>
        <v>0</v>
      </c>
      <c r="W41" s="209">
        <f t="shared" si="27"/>
        <v>0</v>
      </c>
      <c r="X41" s="209">
        <f t="shared" si="28"/>
        <v>0.08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0.16666666667151731</v>
      </c>
      <c r="AE41" s="210">
        <f t="shared" si="35"/>
        <v>0.16666666667151731</v>
      </c>
      <c r="AF41" s="210">
        <f t="shared" si="36"/>
        <v>0</v>
      </c>
      <c r="AG41" s="210">
        <f t="shared" si="37"/>
        <v>0</v>
      </c>
    </row>
    <row r="42" spans="2:33" ht="15" customHeight="1" x14ac:dyDescent="0.3">
      <c r="B42" s="196" t="s">
        <v>19</v>
      </c>
      <c r="C42" s="197" t="s">
        <v>15</v>
      </c>
      <c r="D42" s="198" t="str">
        <f t="shared" si="19"/>
        <v>C</v>
      </c>
      <c r="E42" s="199">
        <v>44225.708333333336</v>
      </c>
      <c r="F42" s="200" t="s">
        <v>88</v>
      </c>
      <c r="G42" s="201">
        <v>1865.25</v>
      </c>
      <c r="H42" s="201">
        <v>1831.08</v>
      </c>
      <c r="I42" s="202">
        <f t="shared" si="20"/>
        <v>34.170000000000073</v>
      </c>
      <c r="J42" s="201">
        <v>2083.96</v>
      </c>
      <c r="K42" s="199">
        <v>44228.041666666664</v>
      </c>
      <c r="L42" s="201">
        <v>1864.38</v>
      </c>
      <c r="M42" s="203">
        <f t="shared" si="21"/>
        <v>-0.87</v>
      </c>
      <c r="N42" s="204">
        <f t="shared" si="22"/>
        <v>-0.03</v>
      </c>
      <c r="O42" s="205">
        <f t="shared" si="23"/>
        <v>0</v>
      </c>
      <c r="P42" s="206">
        <f t="shared" si="24"/>
        <v>0</v>
      </c>
      <c r="Q42" s="206">
        <f t="shared" si="25"/>
        <v>-0.03</v>
      </c>
      <c r="R4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4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98750</v>
      </c>
      <c r="T4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42" s="208">
        <f ca="1">IF(Tabla33610673489[[#This Row],[Equity]]&lt;Tabla33610673489[[#This Row],[Equity Peak]],(Tabla33610673489[[#This Row],[Equity Peak]]-Tabla33610673489[[#This Row],[Equity]])/Tabla33610673489[[#This Row],[Equity Peak]],"")</f>
        <v>1.2500000000000001E-2</v>
      </c>
      <c r="V42" s="209">
        <f t="shared" si="26"/>
        <v>0</v>
      </c>
      <c r="W42" s="209">
        <f t="shared" si="27"/>
        <v>0</v>
      </c>
      <c r="X42" s="209">
        <f t="shared" si="28"/>
        <v>-0.03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2.3333333333284827</v>
      </c>
      <c r="AE42" s="210">
        <f t="shared" si="35"/>
        <v>0</v>
      </c>
      <c r="AF42" s="210">
        <f t="shared" si="36"/>
        <v>2.3333333333284827</v>
      </c>
      <c r="AG42" s="210">
        <f t="shared" si="37"/>
        <v>0</v>
      </c>
    </row>
    <row r="43" spans="2:33" ht="15" customHeight="1" x14ac:dyDescent="0.3">
      <c r="B43" s="196" t="s">
        <v>19</v>
      </c>
      <c r="C43" s="197" t="s">
        <v>13</v>
      </c>
      <c r="D43" s="198" t="str">
        <f t="shared" si="19"/>
        <v>C</v>
      </c>
      <c r="E43" s="199">
        <v>44218.708333333336</v>
      </c>
      <c r="F43" s="200" t="s">
        <v>88</v>
      </c>
      <c r="G43" s="201">
        <v>1850.52</v>
      </c>
      <c r="H43" s="201">
        <v>1877.25</v>
      </c>
      <c r="I43" s="202">
        <f t="shared" si="20"/>
        <v>26.730000000000018</v>
      </c>
      <c r="J43" s="201">
        <v>1679.42</v>
      </c>
      <c r="K43" s="199">
        <v>44224.67291666667</v>
      </c>
      <c r="L43" s="201">
        <v>1859.76</v>
      </c>
      <c r="M43" s="203">
        <f t="shared" si="21"/>
        <v>-9.24</v>
      </c>
      <c r="N43" s="204">
        <f t="shared" si="22"/>
        <v>-0.35</v>
      </c>
      <c r="O43" s="205">
        <f t="shared" si="23"/>
        <v>0</v>
      </c>
      <c r="P43" s="206">
        <f t="shared" si="24"/>
        <v>0</v>
      </c>
      <c r="Q43" s="206">
        <f t="shared" si="25"/>
        <v>-0.35</v>
      </c>
      <c r="R4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4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98780</v>
      </c>
      <c r="T4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43" s="208">
        <f ca="1">IF(Tabla33610673489[[#This Row],[Equity]]&lt;Tabla33610673489[[#This Row],[Equity Peak]],(Tabla33610673489[[#This Row],[Equity Peak]]-Tabla33610673489[[#This Row],[Equity]])/Tabla33610673489[[#This Row],[Equity Peak]],"")</f>
        <v>1.2200000000000001E-2</v>
      </c>
      <c r="V43" s="209">
        <f t="shared" si="26"/>
        <v>0</v>
      </c>
      <c r="W43" s="209">
        <f t="shared" si="27"/>
        <v>0</v>
      </c>
      <c r="X43" s="209">
        <f t="shared" si="28"/>
        <v>-0.35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5.9645833333343035</v>
      </c>
      <c r="AE43" s="210">
        <f t="shared" si="35"/>
        <v>0</v>
      </c>
      <c r="AF43" s="210">
        <f t="shared" si="36"/>
        <v>5.9645833333343035</v>
      </c>
      <c r="AG43" s="210">
        <f t="shared" si="37"/>
        <v>0</v>
      </c>
    </row>
    <row r="44" spans="2:33" ht="15" customHeight="1" x14ac:dyDescent="0.3">
      <c r="B44" s="196" t="s">
        <v>19</v>
      </c>
      <c r="C44" s="197" t="s">
        <v>15</v>
      </c>
      <c r="D44" s="198" t="str">
        <f t="shared" si="19"/>
        <v>C</v>
      </c>
      <c r="E44" s="199">
        <v>44217.041666666664</v>
      </c>
      <c r="F44" s="200" t="s">
        <v>88</v>
      </c>
      <c r="G44" s="201">
        <v>1871.56</v>
      </c>
      <c r="H44" s="201">
        <v>1846.75</v>
      </c>
      <c r="I44" s="202">
        <f t="shared" si="20"/>
        <v>24.809999999999945</v>
      </c>
      <c r="J44" s="201">
        <v>2030.36</v>
      </c>
      <c r="K44" s="199">
        <v>44218.552083333336</v>
      </c>
      <c r="L44" s="201">
        <v>1850.06</v>
      </c>
      <c r="M44" s="203">
        <f t="shared" si="21"/>
        <v>-21.5</v>
      </c>
      <c r="N44" s="204">
        <f t="shared" si="22"/>
        <v>-0.87</v>
      </c>
      <c r="O44" s="205">
        <f t="shared" si="23"/>
        <v>0</v>
      </c>
      <c r="P44" s="206">
        <f t="shared" si="24"/>
        <v>0</v>
      </c>
      <c r="Q44" s="206">
        <f t="shared" si="25"/>
        <v>-0.87</v>
      </c>
      <c r="R4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4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99130</v>
      </c>
      <c r="T4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100000</v>
      </c>
      <c r="U44" s="208">
        <f ca="1">IF(Tabla33610673489[[#This Row],[Equity]]&lt;Tabla33610673489[[#This Row],[Equity Peak]],(Tabla33610673489[[#This Row],[Equity Peak]]-Tabla33610673489[[#This Row],[Equity]])/Tabla33610673489[[#This Row],[Equity Peak]],"")</f>
        <v>8.6999999999999994E-3</v>
      </c>
      <c r="V44" s="209">
        <f t="shared" si="26"/>
        <v>0</v>
      </c>
      <c r="W44" s="209">
        <f t="shared" si="27"/>
        <v>0</v>
      </c>
      <c r="X44" s="209">
        <f t="shared" si="28"/>
        <v>-0.87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1.5104166666715173</v>
      </c>
      <c r="AE44" s="210">
        <f t="shared" si="35"/>
        <v>0</v>
      </c>
      <c r="AF44" s="210">
        <f t="shared" si="36"/>
        <v>1.5104166666715173</v>
      </c>
      <c r="AG44" s="210">
        <f t="shared" si="37"/>
        <v>0</v>
      </c>
    </row>
  </sheetData>
  <sheetProtection algorithmName="SHA-512" hashValue="Qls4tj8bq9K+LDmH4ckDiM0UuoX94Tv6kc2BVDkYWGlVhJFsvNMs5w298REUNiMnjcfxCD3/+dNw4w1jyJ0+9w==" saltValue="MSlH99NFkz8cbpDXXi/tT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9" priority="3" operator="equal">
      <formula>"OK"</formula>
    </cfRule>
    <cfRule type="cellIs" dxfId="418" priority="4" operator="equal">
      <formula>"warning"</formula>
    </cfRule>
  </conditionalFormatting>
  <conditionalFormatting sqref="F13">
    <cfRule type="cellIs" dxfId="417" priority="1" operator="equal">
      <formula>"OK"</formula>
    </cfRule>
    <cfRule type="cellIs" dxfId="416" priority="2" operator="equal">
      <formula>"Error!!"</formula>
    </cfRule>
  </conditionalFormatting>
  <conditionalFormatting sqref="E15:H15 K15:L15">
    <cfRule type="expression" dxfId="415" priority="5">
      <formula>+$D15=#REF!</formula>
    </cfRule>
    <cfRule type="expression" dxfId="414" priority="6">
      <formula>+$D15=#REF!</formula>
    </cfRule>
  </conditionalFormatting>
  <conditionalFormatting sqref="D15 K16:L16 D16:H44 J17:L44">
    <cfRule type="expression" dxfId="413" priority="7">
      <formula>+$D15=$AG$8</formula>
    </cfRule>
    <cfRule type="expression" dxfId="41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54B0218A-F85D-4B3B-9CD0-8F440FC3B6FB}">
      <formula1>$AE$4:$AE$6</formula1>
    </dataValidation>
    <dataValidation type="list" allowBlank="1" showInputMessage="1" showErrorMessage="1" promptTitle="Trade Direction" prompt="Select from List" sqref="C15:C16" xr:uid="{77589013-8755-4E62-9989-E01B400878BF}">
      <formula1>$AG$4:$AG$5</formula1>
    </dataValidation>
    <dataValidation type="list" allowBlank="1" showInputMessage="1" showErrorMessage="1" promptTitle="Instrument Type" prompt="Select Type from List_x000a_" sqref="B17:B44" xr:uid="{69E8FCA0-1D6A-48EB-A5C3-B8171E1B4D7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9173-A560-4B25-A2DB-5085B18A7BF3}">
  <sheetPr codeName="Hoja27">
    <pageSetUpPr fitToPage="1"/>
  </sheetPr>
  <dimension ref="A1:AX42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COUNTA(Tabla336106734821[Inst])</f>
        <v>26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11.21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11.21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COUNTIF(Tabla336106734821[No. of Rs],"&gt;0")</f>
        <v>4</v>
      </c>
      <c r="G7" s="24">
        <f>IFERROR((F7/$F$6),"")</f>
        <v>0.15384615384615385</v>
      </c>
      <c r="H7" s="78">
        <f>IFERROR((+P13/F7),"")</f>
        <v>4.8125</v>
      </c>
      <c r="I7" s="227">
        <f>H7/H9</f>
        <v>12.569962686567163</v>
      </c>
      <c r="J7" s="227">
        <f>AVERAGE(Tabla336106734821[No. of Rs])</f>
        <v>0.43115384615384617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COUNTIF(Tabla336106734821[No. of Rs],"=0")</f>
        <v>1</v>
      </c>
      <c r="G8" s="24">
        <f>IFERROR((F8/$F$6),"")</f>
        <v>3.8461538461538464E-2</v>
      </c>
      <c r="H8" s="78"/>
      <c r="I8" s="228"/>
      <c r="J8" s="228"/>
      <c r="K8" s="163"/>
      <c r="L8" s="212" t="s">
        <v>112</v>
      </c>
      <c r="M8" s="213"/>
      <c r="N8" s="195">
        <f ca="1">OFFSET(Tabla336106734821[[#Headers],[Equity]],1,0)</f>
        <v>111210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COUNTIF(Tabla336106734821[No. of Rs],"&lt;0")</f>
        <v>21</v>
      </c>
      <c r="G9" s="32">
        <f>IFERROR((F9/$F$6),"")</f>
        <v>0.80769230769230771</v>
      </c>
      <c r="H9" s="79">
        <f>IFERROR((-Q13/F9),"")</f>
        <v>0.3828571428571429</v>
      </c>
      <c r="I9" s="229"/>
      <c r="J9" s="229"/>
      <c r="K9" s="149"/>
      <c r="L9" s="230" t="s">
        <v>106</v>
      </c>
      <c r="M9" s="231"/>
      <c r="N9" s="125">
        <f ca="1">MAX(Tabla336106734821[Drawdown])</f>
        <v>2.9201588001764447E-2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OFFSET(Tabla336106734821[[#Headers],[Drawdown]],1,0)</f>
        <v>1.8879576532862815E-2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IF(COUNTIFS(Tabla336106734821[O/C],"O")&lt;1,"None",COUNTIFS(Tabla336106734821[O/C],"O"))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SUM(Tabla336106734821[No. of Rs])</f>
        <v>11.21</v>
      </c>
      <c r="O13" s="42">
        <f>SUM(Tabla336106734821[Heat])</f>
        <v>0</v>
      </c>
      <c r="P13" s="43">
        <f>SUM(Tabla336106734821[[ TR WIN]])</f>
        <v>19.25</v>
      </c>
      <c r="Q13" s="43">
        <f>SUM(Tabla336106734821[[ TR LOSS]])</f>
        <v>-8.0400000000000009</v>
      </c>
      <c r="R13" s="114"/>
      <c r="S13" s="115"/>
      <c r="T13" s="115"/>
      <c r="U13" s="121"/>
      <c r="V13" s="44">
        <f>SUM(Tabla336106734821[Currency])</f>
        <v>0</v>
      </c>
      <c r="W13" s="44">
        <f>SUM(Tabla336106734821[Heat3])</f>
        <v>0</v>
      </c>
      <c r="X13" s="44">
        <f>SUM(Tabla336106734821[Commodities])</f>
        <v>11.21</v>
      </c>
      <c r="Y13" s="44">
        <f>SUM(Tabla336106734821[Heat4])</f>
        <v>0</v>
      </c>
      <c r="Z13" s="44">
        <f>SUM(Tabla336106734821[Index])</f>
        <v>0</v>
      </c>
      <c r="AA13" s="44">
        <f>SUM(Tabla336106734821[Heat5])</f>
        <v>0</v>
      </c>
      <c r="AB13" s="44">
        <f>SUM(Tabla336106734821[Cryptocurrency])</f>
        <v>0</v>
      </c>
      <c r="AC13" s="44">
        <f>SUM(Tabla336106734821[Heat6])</f>
        <v>0</v>
      </c>
      <c r="AD13" s="75">
        <f>AVERAGEIF(Tabla336106734821[Length of 
Trade],"&lt;&gt;0")</f>
        <v>7.716773504272938</v>
      </c>
      <c r="AE13" s="75">
        <f>AVERAGEIF(Tabla336106734821[Win],"&lt;&gt;0")</f>
        <v>40.474131944443798</v>
      </c>
      <c r="AF13" s="75">
        <f>AVERAGEIF(Tabla336106734821[Loss],"&lt;&gt;0")</f>
        <v>1.6976851851847772</v>
      </c>
      <c r="AG13" s="76">
        <f>AVERAGEIF(Tabla336106734821[Breakeven],"&lt;&gt;0")</f>
        <v>3.0881944444408873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13</v>
      </c>
      <c r="D17" s="198" t="str">
        <f t="shared" ref="D17:D24" si="0">IF(E17&lt;&gt;"",IF(K17&lt;&gt;"","C","O"),"")</f>
        <v>C</v>
      </c>
      <c r="E17" s="199">
        <v>44526.458333333336</v>
      </c>
      <c r="F17" s="200" t="s">
        <v>108</v>
      </c>
      <c r="G17" s="201">
        <v>74.691999999999993</v>
      </c>
      <c r="H17" s="201">
        <v>76.929000000000002</v>
      </c>
      <c r="I17" s="202">
        <f t="shared" ref="I17:I24" si="1">ABS(G17-H17)</f>
        <v>2.237000000000009</v>
      </c>
      <c r="J17" s="201">
        <v>47.847999999999999</v>
      </c>
      <c r="K17" s="199">
        <v>44537.522222222222</v>
      </c>
      <c r="L17" s="201">
        <v>72.069999999999993</v>
      </c>
      <c r="M17" s="203">
        <f t="shared" ref="M17:M24" si="2">ROUND(IF(C17="L",(L17-G17),(G17-L17)),4)</f>
        <v>2.6219999999999999</v>
      </c>
      <c r="N17" s="204">
        <f t="shared" ref="N17:N24" si="3">IFERROR(ROUND((M17/I17),2),"")</f>
        <v>1.17</v>
      </c>
      <c r="O17" s="205">
        <f t="shared" ref="O17:O24" si="4">IF(D17="O",IF(N17&lt;0,N17,0),0)</f>
        <v>0</v>
      </c>
      <c r="P17" s="206">
        <f t="shared" ref="P17:P24" si="5">IF(N17&gt;= 0,N17,0)</f>
        <v>1.17</v>
      </c>
      <c r="Q17" s="206">
        <f t="shared" ref="Q17:Q24" si="6">IF(N17&lt;0,N17,0)</f>
        <v>0</v>
      </c>
      <c r="R1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111210</v>
      </c>
      <c r="T1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17" s="208">
        <f ca="1">IF(Tabla336106734821[[#This Row],[Equity]]&lt;Tabla336106734821[[#This Row],[Equity Peak]],(Tabla336106734821[[#This Row],[Equity Peak]]-Tabla336106734821[[#This Row],[Equity]])/Tabla336106734821[[#This Row],[Equity Peak]],"")</f>
        <v>1.8879576532862815E-2</v>
      </c>
      <c r="V17" s="209">
        <f t="shared" ref="V17:V24" si="7">IF(B17="FX",N17,0)</f>
        <v>0</v>
      </c>
      <c r="W17" s="209">
        <f t="shared" ref="W17:W24" si="8">IF(D17="O",IF(V17&lt;0,V17,0),0)</f>
        <v>0</v>
      </c>
      <c r="X17" s="209">
        <f t="shared" ref="X17:X24" si="9">IF(B17="COM",N17,0)</f>
        <v>1.17</v>
      </c>
      <c r="Y17" s="209">
        <f t="shared" ref="Y17:Y24" si="10">IF(D17="O",IF(X17&lt;0,X17,0),0)</f>
        <v>0</v>
      </c>
      <c r="Z17" s="209">
        <f t="shared" ref="Z17:Z24" si="11">IF(B17="IND",N17,0)</f>
        <v>0</v>
      </c>
      <c r="AA17" s="205">
        <f t="shared" ref="AA17:AA24" si="12">IF(D17="O",IF(Z17&lt;0,Z17,0),0)</f>
        <v>0</v>
      </c>
      <c r="AB17" s="209">
        <f t="shared" ref="AB17:AB24" si="13">IF(B17="CRYPTO",N17,0)</f>
        <v>0</v>
      </c>
      <c r="AC17" s="205">
        <f t="shared" ref="AC17:AC24" si="14">IF(D17="O",IF(AB17&lt;0,AB17,0),0)</f>
        <v>0</v>
      </c>
      <c r="AD17" s="210">
        <f t="shared" ref="AD17:AD24" si="15">IF(K17&lt;&gt;"",K17-E17,0)</f>
        <v>11.06388888888614</v>
      </c>
      <c r="AE17" s="210">
        <f t="shared" ref="AE17:AE24" si="16">IF(N17&gt;0,AD17,0)</f>
        <v>11.06388888888614</v>
      </c>
      <c r="AF17" s="210">
        <f t="shared" ref="AF17:AF24" si="17">IF(N17&lt;0,AD17,0)</f>
        <v>0</v>
      </c>
      <c r="AG17" s="210">
        <f t="shared" ref="AG17:AG24" si="18">IF(N17=0,AD17,0)</f>
        <v>0</v>
      </c>
    </row>
    <row r="18" spans="2:33" ht="15" customHeight="1" x14ac:dyDescent="0.3">
      <c r="B18" s="196" t="s">
        <v>19</v>
      </c>
      <c r="C18" s="197" t="s">
        <v>13</v>
      </c>
      <c r="D18" s="198" t="str">
        <f t="shared" si="0"/>
        <v>C</v>
      </c>
      <c r="E18" s="199">
        <v>44511.625</v>
      </c>
      <c r="F18" s="200" t="s">
        <v>108</v>
      </c>
      <c r="G18" s="201">
        <v>80.887</v>
      </c>
      <c r="H18" s="201">
        <v>82.935000000000002</v>
      </c>
      <c r="I18" s="202">
        <f t="shared" si="1"/>
        <v>2.0480000000000018</v>
      </c>
      <c r="J18" s="201">
        <v>56.308</v>
      </c>
      <c r="K18" s="199">
        <v>44511.696527777778</v>
      </c>
      <c r="L18" s="201">
        <v>82.156000000000006</v>
      </c>
      <c r="M18" s="203">
        <f t="shared" si="2"/>
        <v>-1.2689999999999999</v>
      </c>
      <c r="N18" s="204">
        <f t="shared" si="3"/>
        <v>-0.62</v>
      </c>
      <c r="O18" s="205">
        <f t="shared" si="4"/>
        <v>0</v>
      </c>
      <c r="P18" s="206">
        <f t="shared" si="5"/>
        <v>0</v>
      </c>
      <c r="Q18" s="206">
        <f t="shared" si="6"/>
        <v>-0.62</v>
      </c>
      <c r="R1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110040</v>
      </c>
      <c r="T1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18" s="208">
        <f ca="1">IF(Tabla336106734821[[#This Row],[Equity]]&lt;Tabla336106734821[[#This Row],[Equity Peak]],(Tabla336106734821[[#This Row],[Equity Peak]]-Tabla336106734821[[#This Row],[Equity]])/Tabla336106734821[[#This Row],[Equity Peak]],"")</f>
        <v>2.9201588001764447E-2</v>
      </c>
      <c r="V18" s="209">
        <f t="shared" si="7"/>
        <v>0</v>
      </c>
      <c r="W18" s="209">
        <f t="shared" si="8"/>
        <v>0</v>
      </c>
      <c r="X18" s="209">
        <f t="shared" si="9"/>
        <v>-0.62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7.1527777778101154E-2</v>
      </c>
      <c r="AE18" s="210">
        <f t="shared" si="16"/>
        <v>0</v>
      </c>
      <c r="AF18" s="210">
        <f t="shared" si="17"/>
        <v>7.1527777778101154E-2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15</v>
      </c>
      <c r="D19" s="198" t="str">
        <f t="shared" si="0"/>
        <v>C</v>
      </c>
      <c r="E19" s="199">
        <v>44509.958333333336</v>
      </c>
      <c r="F19" s="200" t="s">
        <v>108</v>
      </c>
      <c r="G19" s="201">
        <v>84.578999999999994</v>
      </c>
      <c r="H19" s="201">
        <v>82.546999999999997</v>
      </c>
      <c r="I19" s="202">
        <f t="shared" si="1"/>
        <v>2.0319999999999965</v>
      </c>
      <c r="J19" s="201">
        <v>108.96</v>
      </c>
      <c r="K19" s="199">
        <v>44510.595138888886</v>
      </c>
      <c r="L19" s="201">
        <v>83.513999999999996</v>
      </c>
      <c r="M19" s="203">
        <f t="shared" si="2"/>
        <v>-1.0649999999999999</v>
      </c>
      <c r="N19" s="204">
        <f t="shared" si="3"/>
        <v>-0.52</v>
      </c>
      <c r="O19" s="205">
        <f t="shared" si="4"/>
        <v>0</v>
      </c>
      <c r="P19" s="206">
        <f t="shared" si="5"/>
        <v>0</v>
      </c>
      <c r="Q19" s="206">
        <f t="shared" si="6"/>
        <v>-0.52</v>
      </c>
      <c r="R1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110660</v>
      </c>
      <c r="T1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19" s="208">
        <f ca="1">IF(Tabla336106734821[[#This Row],[Equity]]&lt;Tabla336106734821[[#This Row],[Equity Peak]],(Tabla336106734821[[#This Row],[Equity Peak]]-Tabla336106734821[[#This Row],[Equity]])/Tabla336106734821[[#This Row],[Equity Peak]],"")</f>
        <v>2.3731804146449053E-2</v>
      </c>
      <c r="V19" s="209">
        <f t="shared" si="7"/>
        <v>0</v>
      </c>
      <c r="W19" s="209">
        <f t="shared" si="8"/>
        <v>0</v>
      </c>
      <c r="X19" s="209">
        <f t="shared" si="9"/>
        <v>-0.52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0.63680555555038154</v>
      </c>
      <c r="AE19" s="210">
        <f t="shared" si="16"/>
        <v>0</v>
      </c>
      <c r="AF19" s="210">
        <f t="shared" si="17"/>
        <v>0.63680555555038154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13</v>
      </c>
      <c r="D20" s="198" t="str">
        <f t="shared" si="0"/>
        <v>C</v>
      </c>
      <c r="E20" s="199">
        <v>44504.125</v>
      </c>
      <c r="F20" s="200" t="s">
        <v>108</v>
      </c>
      <c r="G20" s="201">
        <v>79.557000000000002</v>
      </c>
      <c r="H20" s="201">
        <v>81.447000000000003</v>
      </c>
      <c r="I20" s="202">
        <f t="shared" si="1"/>
        <v>1.8900000000000006</v>
      </c>
      <c r="J20" s="201">
        <v>56.881999999999998</v>
      </c>
      <c r="K20" s="199">
        <v>44504.385416666664</v>
      </c>
      <c r="L20" s="201">
        <v>80.313000000000002</v>
      </c>
      <c r="M20" s="203">
        <f t="shared" si="2"/>
        <v>-0.75600000000000001</v>
      </c>
      <c r="N20" s="204">
        <f t="shared" si="3"/>
        <v>-0.4</v>
      </c>
      <c r="O20" s="205">
        <f t="shared" si="4"/>
        <v>0</v>
      </c>
      <c r="P20" s="206">
        <f t="shared" si="5"/>
        <v>0</v>
      </c>
      <c r="Q20" s="206">
        <f t="shared" si="6"/>
        <v>-0.4</v>
      </c>
      <c r="R2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111180</v>
      </c>
      <c r="T2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0" s="208">
        <f ca="1">IF(Tabla336106734821[[#This Row],[Equity]]&lt;Tabla336106734821[[#This Row],[Equity Peak]],(Tabla336106734821[[#This Row],[Equity Peak]]-Tabla336106734821[[#This Row],[Equity]])/Tabla336106734821[[#This Row],[Equity Peak]],"")</f>
        <v>1.9144243493603882E-2</v>
      </c>
      <c r="V20" s="209">
        <f t="shared" si="7"/>
        <v>0</v>
      </c>
      <c r="W20" s="209">
        <f t="shared" si="8"/>
        <v>0</v>
      </c>
      <c r="X20" s="209">
        <f t="shared" si="9"/>
        <v>-0.4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0.26041666666424135</v>
      </c>
      <c r="AE20" s="210">
        <f t="shared" si="16"/>
        <v>0</v>
      </c>
      <c r="AF20" s="210">
        <f t="shared" si="17"/>
        <v>0.26041666666424135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15</v>
      </c>
      <c r="D21" s="198" t="str">
        <f t="shared" si="0"/>
        <v>C</v>
      </c>
      <c r="E21" s="199">
        <v>44491.958333333336</v>
      </c>
      <c r="F21" s="200" t="s">
        <v>108</v>
      </c>
      <c r="G21" s="201">
        <v>84.683000000000007</v>
      </c>
      <c r="H21" s="201">
        <v>82.875</v>
      </c>
      <c r="I21" s="202">
        <f t="shared" si="1"/>
        <v>1.8080000000000069</v>
      </c>
      <c r="J21" s="201">
        <v>106.38200000000001</v>
      </c>
      <c r="K21" s="199">
        <v>44494.813888888886</v>
      </c>
      <c r="L21" s="201">
        <v>84.244</v>
      </c>
      <c r="M21" s="203">
        <f t="shared" si="2"/>
        <v>-0.439</v>
      </c>
      <c r="N21" s="204">
        <f t="shared" si="3"/>
        <v>-0.24</v>
      </c>
      <c r="O21" s="205">
        <f t="shared" si="4"/>
        <v>0</v>
      </c>
      <c r="P21" s="206">
        <f t="shared" si="5"/>
        <v>0</v>
      </c>
      <c r="Q21" s="206">
        <f t="shared" si="6"/>
        <v>-0.24</v>
      </c>
      <c r="R2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111580</v>
      </c>
      <c r="T2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1" s="208">
        <f ca="1">IF(Tabla336106734821[[#This Row],[Equity]]&lt;Tabla336106734821[[#This Row],[Equity Peak]],(Tabla336106734821[[#This Row],[Equity Peak]]-Tabla336106734821[[#This Row],[Equity]])/Tabla336106734821[[#This Row],[Equity Peak]],"")</f>
        <v>1.5615350683722981E-2</v>
      </c>
      <c r="V21" s="209">
        <f t="shared" si="7"/>
        <v>0</v>
      </c>
      <c r="W21" s="209">
        <f t="shared" si="8"/>
        <v>0</v>
      </c>
      <c r="X21" s="209">
        <f t="shared" si="9"/>
        <v>-0.24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2.8555555555503815</v>
      </c>
      <c r="AE21" s="210">
        <f t="shared" si="16"/>
        <v>0</v>
      </c>
      <c r="AF21" s="210">
        <f t="shared" si="17"/>
        <v>2.8555555555503815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44489.958333333336</v>
      </c>
      <c r="F22" s="200" t="s">
        <v>108</v>
      </c>
      <c r="G22" s="201">
        <v>83.912999999999997</v>
      </c>
      <c r="H22" s="201">
        <v>82.116</v>
      </c>
      <c r="I22" s="202">
        <f t="shared" si="1"/>
        <v>1.796999999999997</v>
      </c>
      <c r="J22" s="201">
        <v>105.477</v>
      </c>
      <c r="K22" s="199">
        <v>44490.689583333333</v>
      </c>
      <c r="L22" s="201">
        <v>83.138000000000005</v>
      </c>
      <c r="M22" s="203">
        <f t="shared" si="2"/>
        <v>-0.77500000000000002</v>
      </c>
      <c r="N22" s="204">
        <f t="shared" si="3"/>
        <v>-0.43</v>
      </c>
      <c r="O22" s="205">
        <f t="shared" si="4"/>
        <v>0</v>
      </c>
      <c r="P22" s="206">
        <f t="shared" si="5"/>
        <v>0</v>
      </c>
      <c r="Q22" s="206">
        <f t="shared" si="6"/>
        <v>-0.43</v>
      </c>
      <c r="R2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111820</v>
      </c>
      <c r="T2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2" s="208">
        <f ca="1">IF(Tabla336106734821[[#This Row],[Equity]]&lt;Tabla336106734821[[#This Row],[Equity Peak]],(Tabla336106734821[[#This Row],[Equity Peak]]-Tabla336106734821[[#This Row],[Equity]])/Tabla336106734821[[#This Row],[Equity Peak]],"")</f>
        <v>1.3498014997794442E-2</v>
      </c>
      <c r="V22" s="209">
        <f t="shared" si="7"/>
        <v>0</v>
      </c>
      <c r="W22" s="209">
        <f t="shared" si="8"/>
        <v>0</v>
      </c>
      <c r="X22" s="209">
        <f t="shared" si="9"/>
        <v>-0.43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0.73124999999708962</v>
      </c>
      <c r="AE22" s="210">
        <f t="shared" si="16"/>
        <v>0</v>
      </c>
      <c r="AF22" s="210">
        <f t="shared" si="17"/>
        <v>0.73124999999708962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15</v>
      </c>
      <c r="D23" s="198" t="str">
        <f t="shared" si="0"/>
        <v>C</v>
      </c>
      <c r="E23" s="199">
        <v>44487.291666666664</v>
      </c>
      <c r="F23" s="200" t="s">
        <v>108</v>
      </c>
      <c r="G23" s="201">
        <v>83.533000000000001</v>
      </c>
      <c r="H23" s="201">
        <v>81.739000000000004</v>
      </c>
      <c r="I23" s="202">
        <f t="shared" si="1"/>
        <v>1.7939999999999969</v>
      </c>
      <c r="J23" s="201">
        <v>105.066</v>
      </c>
      <c r="K23" s="199">
        <v>44487.732638888891</v>
      </c>
      <c r="L23" s="201">
        <v>82.436000000000007</v>
      </c>
      <c r="M23" s="203">
        <f t="shared" si="2"/>
        <v>-1.097</v>
      </c>
      <c r="N23" s="204">
        <f t="shared" si="3"/>
        <v>-0.61</v>
      </c>
      <c r="O23" s="205">
        <f t="shared" si="4"/>
        <v>0</v>
      </c>
      <c r="P23" s="206">
        <f t="shared" si="5"/>
        <v>0</v>
      </c>
      <c r="Q23" s="206">
        <f t="shared" si="6"/>
        <v>-0.61</v>
      </c>
      <c r="R2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112250</v>
      </c>
      <c r="T2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3" s="208">
        <f ca="1">IF(Tabla336106734821[[#This Row],[Equity]]&lt;Tabla336106734821[[#This Row],[Equity Peak]],(Tabla336106734821[[#This Row],[Equity Peak]]-Tabla336106734821[[#This Row],[Equity]])/Tabla336106734821[[#This Row],[Equity Peak]],"")</f>
        <v>9.7044552271724743E-3</v>
      </c>
      <c r="V23" s="209">
        <f t="shared" si="7"/>
        <v>0</v>
      </c>
      <c r="W23" s="209">
        <f t="shared" si="8"/>
        <v>0</v>
      </c>
      <c r="X23" s="209">
        <f t="shared" si="9"/>
        <v>-0.61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0.44097222222626442</v>
      </c>
      <c r="AE23" s="210">
        <f t="shared" si="16"/>
        <v>0</v>
      </c>
      <c r="AF23" s="210">
        <f t="shared" si="17"/>
        <v>0.44097222222626442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44480.291666666664</v>
      </c>
      <c r="F24" s="200" t="s">
        <v>108</v>
      </c>
      <c r="G24" s="201">
        <v>80.953000000000003</v>
      </c>
      <c r="H24" s="201">
        <v>79.149000000000001</v>
      </c>
      <c r="I24" s="202">
        <f t="shared" si="1"/>
        <v>1.804000000000002</v>
      </c>
      <c r="J24" s="201">
        <v>102.60599999999999</v>
      </c>
      <c r="K24" s="199">
        <v>44480.668749999997</v>
      </c>
      <c r="L24" s="201">
        <v>80.846000000000004</v>
      </c>
      <c r="M24" s="203">
        <f t="shared" si="2"/>
        <v>-0.107</v>
      </c>
      <c r="N24" s="204">
        <f t="shared" si="3"/>
        <v>-0.06</v>
      </c>
      <c r="O24" s="205">
        <f t="shared" si="4"/>
        <v>0</v>
      </c>
      <c r="P24" s="206">
        <f t="shared" si="5"/>
        <v>0</v>
      </c>
      <c r="Q24" s="206">
        <f t="shared" si="6"/>
        <v>-0.06</v>
      </c>
      <c r="R2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112860</v>
      </c>
      <c r="T2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4" s="208">
        <f ca="1">IF(Tabla336106734821[[#This Row],[Equity]]&lt;Tabla336106734821[[#This Row],[Equity Peak]],(Tabla336106734821[[#This Row],[Equity Peak]]-Tabla336106734821[[#This Row],[Equity]])/Tabla336106734821[[#This Row],[Equity Peak]],"")</f>
        <v>4.3228936921041027E-3</v>
      </c>
      <c r="V24" s="209">
        <f t="shared" si="7"/>
        <v>0</v>
      </c>
      <c r="W24" s="209">
        <f t="shared" si="8"/>
        <v>0</v>
      </c>
      <c r="X24" s="209">
        <f t="shared" si="9"/>
        <v>-0.06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0.37708333333284827</v>
      </c>
      <c r="AE24" s="210">
        <f t="shared" si="16"/>
        <v>0</v>
      </c>
      <c r="AF24" s="210">
        <f t="shared" si="17"/>
        <v>0.37708333333284827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15</v>
      </c>
      <c r="D25" s="198" t="str">
        <f t="shared" ref="D25:D42" si="19">IF(E25&lt;&gt;"",IF(K25&lt;&gt;"","C","O"),"")</f>
        <v>C</v>
      </c>
      <c r="E25" s="199">
        <v>44473.791666666664</v>
      </c>
      <c r="F25" s="200" t="s">
        <v>108</v>
      </c>
      <c r="G25" s="201">
        <v>78.043000000000006</v>
      </c>
      <c r="H25" s="201">
        <v>76.221999999999994</v>
      </c>
      <c r="I25" s="202">
        <f t="shared" ref="I25:I42" si="20">ABS(G25-H25)</f>
        <v>1.8210000000000122</v>
      </c>
      <c r="J25" s="201">
        <v>99.897000000000006</v>
      </c>
      <c r="K25" s="199">
        <v>44475.623611111114</v>
      </c>
      <c r="L25" s="201">
        <v>77.986999999999995</v>
      </c>
      <c r="M25" s="203">
        <f t="shared" ref="M25:M42" si="21">ROUND(IF(C25="L",(L25-G25),(G25-L25)),4)</f>
        <v>-5.6000000000000001E-2</v>
      </c>
      <c r="N25" s="204">
        <f t="shared" ref="N25:N42" si="22">IFERROR(ROUND((M25/I25),2),"")</f>
        <v>-0.03</v>
      </c>
      <c r="O25" s="205">
        <f t="shared" ref="O25:O42" si="23">IF(D25="O",IF(N25&lt;0,N25,0),0)</f>
        <v>0</v>
      </c>
      <c r="P25" s="206">
        <f t="shared" ref="P25:P42" si="24">IF(N25&gt;= 0,N25,0)</f>
        <v>0</v>
      </c>
      <c r="Q25" s="206">
        <f t="shared" ref="Q25:Q42" si="25">IF(N25&lt;0,N25,0)</f>
        <v>-0.03</v>
      </c>
      <c r="R2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112920</v>
      </c>
      <c r="T2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5" s="208">
        <f ca="1">IF(Tabla336106734821[[#This Row],[Equity]]&lt;Tabla336106734821[[#This Row],[Equity Peak]],(Tabla336106734821[[#This Row],[Equity Peak]]-Tabla336106734821[[#This Row],[Equity]])/Tabla336106734821[[#This Row],[Equity Peak]],"")</f>
        <v>3.7935597706219674E-3</v>
      </c>
      <c r="V25" s="209">
        <f t="shared" ref="V25:V42" si="26">IF(B25="FX",N25,0)</f>
        <v>0</v>
      </c>
      <c r="W25" s="209">
        <f t="shared" ref="W25:W42" si="27">IF(D25="O",IF(V25&lt;0,V25,0),0)</f>
        <v>0</v>
      </c>
      <c r="X25" s="209">
        <f t="shared" ref="X25:X42" si="28">IF(B25="COM",N25,0)</f>
        <v>-0.03</v>
      </c>
      <c r="Y25" s="209">
        <f t="shared" ref="Y25:Y42" si="29">IF(D25="O",IF(X25&lt;0,X25,0),0)</f>
        <v>0</v>
      </c>
      <c r="Z25" s="209">
        <f t="shared" ref="Z25:Z42" si="30">IF(B25="IND",N25,0)</f>
        <v>0</v>
      </c>
      <c r="AA25" s="205">
        <f t="shared" ref="AA25:AA42" si="31">IF(D25="O",IF(Z25&lt;0,Z25,0),0)</f>
        <v>0</v>
      </c>
      <c r="AB25" s="209">
        <f t="shared" ref="AB25:AB42" si="32">IF(B25="CRYPTO",N25,0)</f>
        <v>0</v>
      </c>
      <c r="AC25" s="205">
        <f t="shared" ref="AC25:AC42" si="33">IF(D25="O",IF(AB25&lt;0,AB25,0),0)</f>
        <v>0</v>
      </c>
      <c r="AD25" s="210">
        <f t="shared" ref="AD25:AD42" si="34">IF(K25&lt;&gt;"",K25-E25,0)</f>
        <v>1.8319444444496185</v>
      </c>
      <c r="AE25" s="210">
        <f t="shared" ref="AE25:AE42" si="35">IF(N25&gt;0,AD25,0)</f>
        <v>0</v>
      </c>
      <c r="AF25" s="210">
        <f t="shared" ref="AF25:AF42" si="36">IF(N25&lt;0,AD25,0)</f>
        <v>1.8319444444496185</v>
      </c>
      <c r="AG25" s="210">
        <f t="shared" ref="AG25:AG42" si="37">IF(N25=0,AD25,0)</f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19"/>
        <v>C</v>
      </c>
      <c r="E26" s="199">
        <v>44462.791666666664</v>
      </c>
      <c r="F26" s="200" t="s">
        <v>108</v>
      </c>
      <c r="G26" s="201">
        <v>73.582999999999998</v>
      </c>
      <c r="H26" s="201">
        <v>71.808999999999997</v>
      </c>
      <c r="I26" s="202">
        <f t="shared" si="20"/>
        <v>1.7740000000000009</v>
      </c>
      <c r="J26" s="201">
        <v>94.875</v>
      </c>
      <c r="K26" s="199">
        <v>44469.693055555559</v>
      </c>
      <c r="L26" s="201">
        <v>73.512</v>
      </c>
      <c r="M26" s="203">
        <f t="shared" si="21"/>
        <v>-7.0999999999999994E-2</v>
      </c>
      <c r="N26" s="204">
        <f t="shared" si="22"/>
        <v>-0.04</v>
      </c>
      <c r="O26" s="205">
        <f t="shared" si="23"/>
        <v>0</v>
      </c>
      <c r="P26" s="206">
        <f t="shared" si="24"/>
        <v>0</v>
      </c>
      <c r="Q26" s="206">
        <f t="shared" si="25"/>
        <v>-0.04</v>
      </c>
      <c r="R2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112950</v>
      </c>
      <c r="T2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6" s="208">
        <f ca="1">IF(Tabla336106734821[[#This Row],[Equity]]&lt;Tabla336106734821[[#This Row],[Equity Peak]],(Tabla336106734821[[#This Row],[Equity Peak]]-Tabla336106734821[[#This Row],[Equity]])/Tabla336106734821[[#This Row],[Equity Peak]],"")</f>
        <v>3.5288928098808998E-3</v>
      </c>
      <c r="V26" s="209">
        <f t="shared" si="26"/>
        <v>0</v>
      </c>
      <c r="W26" s="209">
        <f t="shared" si="27"/>
        <v>0</v>
      </c>
      <c r="X26" s="209">
        <f t="shared" si="28"/>
        <v>-0.04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6.9013888888948713</v>
      </c>
      <c r="AE26" s="210">
        <f t="shared" si="35"/>
        <v>0</v>
      </c>
      <c r="AF26" s="210">
        <f t="shared" si="36"/>
        <v>6.9013888888948713</v>
      </c>
      <c r="AG26" s="210">
        <f t="shared" si="37"/>
        <v>0</v>
      </c>
    </row>
    <row r="27" spans="2:33" ht="15" customHeight="1" x14ac:dyDescent="0.3">
      <c r="B27" s="196" t="s">
        <v>19</v>
      </c>
      <c r="C27" s="197" t="s">
        <v>15</v>
      </c>
      <c r="D27" s="198" t="str">
        <f t="shared" si="19"/>
        <v>C</v>
      </c>
      <c r="E27" s="199">
        <v>44434.125</v>
      </c>
      <c r="F27" s="200" t="s">
        <v>108</v>
      </c>
      <c r="G27" s="201">
        <v>68.192999999999998</v>
      </c>
      <c r="H27" s="201">
        <v>66.236000000000004</v>
      </c>
      <c r="I27" s="202">
        <f t="shared" si="20"/>
        <v>1.9569999999999936</v>
      </c>
      <c r="J27" s="201">
        <v>91.677999999999997</v>
      </c>
      <c r="K27" s="199">
        <v>44440.67291666667</v>
      </c>
      <c r="L27" s="201">
        <v>68.09</v>
      </c>
      <c r="M27" s="203">
        <f t="shared" si="21"/>
        <v>-0.10299999999999999</v>
      </c>
      <c r="N27" s="204">
        <f t="shared" si="22"/>
        <v>-0.05</v>
      </c>
      <c r="O27" s="205">
        <f t="shared" si="23"/>
        <v>0</v>
      </c>
      <c r="P27" s="206">
        <f t="shared" si="24"/>
        <v>0</v>
      </c>
      <c r="Q27" s="206">
        <f t="shared" si="25"/>
        <v>-0.05</v>
      </c>
      <c r="R2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112990</v>
      </c>
      <c r="T2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7" s="208">
        <f ca="1">IF(Tabla336106734821[[#This Row],[Equity]]&lt;Tabla336106734821[[#This Row],[Equity Peak]],(Tabla336106734821[[#This Row],[Equity Peak]]-Tabla336106734821[[#This Row],[Equity]])/Tabla336106734821[[#This Row],[Equity Peak]],"")</f>
        <v>3.1760035288928099E-3</v>
      </c>
      <c r="V27" s="209">
        <f t="shared" si="26"/>
        <v>0</v>
      </c>
      <c r="W27" s="209">
        <f t="shared" si="27"/>
        <v>0</v>
      </c>
      <c r="X27" s="209">
        <f t="shared" si="28"/>
        <v>-0.05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6.5479166666700621</v>
      </c>
      <c r="AE27" s="210">
        <f t="shared" si="35"/>
        <v>0</v>
      </c>
      <c r="AF27" s="210">
        <f t="shared" si="36"/>
        <v>6.5479166666700621</v>
      </c>
      <c r="AG27" s="210">
        <f t="shared" si="37"/>
        <v>0</v>
      </c>
    </row>
    <row r="28" spans="2:33" ht="15" customHeight="1" x14ac:dyDescent="0.3">
      <c r="B28" s="196" t="s">
        <v>19</v>
      </c>
      <c r="C28" s="197" t="s">
        <v>13</v>
      </c>
      <c r="D28" s="198" t="str">
        <f t="shared" si="19"/>
        <v>C</v>
      </c>
      <c r="E28" s="199">
        <v>44411.791666666664</v>
      </c>
      <c r="F28" s="200" t="s">
        <v>108</v>
      </c>
      <c r="G28" s="201">
        <v>70.870999999999995</v>
      </c>
      <c r="H28" s="201">
        <v>72.625</v>
      </c>
      <c r="I28" s="202">
        <f t="shared" si="20"/>
        <v>1.7540000000000049</v>
      </c>
      <c r="J28" s="201">
        <v>49.820999999999998</v>
      </c>
      <c r="K28" s="199">
        <v>44432.581944444442</v>
      </c>
      <c r="L28" s="201">
        <v>67.091999999999999</v>
      </c>
      <c r="M28" s="203">
        <f t="shared" si="21"/>
        <v>3.7789999999999999</v>
      </c>
      <c r="N28" s="204">
        <f t="shared" si="22"/>
        <v>2.15</v>
      </c>
      <c r="O28" s="205">
        <f t="shared" si="23"/>
        <v>0</v>
      </c>
      <c r="P28" s="206">
        <f t="shared" si="24"/>
        <v>2.15</v>
      </c>
      <c r="Q28" s="206">
        <f t="shared" si="25"/>
        <v>0</v>
      </c>
      <c r="R2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113040</v>
      </c>
      <c r="T2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8" s="208">
        <f ca="1">IF(Tabla336106734821[[#This Row],[Equity]]&lt;Tabla336106734821[[#This Row],[Equity Peak]],(Tabla336106734821[[#This Row],[Equity Peak]]-Tabla336106734821[[#This Row],[Equity]])/Tabla336106734821[[#This Row],[Equity Peak]],"")</f>
        <v>2.7348919276576973E-3</v>
      </c>
      <c r="V28" s="209">
        <f t="shared" si="26"/>
        <v>0</v>
      </c>
      <c r="W28" s="209">
        <f t="shared" si="27"/>
        <v>0</v>
      </c>
      <c r="X28" s="209">
        <f t="shared" si="28"/>
        <v>2.15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20.790277777778101</v>
      </c>
      <c r="AE28" s="210">
        <f t="shared" si="35"/>
        <v>20.790277777778101</v>
      </c>
      <c r="AF28" s="210">
        <f t="shared" si="36"/>
        <v>0</v>
      </c>
      <c r="AG28" s="210">
        <f t="shared" si="37"/>
        <v>0</v>
      </c>
    </row>
    <row r="29" spans="2:33" ht="15" customHeight="1" x14ac:dyDescent="0.3">
      <c r="B29" s="196" t="s">
        <v>19</v>
      </c>
      <c r="C29" s="197" t="s">
        <v>15</v>
      </c>
      <c r="D29" s="198" t="str">
        <f t="shared" si="19"/>
        <v>C</v>
      </c>
      <c r="E29" s="199">
        <v>44403.958333333336</v>
      </c>
      <c r="F29" s="200" t="s">
        <v>108</v>
      </c>
      <c r="G29" s="201">
        <v>72.403000000000006</v>
      </c>
      <c r="H29" s="201">
        <v>70.691000000000003</v>
      </c>
      <c r="I29" s="202">
        <f t="shared" si="20"/>
        <v>1.7120000000000033</v>
      </c>
      <c r="J29" s="201">
        <v>92.944000000000003</v>
      </c>
      <c r="K29" s="199">
        <v>44404.8125</v>
      </c>
      <c r="L29" s="201">
        <v>71.373000000000005</v>
      </c>
      <c r="M29" s="203">
        <f t="shared" si="21"/>
        <v>-1.03</v>
      </c>
      <c r="N29" s="204">
        <f t="shared" si="22"/>
        <v>-0.6</v>
      </c>
      <c r="O29" s="205">
        <f t="shared" si="23"/>
        <v>0</v>
      </c>
      <c r="P29" s="206">
        <f t="shared" si="24"/>
        <v>0</v>
      </c>
      <c r="Q29" s="206">
        <f t="shared" si="25"/>
        <v>-0.6</v>
      </c>
      <c r="R2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110890</v>
      </c>
      <c r="T2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29" s="208">
        <f ca="1">IF(Tabla336106734821[[#This Row],[Equity]]&lt;Tabla336106734821[[#This Row],[Equity Peak]],(Tabla336106734821[[#This Row],[Equity Peak]]-Tabla336106734821[[#This Row],[Equity]])/Tabla336106734821[[#This Row],[Equity Peak]],"")</f>
        <v>2.1702690780767534E-2</v>
      </c>
      <c r="V29" s="209">
        <f t="shared" si="26"/>
        <v>0</v>
      </c>
      <c r="W29" s="209">
        <f t="shared" si="27"/>
        <v>0</v>
      </c>
      <c r="X29" s="209">
        <f t="shared" si="28"/>
        <v>-0.6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0.85416666666424135</v>
      </c>
      <c r="AE29" s="210">
        <f t="shared" si="35"/>
        <v>0</v>
      </c>
      <c r="AF29" s="210">
        <f t="shared" si="36"/>
        <v>0.85416666666424135</v>
      </c>
      <c r="AG29" s="210">
        <f t="shared" si="37"/>
        <v>0</v>
      </c>
    </row>
    <row r="30" spans="2:33" ht="15" customHeight="1" x14ac:dyDescent="0.3">
      <c r="B30" s="196" t="s">
        <v>19</v>
      </c>
      <c r="C30" s="197" t="s">
        <v>13</v>
      </c>
      <c r="D30" s="198" t="str">
        <f t="shared" si="19"/>
        <v>C</v>
      </c>
      <c r="E30" s="199">
        <v>44396.791666666664</v>
      </c>
      <c r="F30" s="200" t="s">
        <v>108</v>
      </c>
      <c r="G30" s="201">
        <v>67.462999999999994</v>
      </c>
      <c r="H30" s="201">
        <v>69.141999999999996</v>
      </c>
      <c r="I30" s="202">
        <f t="shared" si="20"/>
        <v>1.679000000000002</v>
      </c>
      <c r="J30" s="201">
        <v>47.32</v>
      </c>
      <c r="K30" s="199">
        <v>44397.879861111112</v>
      </c>
      <c r="L30" s="201">
        <v>67.625</v>
      </c>
      <c r="M30" s="203">
        <f t="shared" si="21"/>
        <v>-0.16200000000000001</v>
      </c>
      <c r="N30" s="204">
        <f t="shared" si="22"/>
        <v>-0.1</v>
      </c>
      <c r="O30" s="205">
        <f t="shared" si="23"/>
        <v>0</v>
      </c>
      <c r="P30" s="206">
        <f t="shared" si="24"/>
        <v>0</v>
      </c>
      <c r="Q30" s="206">
        <f t="shared" si="25"/>
        <v>-0.1</v>
      </c>
      <c r="R3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111490</v>
      </c>
      <c r="T3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30" s="208">
        <f ca="1">IF(Tabla336106734821[[#This Row],[Equity]]&lt;Tabla336106734821[[#This Row],[Equity Peak]],(Tabla336106734821[[#This Row],[Equity Peak]]-Tabla336106734821[[#This Row],[Equity]])/Tabla336106734821[[#This Row],[Equity Peak]],"")</f>
        <v>1.6409351565946185E-2</v>
      </c>
      <c r="V30" s="209">
        <f t="shared" si="26"/>
        <v>0</v>
      </c>
      <c r="W30" s="209">
        <f t="shared" si="27"/>
        <v>0</v>
      </c>
      <c r="X30" s="209">
        <f t="shared" si="28"/>
        <v>-0.1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1.0881944444481633</v>
      </c>
      <c r="AE30" s="210">
        <f t="shared" si="35"/>
        <v>0</v>
      </c>
      <c r="AF30" s="210">
        <f t="shared" si="36"/>
        <v>1.0881944444481633</v>
      </c>
      <c r="AG30" s="210">
        <f t="shared" si="37"/>
        <v>0</v>
      </c>
    </row>
    <row r="31" spans="2:33" ht="15" customHeight="1" x14ac:dyDescent="0.3">
      <c r="B31" s="196" t="s">
        <v>19</v>
      </c>
      <c r="C31" s="197" t="s">
        <v>13</v>
      </c>
      <c r="D31" s="198" t="str">
        <f t="shared" si="19"/>
        <v>C</v>
      </c>
      <c r="E31" s="199">
        <v>44392.458333333336</v>
      </c>
      <c r="F31" s="200" t="s">
        <v>108</v>
      </c>
      <c r="G31" s="201">
        <v>71.962999999999994</v>
      </c>
      <c r="H31" s="201">
        <v>73.58</v>
      </c>
      <c r="I31" s="202">
        <f t="shared" si="20"/>
        <v>1.6170000000000044</v>
      </c>
      <c r="J31" s="201">
        <v>52.561999999999998</v>
      </c>
      <c r="K31" s="199">
        <v>44392.756249999999</v>
      </c>
      <c r="L31" s="201">
        <v>72.887</v>
      </c>
      <c r="M31" s="203">
        <f t="shared" si="21"/>
        <v>-0.92400000000000004</v>
      </c>
      <c r="N31" s="204">
        <f t="shared" si="22"/>
        <v>-0.56999999999999995</v>
      </c>
      <c r="O31" s="205">
        <f t="shared" si="23"/>
        <v>0</v>
      </c>
      <c r="P31" s="206">
        <f t="shared" si="24"/>
        <v>0</v>
      </c>
      <c r="Q31" s="206">
        <f t="shared" si="25"/>
        <v>-0.56999999999999995</v>
      </c>
      <c r="R3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111590</v>
      </c>
      <c r="T3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31" s="208">
        <f ca="1">IF(Tabla336106734821[[#This Row],[Equity]]&lt;Tabla336106734821[[#This Row],[Equity Peak]],(Tabla336106734821[[#This Row],[Equity Peak]]-Tabla336106734821[[#This Row],[Equity]])/Tabla336106734821[[#This Row],[Equity Peak]],"")</f>
        <v>1.5527128363475959E-2</v>
      </c>
      <c r="V31" s="209">
        <f t="shared" si="26"/>
        <v>0</v>
      </c>
      <c r="W31" s="209">
        <f t="shared" si="27"/>
        <v>0</v>
      </c>
      <c r="X31" s="209">
        <f t="shared" si="28"/>
        <v>-0.56999999999999995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0.29791666666278616</v>
      </c>
      <c r="AE31" s="210">
        <f t="shared" si="35"/>
        <v>0</v>
      </c>
      <c r="AF31" s="210">
        <f t="shared" si="36"/>
        <v>0.29791666666278616</v>
      </c>
      <c r="AG31" s="210">
        <f t="shared" si="37"/>
        <v>0</v>
      </c>
    </row>
    <row r="32" spans="2:33" ht="15" customHeight="1" x14ac:dyDescent="0.3">
      <c r="B32" s="196" t="s">
        <v>19</v>
      </c>
      <c r="C32" s="197" t="s">
        <v>15</v>
      </c>
      <c r="D32" s="198" t="str">
        <f t="shared" si="19"/>
        <v>C</v>
      </c>
      <c r="E32" s="199">
        <v>44386.958333333336</v>
      </c>
      <c r="F32" s="200" t="s">
        <v>108</v>
      </c>
      <c r="G32" s="201">
        <v>74.722999999999999</v>
      </c>
      <c r="H32" s="201">
        <v>73.099000000000004</v>
      </c>
      <c r="I32" s="202">
        <f t="shared" si="20"/>
        <v>1.6239999999999952</v>
      </c>
      <c r="J32" s="201">
        <v>94.206999999999994</v>
      </c>
      <c r="K32" s="199">
        <v>44389.504166666666</v>
      </c>
      <c r="L32" s="201">
        <v>73.751000000000005</v>
      </c>
      <c r="M32" s="203">
        <f t="shared" si="21"/>
        <v>-0.97199999999999998</v>
      </c>
      <c r="N32" s="204">
        <f t="shared" si="22"/>
        <v>-0.6</v>
      </c>
      <c r="O32" s="205">
        <f t="shared" si="23"/>
        <v>0</v>
      </c>
      <c r="P32" s="206">
        <f t="shared" si="24"/>
        <v>0</v>
      </c>
      <c r="Q32" s="206">
        <f t="shared" si="25"/>
        <v>-0.6</v>
      </c>
      <c r="R3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112160</v>
      </c>
      <c r="T3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32" s="208">
        <f ca="1">IF(Tabla336106734821[[#This Row],[Equity]]&lt;Tabla336106734821[[#This Row],[Equity Peak]],(Tabla336106734821[[#This Row],[Equity Peak]]-Tabla336106734821[[#This Row],[Equity]])/Tabla336106734821[[#This Row],[Equity Peak]],"")</f>
        <v>1.0498456109395676E-2</v>
      </c>
      <c r="V32" s="209">
        <f t="shared" si="26"/>
        <v>0</v>
      </c>
      <c r="W32" s="209">
        <f t="shared" si="27"/>
        <v>0</v>
      </c>
      <c r="X32" s="209">
        <f t="shared" si="28"/>
        <v>-0.6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2.5458333333299379</v>
      </c>
      <c r="AE32" s="210">
        <f t="shared" si="35"/>
        <v>0</v>
      </c>
      <c r="AF32" s="210">
        <f t="shared" si="36"/>
        <v>2.5458333333299379</v>
      </c>
      <c r="AG32" s="210">
        <f t="shared" si="37"/>
        <v>0</v>
      </c>
    </row>
    <row r="33" spans="2:33" ht="15" customHeight="1" x14ac:dyDescent="0.3">
      <c r="B33" s="196" t="s">
        <v>19</v>
      </c>
      <c r="C33" s="197" t="s">
        <v>13</v>
      </c>
      <c r="D33" s="198" t="str">
        <f t="shared" si="19"/>
        <v>C</v>
      </c>
      <c r="E33" s="199">
        <v>44385.458333333336</v>
      </c>
      <c r="F33" s="200" t="s">
        <v>108</v>
      </c>
      <c r="G33" s="201">
        <v>71.483000000000004</v>
      </c>
      <c r="H33" s="201">
        <v>73.084999999999994</v>
      </c>
      <c r="I33" s="202">
        <f t="shared" si="20"/>
        <v>1.6019999999999897</v>
      </c>
      <c r="J33" s="201">
        <v>52.262999999999998</v>
      </c>
      <c r="K33" s="199">
        <v>44385.76666666667</v>
      </c>
      <c r="L33" s="201">
        <v>72.433999999999997</v>
      </c>
      <c r="M33" s="203">
        <f t="shared" si="21"/>
        <v>-0.95099999999999996</v>
      </c>
      <c r="N33" s="204">
        <f t="shared" si="22"/>
        <v>-0.59</v>
      </c>
      <c r="O33" s="205">
        <f t="shared" si="23"/>
        <v>0</v>
      </c>
      <c r="P33" s="206">
        <f t="shared" si="24"/>
        <v>0</v>
      </c>
      <c r="Q33" s="206">
        <f t="shared" si="25"/>
        <v>-0.59</v>
      </c>
      <c r="R3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112760</v>
      </c>
      <c r="T3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33" s="208">
        <f ca="1">IF(Tabla336106734821[[#This Row],[Equity]]&lt;Tabla336106734821[[#This Row],[Equity Peak]],(Tabla336106734821[[#This Row],[Equity Peak]]-Tabla336106734821[[#This Row],[Equity]])/Tabla336106734821[[#This Row],[Equity Peak]],"")</f>
        <v>5.205116894574327E-3</v>
      </c>
      <c r="V33" s="209">
        <f t="shared" si="26"/>
        <v>0</v>
      </c>
      <c r="W33" s="209">
        <f t="shared" si="27"/>
        <v>0</v>
      </c>
      <c r="X33" s="209">
        <f t="shared" si="28"/>
        <v>-0.59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0.30833333333430346</v>
      </c>
      <c r="AE33" s="210">
        <f t="shared" si="35"/>
        <v>0</v>
      </c>
      <c r="AF33" s="210">
        <f t="shared" si="36"/>
        <v>0.30833333333430346</v>
      </c>
      <c r="AG33" s="210">
        <f t="shared" si="37"/>
        <v>0</v>
      </c>
    </row>
    <row r="34" spans="2:33" ht="15" customHeight="1" x14ac:dyDescent="0.3">
      <c r="B34" s="196" t="s">
        <v>19</v>
      </c>
      <c r="C34" s="197" t="s">
        <v>15</v>
      </c>
      <c r="D34" s="198" t="str">
        <f t="shared" si="19"/>
        <v>C</v>
      </c>
      <c r="E34" s="199">
        <v>44341.125</v>
      </c>
      <c r="F34" s="200" t="s">
        <v>108</v>
      </c>
      <c r="G34" s="201">
        <v>65.992999999999995</v>
      </c>
      <c r="H34" s="201">
        <v>64.2</v>
      </c>
      <c r="I34" s="202">
        <f t="shared" si="20"/>
        <v>1.7929999999999922</v>
      </c>
      <c r="J34" s="201">
        <v>87.51</v>
      </c>
      <c r="K34" s="199">
        <v>44384.64166666667</v>
      </c>
      <c r="L34" s="201">
        <v>73.034000000000006</v>
      </c>
      <c r="M34" s="203">
        <f t="shared" si="21"/>
        <v>7.0410000000000004</v>
      </c>
      <c r="N34" s="204">
        <f t="shared" si="22"/>
        <v>3.93</v>
      </c>
      <c r="O34" s="205">
        <f t="shared" si="23"/>
        <v>0</v>
      </c>
      <c r="P34" s="206">
        <f t="shared" si="24"/>
        <v>3.93</v>
      </c>
      <c r="Q34" s="206">
        <f t="shared" si="25"/>
        <v>0</v>
      </c>
      <c r="R3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113350</v>
      </c>
      <c r="T3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113350</v>
      </c>
      <c r="U34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34" s="209">
        <f t="shared" si="26"/>
        <v>0</v>
      </c>
      <c r="W34" s="209">
        <f t="shared" si="27"/>
        <v>0</v>
      </c>
      <c r="X34" s="209">
        <f t="shared" si="28"/>
        <v>3.93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43.516666666670062</v>
      </c>
      <c r="AE34" s="210">
        <f t="shared" si="35"/>
        <v>43.516666666670062</v>
      </c>
      <c r="AF34" s="210">
        <f t="shared" si="36"/>
        <v>0</v>
      </c>
      <c r="AG34" s="210">
        <f t="shared" si="37"/>
        <v>0</v>
      </c>
    </row>
    <row r="35" spans="2:33" ht="15" customHeight="1" x14ac:dyDescent="0.3">
      <c r="B35" s="196" t="s">
        <v>19</v>
      </c>
      <c r="C35" s="197" t="s">
        <v>13</v>
      </c>
      <c r="D35" s="198" t="str">
        <f t="shared" si="19"/>
        <v>C</v>
      </c>
      <c r="E35" s="199">
        <v>44336.125</v>
      </c>
      <c r="F35" s="200" t="s">
        <v>108</v>
      </c>
      <c r="G35" s="201">
        <v>63.313000000000002</v>
      </c>
      <c r="H35" s="201">
        <v>65.182000000000002</v>
      </c>
      <c r="I35" s="202">
        <f t="shared" si="20"/>
        <v>1.8689999999999998</v>
      </c>
      <c r="J35" s="201">
        <v>40.881999999999998</v>
      </c>
      <c r="K35" s="199">
        <v>44337.714583333334</v>
      </c>
      <c r="L35" s="201">
        <v>63.686999999999998</v>
      </c>
      <c r="M35" s="203">
        <f t="shared" si="21"/>
        <v>-0.374</v>
      </c>
      <c r="N35" s="204">
        <f t="shared" si="22"/>
        <v>-0.2</v>
      </c>
      <c r="O35" s="205">
        <f t="shared" si="23"/>
        <v>0</v>
      </c>
      <c r="P35" s="206">
        <f t="shared" si="24"/>
        <v>0</v>
      </c>
      <c r="Q35" s="206">
        <f t="shared" si="25"/>
        <v>-0.2</v>
      </c>
      <c r="R3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109420</v>
      </c>
      <c r="T3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35" s="208">
        <f ca="1">IF(Tabla336106734821[[#This Row],[Equity]]&lt;Tabla336106734821[[#This Row],[Equity Peak]],(Tabla336106734821[[#This Row],[Equity Peak]]-Tabla336106734821[[#This Row],[Equity]])/Tabla336106734821[[#This Row],[Equity Peak]],"")</f>
        <v>2.3035714285714284E-2</v>
      </c>
      <c r="V35" s="209">
        <f t="shared" si="26"/>
        <v>0</v>
      </c>
      <c r="W35" s="209">
        <f t="shared" si="27"/>
        <v>0</v>
      </c>
      <c r="X35" s="209">
        <f t="shared" si="28"/>
        <v>-0.2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1.5895833333343035</v>
      </c>
      <c r="AE35" s="210">
        <f t="shared" si="35"/>
        <v>0</v>
      </c>
      <c r="AF35" s="210">
        <f t="shared" si="36"/>
        <v>1.5895833333343035</v>
      </c>
      <c r="AG35" s="210">
        <f t="shared" si="37"/>
        <v>0</v>
      </c>
    </row>
    <row r="36" spans="2:33" ht="15" customHeight="1" x14ac:dyDescent="0.3">
      <c r="B36" s="196" t="s">
        <v>19</v>
      </c>
      <c r="C36" s="197" t="s">
        <v>15</v>
      </c>
      <c r="D36" s="198" t="str">
        <f t="shared" si="19"/>
        <v>C</v>
      </c>
      <c r="E36" s="199">
        <v>44334.458333333336</v>
      </c>
      <c r="F36" s="200" t="s">
        <v>108</v>
      </c>
      <c r="G36" s="201">
        <v>66.832999999999998</v>
      </c>
      <c r="H36" s="201">
        <v>64.956999999999994</v>
      </c>
      <c r="I36" s="202">
        <f t="shared" si="20"/>
        <v>1.8760000000000048</v>
      </c>
      <c r="J36" s="201">
        <v>89.350999999999999</v>
      </c>
      <c r="K36" s="199">
        <v>44334.713194444441</v>
      </c>
      <c r="L36" s="201">
        <v>65.677000000000007</v>
      </c>
      <c r="M36" s="203">
        <f t="shared" si="21"/>
        <v>-1.1559999999999999</v>
      </c>
      <c r="N36" s="204">
        <f t="shared" si="22"/>
        <v>-0.62</v>
      </c>
      <c r="O36" s="205">
        <f t="shared" si="23"/>
        <v>0</v>
      </c>
      <c r="P36" s="206">
        <f t="shared" si="24"/>
        <v>0</v>
      </c>
      <c r="Q36" s="206">
        <f t="shared" si="25"/>
        <v>-0.62</v>
      </c>
      <c r="R3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109620</v>
      </c>
      <c r="T3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36" s="208">
        <f ca="1">IF(Tabla336106734821[[#This Row],[Equity]]&lt;Tabla336106734821[[#This Row],[Equity Peak]],(Tabla336106734821[[#This Row],[Equity Peak]]-Tabla336106734821[[#This Row],[Equity]])/Tabla336106734821[[#This Row],[Equity Peak]],"")</f>
        <v>2.1250000000000002E-2</v>
      </c>
      <c r="V36" s="209">
        <f t="shared" si="26"/>
        <v>0</v>
      </c>
      <c r="W36" s="209">
        <f t="shared" si="27"/>
        <v>0</v>
      </c>
      <c r="X36" s="209">
        <f t="shared" si="28"/>
        <v>-0.62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0.25486111110512866</v>
      </c>
      <c r="AE36" s="210">
        <f t="shared" si="35"/>
        <v>0</v>
      </c>
      <c r="AF36" s="210">
        <f t="shared" si="36"/>
        <v>0.25486111110512866</v>
      </c>
      <c r="AG36" s="210">
        <f t="shared" si="37"/>
        <v>0</v>
      </c>
    </row>
    <row r="37" spans="2:33" ht="15" customHeight="1" x14ac:dyDescent="0.3">
      <c r="B37" s="196" t="s">
        <v>19</v>
      </c>
      <c r="C37" s="197" t="s">
        <v>15</v>
      </c>
      <c r="D37" s="198" t="str">
        <f t="shared" si="19"/>
        <v>C</v>
      </c>
      <c r="E37" s="199">
        <v>44321.125</v>
      </c>
      <c r="F37" s="200" t="s">
        <v>108</v>
      </c>
      <c r="G37" s="201">
        <v>66.203000000000003</v>
      </c>
      <c r="H37" s="201">
        <v>64.233999999999995</v>
      </c>
      <c r="I37" s="202">
        <f t="shared" si="20"/>
        <v>1.9690000000000083</v>
      </c>
      <c r="J37" s="201">
        <v>89.834000000000003</v>
      </c>
      <c r="K37" s="199">
        <v>44321.85</v>
      </c>
      <c r="L37" s="201">
        <v>65.242999999999995</v>
      </c>
      <c r="M37" s="203">
        <f t="shared" si="21"/>
        <v>-0.96</v>
      </c>
      <c r="N37" s="204">
        <f t="shared" si="22"/>
        <v>-0.49</v>
      </c>
      <c r="O37" s="205">
        <f t="shared" si="23"/>
        <v>0</v>
      </c>
      <c r="P37" s="206">
        <f t="shared" si="24"/>
        <v>0</v>
      </c>
      <c r="Q37" s="206">
        <f t="shared" si="25"/>
        <v>-0.49</v>
      </c>
      <c r="R3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110240</v>
      </c>
      <c r="T3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37" s="208">
        <f ca="1">IF(Tabla336106734821[[#This Row],[Equity]]&lt;Tabla336106734821[[#This Row],[Equity Peak]],(Tabla336106734821[[#This Row],[Equity Peak]]-Tabla336106734821[[#This Row],[Equity]])/Tabla336106734821[[#This Row],[Equity Peak]],"")</f>
        <v>1.5714285714285715E-2</v>
      </c>
      <c r="V37" s="209">
        <f t="shared" si="26"/>
        <v>0</v>
      </c>
      <c r="W37" s="209">
        <f t="shared" si="27"/>
        <v>0</v>
      </c>
      <c r="X37" s="209">
        <f t="shared" si="28"/>
        <v>-0.49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0.72499999999854481</v>
      </c>
      <c r="AE37" s="210">
        <f t="shared" si="35"/>
        <v>0</v>
      </c>
      <c r="AF37" s="210">
        <f t="shared" si="36"/>
        <v>0.72499999999854481</v>
      </c>
      <c r="AG37" s="210">
        <f t="shared" si="37"/>
        <v>0</v>
      </c>
    </row>
    <row r="38" spans="2:33" ht="15" customHeight="1" x14ac:dyDescent="0.3">
      <c r="B38" s="196" t="s">
        <v>19</v>
      </c>
      <c r="C38" s="197" t="s">
        <v>15</v>
      </c>
      <c r="D38" s="198" t="str">
        <f t="shared" si="19"/>
        <v>C</v>
      </c>
      <c r="E38" s="199">
        <v>44300.625</v>
      </c>
      <c r="F38" s="200" t="s">
        <v>108</v>
      </c>
      <c r="G38" s="201">
        <v>61.222999999999999</v>
      </c>
      <c r="H38" s="201">
        <v>59.122999999999998</v>
      </c>
      <c r="I38" s="202">
        <f t="shared" si="20"/>
        <v>2.1000000000000014</v>
      </c>
      <c r="J38" s="201">
        <v>86.421000000000006</v>
      </c>
      <c r="K38" s="199">
        <v>44307.631249999999</v>
      </c>
      <c r="L38" s="201">
        <v>61.152000000000001</v>
      </c>
      <c r="M38" s="203">
        <f t="shared" si="21"/>
        <v>-7.0999999999999994E-2</v>
      </c>
      <c r="N38" s="204">
        <f t="shared" si="22"/>
        <v>-0.03</v>
      </c>
      <c r="O38" s="205">
        <f t="shared" si="23"/>
        <v>0</v>
      </c>
      <c r="P38" s="206">
        <f t="shared" si="24"/>
        <v>0</v>
      </c>
      <c r="Q38" s="206">
        <f t="shared" si="25"/>
        <v>-0.03</v>
      </c>
      <c r="R3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110730</v>
      </c>
      <c r="T3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38" s="208">
        <f ca="1">IF(Tabla336106734821[[#This Row],[Equity]]&lt;Tabla336106734821[[#This Row],[Equity Peak]],(Tabla336106734821[[#This Row],[Equity Peak]]-Tabla336106734821[[#This Row],[Equity]])/Tabla336106734821[[#This Row],[Equity Peak]],"")</f>
        <v>1.1339285714285715E-2</v>
      </c>
      <c r="V38" s="209">
        <f t="shared" si="26"/>
        <v>0</v>
      </c>
      <c r="W38" s="209">
        <f t="shared" si="27"/>
        <v>0</v>
      </c>
      <c r="X38" s="209">
        <f t="shared" si="28"/>
        <v>-0.03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7.0062499999985448</v>
      </c>
      <c r="AE38" s="210">
        <f t="shared" si="35"/>
        <v>0</v>
      </c>
      <c r="AF38" s="210">
        <f t="shared" si="36"/>
        <v>7.0062499999985448</v>
      </c>
      <c r="AG38" s="210">
        <f t="shared" si="37"/>
        <v>0</v>
      </c>
    </row>
    <row r="39" spans="2:33" ht="15" customHeight="1" x14ac:dyDescent="0.3">
      <c r="B39" s="196" t="s">
        <v>19</v>
      </c>
      <c r="C39" s="197" t="s">
        <v>13</v>
      </c>
      <c r="D39" s="198" t="str">
        <f t="shared" si="19"/>
        <v>C</v>
      </c>
      <c r="E39" s="199">
        <v>44273.958333333336</v>
      </c>
      <c r="F39" s="200" t="s">
        <v>108</v>
      </c>
      <c r="G39" s="201">
        <v>59.417000000000002</v>
      </c>
      <c r="H39" s="201">
        <v>61.119</v>
      </c>
      <c r="I39" s="202">
        <f t="shared" si="20"/>
        <v>1.7019999999999982</v>
      </c>
      <c r="J39" s="201">
        <v>38.99</v>
      </c>
      <c r="K39" s="199">
        <v>44274.200694444444</v>
      </c>
      <c r="L39" s="201">
        <v>60.448</v>
      </c>
      <c r="M39" s="203">
        <f t="shared" si="21"/>
        <v>-1.0309999999999999</v>
      </c>
      <c r="N39" s="204">
        <f t="shared" si="22"/>
        <v>-0.61</v>
      </c>
      <c r="O39" s="205">
        <f t="shared" si="23"/>
        <v>0</v>
      </c>
      <c r="P39" s="206">
        <f t="shared" si="24"/>
        <v>0</v>
      </c>
      <c r="Q39" s="206">
        <f t="shared" si="25"/>
        <v>-0.61</v>
      </c>
      <c r="R3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110760</v>
      </c>
      <c r="T3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39" s="208">
        <f ca="1">IF(Tabla336106734821[[#This Row],[Equity]]&lt;Tabla336106734821[[#This Row],[Equity Peak]],(Tabla336106734821[[#This Row],[Equity Peak]]-Tabla336106734821[[#This Row],[Equity]])/Tabla336106734821[[#This Row],[Equity Peak]],"")</f>
        <v>1.1071428571428571E-2</v>
      </c>
      <c r="V39" s="209">
        <f t="shared" si="26"/>
        <v>0</v>
      </c>
      <c r="W39" s="209">
        <f t="shared" si="27"/>
        <v>0</v>
      </c>
      <c r="X39" s="209">
        <f t="shared" si="28"/>
        <v>-0.61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0.24236111110803904</v>
      </c>
      <c r="AE39" s="210">
        <f t="shared" si="35"/>
        <v>0</v>
      </c>
      <c r="AF39" s="210">
        <f t="shared" si="36"/>
        <v>0.24236111110803904</v>
      </c>
      <c r="AG39" s="210">
        <f t="shared" si="37"/>
        <v>0</v>
      </c>
    </row>
    <row r="40" spans="2:33" ht="15" customHeight="1" x14ac:dyDescent="0.3">
      <c r="B40" s="196" t="s">
        <v>19</v>
      </c>
      <c r="C40" s="197" t="s">
        <v>15</v>
      </c>
      <c r="D40" s="198" t="str">
        <f t="shared" si="19"/>
        <v>C</v>
      </c>
      <c r="E40" s="199">
        <v>44260.625</v>
      </c>
      <c r="F40" s="200" t="s">
        <v>108</v>
      </c>
      <c r="G40" s="201">
        <v>65.319999999999993</v>
      </c>
      <c r="H40" s="201">
        <v>63.776000000000003</v>
      </c>
      <c r="I40" s="202">
        <f t="shared" si="20"/>
        <v>1.5439999999999898</v>
      </c>
      <c r="J40" s="201">
        <v>83.846000000000004</v>
      </c>
      <c r="K40" s="199">
        <v>44263.713194444441</v>
      </c>
      <c r="L40" s="201">
        <v>65.317999999999998</v>
      </c>
      <c r="M40" s="203">
        <f t="shared" si="21"/>
        <v>-2E-3</v>
      </c>
      <c r="N40" s="204">
        <f t="shared" si="22"/>
        <v>0</v>
      </c>
      <c r="O40" s="205">
        <f t="shared" si="23"/>
        <v>0</v>
      </c>
      <c r="P40" s="206">
        <f t="shared" si="24"/>
        <v>0</v>
      </c>
      <c r="Q40" s="206">
        <f t="shared" si="25"/>
        <v>0</v>
      </c>
      <c r="R4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111370</v>
      </c>
      <c r="T4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40" s="208">
        <f ca="1">IF(Tabla336106734821[[#This Row],[Equity]]&lt;Tabla336106734821[[#This Row],[Equity Peak]],(Tabla336106734821[[#This Row],[Equity Peak]]-Tabla336106734821[[#This Row],[Equity]])/Tabla336106734821[[#This Row],[Equity Peak]],"")</f>
        <v>5.6249999999999998E-3</v>
      </c>
      <c r="V40" s="209">
        <f t="shared" si="26"/>
        <v>0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3.0881944444408873</v>
      </c>
      <c r="AE40" s="210">
        <f t="shared" si="35"/>
        <v>0</v>
      </c>
      <c r="AF40" s="210">
        <f t="shared" si="36"/>
        <v>0</v>
      </c>
      <c r="AG40" s="210">
        <f t="shared" si="37"/>
        <v>3.0881944444408873</v>
      </c>
    </row>
    <row r="41" spans="2:33" ht="15" customHeight="1" x14ac:dyDescent="0.3">
      <c r="B41" s="196" t="s">
        <v>19</v>
      </c>
      <c r="C41" s="197" t="s">
        <v>15</v>
      </c>
      <c r="D41" s="198" t="str">
        <f t="shared" si="19"/>
        <v>C</v>
      </c>
      <c r="E41" s="199">
        <v>44259.791666666664</v>
      </c>
      <c r="F41" s="200" t="s">
        <v>108</v>
      </c>
      <c r="G41" s="201">
        <v>64.491</v>
      </c>
      <c r="H41" s="201">
        <v>62.929000000000002</v>
      </c>
      <c r="I41" s="202">
        <f t="shared" si="20"/>
        <v>1.5619999999999976</v>
      </c>
      <c r="J41" s="201">
        <v>83.230999999999995</v>
      </c>
      <c r="K41" s="199">
        <v>44259.875694444447</v>
      </c>
      <c r="L41" s="201">
        <v>63.514000000000003</v>
      </c>
      <c r="M41" s="203">
        <f t="shared" si="21"/>
        <v>-0.97699999999999998</v>
      </c>
      <c r="N41" s="204">
        <f t="shared" si="22"/>
        <v>-0.63</v>
      </c>
      <c r="O41" s="205">
        <f t="shared" si="23"/>
        <v>0</v>
      </c>
      <c r="P41" s="206">
        <f t="shared" si="24"/>
        <v>0</v>
      </c>
      <c r="Q41" s="206">
        <f t="shared" si="25"/>
        <v>-0.63</v>
      </c>
      <c r="R4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111370</v>
      </c>
      <c r="T4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41" s="208">
        <f ca="1">IF(Tabla336106734821[[#This Row],[Equity]]&lt;Tabla336106734821[[#This Row],[Equity Peak]],(Tabla336106734821[[#This Row],[Equity Peak]]-Tabla336106734821[[#This Row],[Equity]])/Tabla336106734821[[#This Row],[Equity Peak]],"")</f>
        <v>5.6249999999999998E-3</v>
      </c>
      <c r="V41" s="209">
        <f t="shared" si="26"/>
        <v>0</v>
      </c>
      <c r="W41" s="209">
        <f t="shared" si="27"/>
        <v>0</v>
      </c>
      <c r="X41" s="209">
        <f t="shared" si="28"/>
        <v>-0.63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8.4027777782466728E-2</v>
      </c>
      <c r="AE41" s="210">
        <f t="shared" si="35"/>
        <v>0</v>
      </c>
      <c r="AF41" s="210">
        <f t="shared" si="36"/>
        <v>8.4027777782466728E-2</v>
      </c>
      <c r="AG41" s="210">
        <f t="shared" si="37"/>
        <v>0</v>
      </c>
    </row>
    <row r="42" spans="2:33" ht="15" customHeight="1" x14ac:dyDescent="0.3">
      <c r="B42" s="196" t="s">
        <v>19</v>
      </c>
      <c r="C42" s="197" t="s">
        <v>15</v>
      </c>
      <c r="D42" s="198" t="str">
        <f t="shared" si="19"/>
        <v>C</v>
      </c>
      <c r="E42" s="199">
        <v>44158.458333333336</v>
      </c>
      <c r="F42" s="200" t="s">
        <v>108</v>
      </c>
      <c r="G42" s="201">
        <v>43.338000000000001</v>
      </c>
      <c r="H42" s="201">
        <v>41.822000000000003</v>
      </c>
      <c r="I42" s="202">
        <f t="shared" si="20"/>
        <v>1.5159999999999982</v>
      </c>
      <c r="J42" s="201">
        <v>61.527000000000001</v>
      </c>
      <c r="K42" s="199">
        <v>44244.984027777777</v>
      </c>
      <c r="L42" s="201">
        <v>61.527000000000001</v>
      </c>
      <c r="M42" s="203">
        <f t="shared" si="21"/>
        <v>18.189</v>
      </c>
      <c r="N42" s="204">
        <f t="shared" si="22"/>
        <v>12</v>
      </c>
      <c r="O42" s="205">
        <f t="shared" si="23"/>
        <v>0</v>
      </c>
      <c r="P42" s="206">
        <f t="shared" si="24"/>
        <v>12</v>
      </c>
      <c r="Q42" s="206">
        <f t="shared" si="25"/>
        <v>0</v>
      </c>
      <c r="R4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112000</v>
      </c>
      <c r="T4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112000</v>
      </c>
      <c r="U42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42" s="209">
        <f t="shared" si="26"/>
        <v>0</v>
      </c>
      <c r="W42" s="209">
        <f t="shared" si="27"/>
        <v>0</v>
      </c>
      <c r="X42" s="209">
        <f t="shared" si="28"/>
        <v>12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86.525694444440887</v>
      </c>
      <c r="AE42" s="210">
        <f t="shared" si="35"/>
        <v>86.525694444440887</v>
      </c>
      <c r="AF42" s="210">
        <f t="shared" si="36"/>
        <v>0</v>
      </c>
      <c r="AG42" s="210">
        <f t="shared" si="37"/>
        <v>0</v>
      </c>
    </row>
  </sheetData>
  <sheetProtection algorithmName="SHA-512" hashValue="0bowTVuZySd+rtrYh7fuNdXIBRmqe2xn48UCtI0UEfOT6YT42M18qw4h9YV5d21AZg1ay2uaL5xfdAiSJ0yTsQ==" saltValue="qHE5zNNuGEQ3QpjTdrUOb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77" priority="3" operator="equal">
      <formula>"OK"</formula>
    </cfRule>
    <cfRule type="cellIs" dxfId="376" priority="4" operator="equal">
      <formula>"warning"</formula>
    </cfRule>
  </conditionalFormatting>
  <conditionalFormatting sqref="F13">
    <cfRule type="cellIs" dxfId="375" priority="1" operator="equal">
      <formula>"OK"</formula>
    </cfRule>
    <cfRule type="cellIs" dxfId="374" priority="2" operator="equal">
      <formula>"Error!!"</formula>
    </cfRule>
  </conditionalFormatting>
  <conditionalFormatting sqref="E15:H15 K15:L15">
    <cfRule type="expression" dxfId="373" priority="5">
      <formula>+$D15=#REF!</formula>
    </cfRule>
    <cfRule type="expression" dxfId="372" priority="6">
      <formula>+$D15=#REF!</formula>
    </cfRule>
  </conditionalFormatting>
  <conditionalFormatting sqref="D15 K16:L16 D16:H42 J17:L42">
    <cfRule type="expression" dxfId="371" priority="7">
      <formula>+$D15=$AG$8</formula>
    </cfRule>
    <cfRule type="expression" dxfId="37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DC588E5A-9E58-4DDA-A955-F359AC1E6509}">
      <formula1>$AE$4:$AE$6</formula1>
    </dataValidation>
    <dataValidation type="list" allowBlank="1" showInputMessage="1" showErrorMessage="1" promptTitle="Trade Direction" prompt="Select from List" sqref="C15:C16" xr:uid="{26C24FD5-3744-4D68-A8BE-2979FC1DC613}">
      <formula1>$AG$4:$AG$5</formula1>
    </dataValidation>
    <dataValidation type="list" allowBlank="1" showInputMessage="1" showErrorMessage="1" promptTitle="Instrument Type" prompt="Select Type from List_x000a_" sqref="B17:B42" xr:uid="{70C0A403-42A9-4B98-ACFF-C93457D845C7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1A4D-A6AC-4821-9B7F-235FC877808E}">
  <sheetPr codeName="Hoja28">
    <pageSetUpPr fitToPage="1"/>
  </sheetPr>
  <dimension ref="A1:AX41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COUNTA(Tabla336106734822[Inst])</f>
        <v>25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-6.1700000000000008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-6.1700000000000008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COUNTIF(Tabla336106734822[No. of Rs],"&gt;0")</f>
        <v>4</v>
      </c>
      <c r="G7" s="24">
        <f>IFERROR((F7/$F$6),"")</f>
        <v>0.16</v>
      </c>
      <c r="H7" s="78">
        <f>IFERROR((+P13/F7),"")</f>
        <v>2.1074999999999999</v>
      </c>
      <c r="I7" s="227">
        <f>H7/H9</f>
        <v>3.0313356164383563</v>
      </c>
      <c r="J7" s="227">
        <f>AVERAGE(Tabla336106734822[No. of Rs])</f>
        <v>-0.24680000000000002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OFFSET(Tabla336106734822[[#Headers],[Equity]],1,0)</f>
        <v>93830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COUNTIF(Tabla336106734822[No. of Rs],"&lt;0")</f>
        <v>21</v>
      </c>
      <c r="G9" s="32">
        <f>IFERROR((F9/$F$6),"")</f>
        <v>0.84</v>
      </c>
      <c r="H9" s="79">
        <f>IFERROR((-Q13/F9),"")</f>
        <v>0.69523809523809521</v>
      </c>
      <c r="I9" s="229"/>
      <c r="J9" s="229"/>
      <c r="K9" s="149"/>
      <c r="L9" s="230" t="s">
        <v>106</v>
      </c>
      <c r="M9" s="231"/>
      <c r="N9" s="125">
        <f ca="1">MAX(Tabla336106734822[Drawdown])</f>
        <v>9.7699999999999995E-2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OFFSET(Tabla336106734822[[#Headers],[Drawdown]],1,0)</f>
        <v>6.1699999999999998E-2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IF(COUNTIFS(Tabla336106734822[O/C],"O")&lt;1,"None",COUNTIFS(Tabla336106734822[O/C],"O"))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SUM(Tabla336106734822[No. of Rs])</f>
        <v>-6.1700000000000008</v>
      </c>
      <c r="O13" s="42">
        <f>SUM(Tabla336106734822[Heat])</f>
        <v>0</v>
      </c>
      <c r="P13" s="43">
        <f>SUM(Tabla336106734822[[ TR WIN]])</f>
        <v>8.43</v>
      </c>
      <c r="Q13" s="43">
        <f>SUM(Tabla336106734822[[ TR LOSS]])</f>
        <v>-14.6</v>
      </c>
      <c r="R13" s="114"/>
      <c r="S13" s="115"/>
      <c r="T13" s="115"/>
      <c r="U13" s="121"/>
      <c r="V13" s="44">
        <f>SUM(Tabla336106734822[Currency])</f>
        <v>0</v>
      </c>
      <c r="W13" s="44">
        <f>SUM(Tabla336106734822[Heat3])</f>
        <v>0</v>
      </c>
      <c r="X13" s="44">
        <f>SUM(Tabla336106734822[Commodities])</f>
        <v>0</v>
      </c>
      <c r="Y13" s="44">
        <f>SUM(Tabla336106734822[Heat4])</f>
        <v>0</v>
      </c>
      <c r="Z13" s="44">
        <f>SUM(Tabla336106734822[Index])</f>
        <v>-6.1700000000000008</v>
      </c>
      <c r="AA13" s="44">
        <f>SUM(Tabla336106734822[Heat5])</f>
        <v>0</v>
      </c>
      <c r="AB13" s="44">
        <f>SUM(Tabla336106734822[Cryptocurrency])</f>
        <v>0</v>
      </c>
      <c r="AC13" s="44">
        <f>SUM(Tabla336106734822[Heat6])</f>
        <v>0</v>
      </c>
      <c r="AD13" s="75">
        <f>AVERAGEIF(Tabla336106734822[Length of 
Trade],"&lt;&gt;0")</f>
        <v>4.2220000000001168</v>
      </c>
      <c r="AE13" s="75">
        <f>AVERAGEIF(Tabla336106734822[Win],"&lt;&gt;0")</f>
        <v>14.699131944442343</v>
      </c>
      <c r="AF13" s="75">
        <f>AVERAGEIF(Tabla336106734822[Loss],"&lt;&gt;0")</f>
        <v>2.2263558201063591</v>
      </c>
      <c r="AG13" s="76" t="e">
        <f>AVERAGEIF(Tabla336106734822[Breakeven],"&lt;&gt;0")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36" si="0">IF(E17&lt;&gt;"",IF(K17&lt;&gt;"","C","O"),"")</f>
        <v>C</v>
      </c>
      <c r="E17" s="199">
        <v>44552.840277777781</v>
      </c>
      <c r="F17" s="200" t="s">
        <v>90</v>
      </c>
      <c r="G17" s="201">
        <v>7396.24</v>
      </c>
      <c r="H17" s="201">
        <v>7344.41</v>
      </c>
      <c r="I17" s="202">
        <f t="shared" ref="I17:I36" si="1">ABS(G17-H17)</f>
        <v>51.829999999999927</v>
      </c>
      <c r="J17" s="201">
        <v>8087.27</v>
      </c>
      <c r="K17" s="199">
        <v>44561.209722222222</v>
      </c>
      <c r="L17" s="201">
        <v>7447.88</v>
      </c>
      <c r="M17" s="203">
        <f t="shared" ref="M17:M36" si="2">ROUND(IF(C17="L",(L17-G17),(G17-L17)),4)</f>
        <v>51.64</v>
      </c>
      <c r="N17" s="204">
        <f t="shared" ref="N17:N36" si="3">IFERROR(ROUND((M17/I17),2),"")</f>
        <v>1</v>
      </c>
      <c r="O17" s="205">
        <f t="shared" ref="O17:O36" si="4">IF(D17="O",IF(N17&lt;0,N17,0),0)</f>
        <v>0</v>
      </c>
      <c r="P17" s="206">
        <f t="shared" ref="P17:P36" si="5">IF(N17&gt;= 0,N17,0)</f>
        <v>1</v>
      </c>
      <c r="Q17" s="206">
        <f t="shared" ref="Q17:Q36" si="6">IF(N17&lt;0,N17,0)</f>
        <v>0</v>
      </c>
      <c r="R1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93830</v>
      </c>
      <c r="T1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17" s="208">
        <f ca="1">IF(Tabla336106734822[[#This Row],[Equity]]&lt;Tabla336106734822[[#This Row],[Equity Peak]],(Tabla336106734822[[#This Row],[Equity Peak]]-Tabla336106734822[[#This Row],[Equity]])/Tabla336106734822[[#This Row],[Equity Peak]],"")</f>
        <v>6.1699999999999998E-2</v>
      </c>
      <c r="V17" s="209">
        <f t="shared" ref="V17:V36" si="7">IF(B17="FX",N17,0)</f>
        <v>0</v>
      </c>
      <c r="W17" s="209">
        <f t="shared" ref="W17:W36" si="8">IF(D17="O",IF(V17&lt;0,V17,0),0)</f>
        <v>0</v>
      </c>
      <c r="X17" s="209">
        <f t="shared" ref="X17:X36" si="9">IF(B17="COM",N17,0)</f>
        <v>0</v>
      </c>
      <c r="Y17" s="209">
        <f t="shared" ref="Y17:Y36" si="10">IF(D17="O",IF(X17&lt;0,X17,0),0)</f>
        <v>0</v>
      </c>
      <c r="Z17" s="209">
        <f t="shared" ref="Z17:Z36" si="11">IF(B17="IND",N17,0)</f>
        <v>1</v>
      </c>
      <c r="AA17" s="205">
        <f t="shared" ref="AA17:AA36" si="12">IF(D17="O",IF(Z17&lt;0,Z17,0),0)</f>
        <v>0</v>
      </c>
      <c r="AB17" s="209">
        <f t="shared" ref="AB17:AB36" si="13">IF(B17="CRYPTO",N17,0)</f>
        <v>0</v>
      </c>
      <c r="AC17" s="205">
        <f t="shared" ref="AC17:AC36" si="14">IF(D17="O",IF(AB17&lt;0,AB17,0),0)</f>
        <v>0</v>
      </c>
      <c r="AD17" s="210">
        <f t="shared" ref="AD17:AD36" si="15">IF(K17&lt;&gt;"",K17-E17,0)</f>
        <v>8.3694444444408873</v>
      </c>
      <c r="AE17" s="210">
        <f t="shared" ref="AE17:AE36" si="16">IF(N17&gt;0,AD17,0)</f>
        <v>8.3694444444408873</v>
      </c>
      <c r="AF17" s="210">
        <f t="shared" ref="AF17:AF36" si="17">IF(N17&lt;0,AD17,0)</f>
        <v>0</v>
      </c>
      <c r="AG17" s="210">
        <f t="shared" ref="AG17:AG36" si="18">IF(N17=0,AD17,0)</f>
        <v>0</v>
      </c>
    </row>
    <row r="18" spans="2:33" ht="15" customHeight="1" x14ac:dyDescent="0.3">
      <c r="B18" s="196" t="s">
        <v>5</v>
      </c>
      <c r="C18" s="197" t="s">
        <v>13</v>
      </c>
      <c r="D18" s="198" t="str">
        <f t="shared" si="0"/>
        <v>C</v>
      </c>
      <c r="E18" s="199">
        <v>44546.201388888891</v>
      </c>
      <c r="F18" s="200" t="s">
        <v>90</v>
      </c>
      <c r="G18" s="201">
        <v>7291.33</v>
      </c>
      <c r="H18" s="201">
        <v>7343.94</v>
      </c>
      <c r="I18" s="202">
        <f t="shared" si="1"/>
        <v>52.609999999999673</v>
      </c>
      <c r="J18" s="201">
        <v>6589.9</v>
      </c>
      <c r="K18" s="199">
        <v>44546.740972222222</v>
      </c>
      <c r="L18" s="201">
        <v>7343.94</v>
      </c>
      <c r="M18" s="203">
        <f t="shared" si="2"/>
        <v>-52.61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92830</v>
      </c>
      <c r="T1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18" s="208">
        <f ca="1">IF(Tabla336106734822[[#This Row],[Equity]]&lt;Tabla336106734822[[#This Row],[Equity Peak]],(Tabla336106734822[[#This Row],[Equity Peak]]-Tabla336106734822[[#This Row],[Equity]])/Tabla336106734822[[#This Row],[Equity Peak]],"")</f>
        <v>7.17E-2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0.53958333333139308</v>
      </c>
      <c r="AE18" s="210">
        <f t="shared" si="16"/>
        <v>0</v>
      </c>
      <c r="AF18" s="210">
        <f t="shared" si="17"/>
        <v>0.53958333333139308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44539.506944444445</v>
      </c>
      <c r="F19" s="200" t="s">
        <v>90</v>
      </c>
      <c r="G19" s="201">
        <v>7373.1</v>
      </c>
      <c r="H19" s="201">
        <v>7316.64</v>
      </c>
      <c r="I19" s="202">
        <f t="shared" si="1"/>
        <v>56.460000000000036</v>
      </c>
      <c r="J19" s="201">
        <v>8125.96</v>
      </c>
      <c r="K19" s="199">
        <v>44543.727777777778</v>
      </c>
      <c r="L19" s="201">
        <v>7346.07</v>
      </c>
      <c r="M19" s="203">
        <f t="shared" si="2"/>
        <v>-27.03</v>
      </c>
      <c r="N19" s="204">
        <f t="shared" si="3"/>
        <v>-0.48</v>
      </c>
      <c r="O19" s="205">
        <f t="shared" si="4"/>
        <v>0</v>
      </c>
      <c r="P19" s="206">
        <f t="shared" si="5"/>
        <v>0</v>
      </c>
      <c r="Q19" s="206">
        <f t="shared" si="6"/>
        <v>-0.48</v>
      </c>
      <c r="R1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93830</v>
      </c>
      <c r="T1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19" s="208">
        <f ca="1">IF(Tabla336106734822[[#This Row],[Equity]]&lt;Tabla336106734822[[#This Row],[Equity Peak]],(Tabla336106734822[[#This Row],[Equity Peak]]-Tabla336106734822[[#This Row],[Equity]])/Tabla336106734822[[#This Row],[Equity Peak]],"")</f>
        <v>6.1699999999999998E-2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-0.48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4.2208333333328483</v>
      </c>
      <c r="AE19" s="210">
        <f t="shared" si="16"/>
        <v>0</v>
      </c>
      <c r="AF19" s="210">
        <f t="shared" si="17"/>
        <v>4.2208333333328483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44518.673611111109</v>
      </c>
      <c r="F20" s="200" t="s">
        <v>90</v>
      </c>
      <c r="G20" s="201">
        <v>7371.33</v>
      </c>
      <c r="H20" s="201">
        <v>7413.12</v>
      </c>
      <c r="I20" s="202">
        <f t="shared" si="1"/>
        <v>41.789999999999964</v>
      </c>
      <c r="J20" s="201">
        <v>6814.07</v>
      </c>
      <c r="K20" s="199">
        <v>44523.053472222222</v>
      </c>
      <c r="L20" s="201">
        <v>7391.98</v>
      </c>
      <c r="M20" s="203">
        <f t="shared" si="2"/>
        <v>-20.65</v>
      </c>
      <c r="N20" s="204">
        <f t="shared" si="3"/>
        <v>-0.49</v>
      </c>
      <c r="O20" s="205">
        <f t="shared" si="4"/>
        <v>0</v>
      </c>
      <c r="P20" s="206">
        <f t="shared" si="5"/>
        <v>0</v>
      </c>
      <c r="Q20" s="206">
        <f t="shared" si="6"/>
        <v>-0.49</v>
      </c>
      <c r="R2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94310</v>
      </c>
      <c r="T2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0" s="208">
        <f ca="1">IF(Tabla336106734822[[#This Row],[Equity]]&lt;Tabla336106734822[[#This Row],[Equity Peak]],(Tabla336106734822[[#This Row],[Equity Peak]]-Tabla336106734822[[#This Row],[Equity]])/Tabla336106734822[[#This Row],[Equity Peak]],"")</f>
        <v>5.6899999999999999E-2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-0.49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4.3798611111124046</v>
      </c>
      <c r="AE20" s="210">
        <f t="shared" si="16"/>
        <v>0</v>
      </c>
      <c r="AF20" s="210">
        <f t="shared" si="17"/>
        <v>4.3798611111124046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44484.552083333336</v>
      </c>
      <c r="F21" s="200" t="s">
        <v>90</v>
      </c>
      <c r="G21" s="201">
        <v>7369.85</v>
      </c>
      <c r="H21" s="201">
        <v>7323.56</v>
      </c>
      <c r="I21" s="202">
        <f t="shared" si="1"/>
        <v>46.289999999999964</v>
      </c>
      <c r="J21" s="201">
        <v>7986.99</v>
      </c>
      <c r="K21" s="199">
        <v>44498.136805555558</v>
      </c>
      <c r="L21" s="201">
        <v>7386.62</v>
      </c>
      <c r="M21" s="203">
        <f t="shared" si="2"/>
        <v>16.77</v>
      </c>
      <c r="N21" s="204">
        <f t="shared" si="3"/>
        <v>0.36</v>
      </c>
      <c r="O21" s="205">
        <f t="shared" si="4"/>
        <v>0</v>
      </c>
      <c r="P21" s="206">
        <f t="shared" si="5"/>
        <v>0.36</v>
      </c>
      <c r="Q21" s="206">
        <f t="shared" si="6"/>
        <v>0</v>
      </c>
      <c r="R2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94800</v>
      </c>
      <c r="T2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1" s="208">
        <f ca="1">IF(Tabla336106734822[[#This Row],[Equity]]&lt;Tabla336106734822[[#This Row],[Equity Peak]],(Tabla336106734822[[#This Row],[Equity Peak]]-Tabla336106734822[[#This Row],[Equity]])/Tabla336106734822[[#This Row],[Equity Peak]],"")</f>
        <v>5.1999999999999998E-2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0.36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13.584722222221899</v>
      </c>
      <c r="AE21" s="210">
        <f t="shared" si="16"/>
        <v>13.584722222221899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44448.590277777781</v>
      </c>
      <c r="F22" s="200" t="s">
        <v>90</v>
      </c>
      <c r="G22" s="201">
        <v>7394.44</v>
      </c>
      <c r="H22" s="201">
        <v>7448.12</v>
      </c>
      <c r="I22" s="202">
        <f t="shared" si="1"/>
        <v>53.680000000000291</v>
      </c>
      <c r="J22" s="201">
        <v>6678.73</v>
      </c>
      <c r="K22" s="199">
        <v>44452.238194444442</v>
      </c>
      <c r="L22" s="201">
        <v>7440.29</v>
      </c>
      <c r="M22" s="203">
        <f t="shared" si="2"/>
        <v>-45.85</v>
      </c>
      <c r="N22" s="204">
        <f t="shared" si="3"/>
        <v>-0.85</v>
      </c>
      <c r="O22" s="205">
        <f t="shared" si="4"/>
        <v>0</v>
      </c>
      <c r="P22" s="206">
        <f t="shared" si="5"/>
        <v>0</v>
      </c>
      <c r="Q22" s="206">
        <f t="shared" si="6"/>
        <v>-0.85</v>
      </c>
      <c r="R22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2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94440</v>
      </c>
      <c r="T22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2" s="208">
        <f ca="1">IF(Tabla336106734822[[#This Row],[Equity]]&lt;Tabla336106734822[[#This Row],[Equity Peak]],(Tabla336106734822[[#This Row],[Equity Peak]]-Tabla336106734822[[#This Row],[Equity]])/Tabla336106734822[[#This Row],[Equity Peak]],"")</f>
        <v>5.5599999999999997E-2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-0.85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3.647916666661331</v>
      </c>
      <c r="AE22" s="210">
        <f t="shared" si="16"/>
        <v>0</v>
      </c>
      <c r="AF22" s="210">
        <f t="shared" si="17"/>
        <v>3.647916666661331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44412.756944444445</v>
      </c>
      <c r="F23" s="200" t="s">
        <v>90</v>
      </c>
      <c r="G23" s="201">
        <v>7503.76</v>
      </c>
      <c r="H23" s="201">
        <v>7461.79</v>
      </c>
      <c r="I23" s="202">
        <f t="shared" si="1"/>
        <v>41.970000000000255</v>
      </c>
      <c r="J23" s="201">
        <v>8063.37</v>
      </c>
      <c r="K23" s="199">
        <v>44424.554861111108</v>
      </c>
      <c r="L23" s="201">
        <v>7559.97</v>
      </c>
      <c r="M23" s="203">
        <f t="shared" si="2"/>
        <v>56.21</v>
      </c>
      <c r="N23" s="204">
        <f t="shared" si="3"/>
        <v>1.34</v>
      </c>
      <c r="O23" s="205">
        <f t="shared" si="4"/>
        <v>0</v>
      </c>
      <c r="P23" s="206">
        <f t="shared" si="5"/>
        <v>1.34</v>
      </c>
      <c r="Q23" s="206">
        <f t="shared" si="6"/>
        <v>0</v>
      </c>
      <c r="R23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3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95290</v>
      </c>
      <c r="T23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3" s="208">
        <f ca="1">IF(Tabla336106734822[[#This Row],[Equity]]&lt;Tabla336106734822[[#This Row],[Equity Peak]],(Tabla336106734822[[#This Row],[Equity Peak]]-Tabla336106734822[[#This Row],[Equity]])/Tabla336106734822[[#This Row],[Equity Peak]],"")</f>
        <v>4.7100000000000003E-2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1.34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11.797916666662786</v>
      </c>
      <c r="AE23" s="210">
        <f t="shared" si="16"/>
        <v>11.797916666662786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44410.284722222219</v>
      </c>
      <c r="F24" s="200" t="s">
        <v>90</v>
      </c>
      <c r="G24" s="201">
        <v>7493.96</v>
      </c>
      <c r="H24" s="201">
        <v>7448.77</v>
      </c>
      <c r="I24" s="202">
        <f t="shared" si="1"/>
        <v>45.1899999999996</v>
      </c>
      <c r="J24" s="201">
        <v>8096.52</v>
      </c>
      <c r="K24" s="199">
        <v>44410.656944444447</v>
      </c>
      <c r="L24" s="201">
        <v>7448.77</v>
      </c>
      <c r="M24" s="203">
        <f t="shared" si="2"/>
        <v>-45.19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4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93950</v>
      </c>
      <c r="T24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4" s="208">
        <f ca="1">IF(Tabla336106734822[[#This Row],[Equity]]&lt;Tabla336106734822[[#This Row],[Equity Peak]],(Tabla336106734822[[#This Row],[Equity Peak]]-Tabla336106734822[[#This Row],[Equity]])/Tabla336106734822[[#This Row],[Equity Peak]],"")</f>
        <v>6.0499999999999998E-2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0.37222222222771961</v>
      </c>
      <c r="AE24" s="210">
        <f t="shared" si="16"/>
        <v>0</v>
      </c>
      <c r="AF24" s="210">
        <f t="shared" si="17"/>
        <v>0.37222222222771961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44398.756944444445</v>
      </c>
      <c r="F25" s="200" t="s">
        <v>90</v>
      </c>
      <c r="G25" s="201">
        <v>7366.13</v>
      </c>
      <c r="H25" s="201">
        <v>7291.68</v>
      </c>
      <c r="I25" s="202">
        <f t="shared" si="1"/>
        <v>74.449999999999818</v>
      </c>
      <c r="J25" s="201">
        <v>8358.82</v>
      </c>
      <c r="K25" s="199">
        <v>44405.259722222225</v>
      </c>
      <c r="L25" s="201">
        <v>7365.59</v>
      </c>
      <c r="M25" s="203">
        <f t="shared" si="2"/>
        <v>-0.54</v>
      </c>
      <c r="N25" s="204">
        <f t="shared" si="3"/>
        <v>-0.01</v>
      </c>
      <c r="O25" s="205">
        <f t="shared" si="4"/>
        <v>0</v>
      </c>
      <c r="P25" s="206">
        <f t="shared" si="5"/>
        <v>0</v>
      </c>
      <c r="Q25" s="206">
        <f t="shared" si="6"/>
        <v>-0.01</v>
      </c>
      <c r="R25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5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94950</v>
      </c>
      <c r="T25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5" s="208">
        <f ca="1">IF(Tabla336106734822[[#This Row],[Equity]]&lt;Tabla336106734822[[#This Row],[Equity Peak]],(Tabla336106734822[[#This Row],[Equity Peak]]-Tabla336106734822[[#This Row],[Equity]])/Tabla336106734822[[#This Row],[Equity Peak]],"")</f>
        <v>5.0500000000000003E-2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-0.01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6.5027777777795563</v>
      </c>
      <c r="AE25" s="210">
        <f t="shared" si="16"/>
        <v>0</v>
      </c>
      <c r="AF25" s="210">
        <f t="shared" si="17"/>
        <v>6.5027777777795563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44397.118055555555</v>
      </c>
      <c r="F26" s="200" t="s">
        <v>90</v>
      </c>
      <c r="G26" s="201">
        <v>7210.35</v>
      </c>
      <c r="H26" s="201">
        <v>7264.34</v>
      </c>
      <c r="I26" s="202">
        <f t="shared" si="1"/>
        <v>53.989999999999782</v>
      </c>
      <c r="J26" s="201">
        <v>6490.42</v>
      </c>
      <c r="K26" s="199">
        <v>44397.197222222225</v>
      </c>
      <c r="L26" s="201">
        <v>7264.34</v>
      </c>
      <c r="M26" s="203">
        <f t="shared" si="2"/>
        <v>-53.99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6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94960</v>
      </c>
      <c r="T26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6" s="208">
        <f ca="1">IF(Tabla336106734822[[#This Row],[Equity]]&lt;Tabla336106734822[[#This Row],[Equity Peak]],(Tabla336106734822[[#This Row],[Equity Peak]]-Tabla336106734822[[#This Row],[Equity]])/Tabla336106734822[[#This Row],[Equity Peak]],"")</f>
        <v>5.04E-2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-1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7.9166666670062114E-2</v>
      </c>
      <c r="AE26" s="210">
        <f t="shared" si="16"/>
        <v>0</v>
      </c>
      <c r="AF26" s="210">
        <f t="shared" si="17"/>
        <v>7.9166666670062114E-2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44340.590277777781</v>
      </c>
      <c r="F27" s="200" t="s">
        <v>90</v>
      </c>
      <c r="G27" s="201">
        <v>7056.52</v>
      </c>
      <c r="H27" s="201">
        <v>7010.69</v>
      </c>
      <c r="I27" s="202">
        <f t="shared" si="1"/>
        <v>45.830000000000837</v>
      </c>
      <c r="J27" s="201">
        <v>7667.56</v>
      </c>
      <c r="K27" s="199">
        <v>44365.634722222225</v>
      </c>
      <c r="L27" s="201">
        <v>7319.32</v>
      </c>
      <c r="M27" s="203">
        <f t="shared" si="2"/>
        <v>262.8</v>
      </c>
      <c r="N27" s="204">
        <f t="shared" si="3"/>
        <v>5.73</v>
      </c>
      <c r="O27" s="205">
        <f t="shared" si="4"/>
        <v>0</v>
      </c>
      <c r="P27" s="206">
        <f t="shared" si="5"/>
        <v>5.73</v>
      </c>
      <c r="Q27" s="206">
        <f t="shared" si="6"/>
        <v>0</v>
      </c>
      <c r="R2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95960</v>
      </c>
      <c r="T2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7" s="208">
        <f ca="1">IF(Tabla336106734822[[#This Row],[Equity]]&lt;Tabla336106734822[[#This Row],[Equity Peak]],(Tabla336106734822[[#This Row],[Equity Peak]]-Tabla336106734822[[#This Row],[Equity]])/Tabla336106734822[[#This Row],[Equity Peak]],"")</f>
        <v>4.0399999999999998E-2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5.73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25.044444444443798</v>
      </c>
      <c r="AE27" s="210">
        <f t="shared" si="16"/>
        <v>25.044444444443798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13</v>
      </c>
      <c r="D28" s="198" t="str">
        <f t="shared" si="0"/>
        <v>C</v>
      </c>
      <c r="E28" s="199">
        <v>44335.423611111109</v>
      </c>
      <c r="F28" s="200" t="s">
        <v>90</v>
      </c>
      <c r="G28" s="201">
        <v>6922.04</v>
      </c>
      <c r="H28" s="201">
        <v>6972.33</v>
      </c>
      <c r="I28" s="202">
        <f t="shared" si="1"/>
        <v>50.289999999999964</v>
      </c>
      <c r="J28" s="201">
        <v>6251.45</v>
      </c>
      <c r="K28" s="199">
        <v>44336.143750000003</v>
      </c>
      <c r="L28" s="201">
        <v>6951.14</v>
      </c>
      <c r="M28" s="203">
        <f t="shared" si="2"/>
        <v>-29.1</v>
      </c>
      <c r="N28" s="204">
        <f t="shared" si="3"/>
        <v>-0.57999999999999996</v>
      </c>
      <c r="O28" s="205">
        <f t="shared" si="4"/>
        <v>0</v>
      </c>
      <c r="P28" s="206">
        <f t="shared" si="5"/>
        <v>0</v>
      </c>
      <c r="Q28" s="206">
        <f t="shared" si="6"/>
        <v>-0.57999999999999996</v>
      </c>
      <c r="R2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2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90230</v>
      </c>
      <c r="T2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8" s="208">
        <f ca="1">IF(Tabla336106734822[[#This Row],[Equity]]&lt;Tabla336106734822[[#This Row],[Equity Peak]],(Tabla336106734822[[#This Row],[Equity Peak]]-Tabla336106734822[[#This Row],[Equity]])/Tabla336106734822[[#This Row],[Equity Peak]],"")</f>
        <v>9.7699999999999995E-2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-0.57999999999999996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0.72013888889341615</v>
      </c>
      <c r="AE28" s="210">
        <f t="shared" si="16"/>
        <v>0</v>
      </c>
      <c r="AF28" s="210">
        <f t="shared" si="17"/>
        <v>0.72013888889341615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44326.284722222219</v>
      </c>
      <c r="F29" s="200" t="s">
        <v>90</v>
      </c>
      <c r="G29" s="201">
        <v>7131.76</v>
      </c>
      <c r="H29" s="201">
        <v>7080.4</v>
      </c>
      <c r="I29" s="202">
        <f t="shared" si="1"/>
        <v>51.360000000000582</v>
      </c>
      <c r="J29" s="201">
        <v>7816.57</v>
      </c>
      <c r="K29" s="199">
        <v>44327.206250000003</v>
      </c>
      <c r="L29" s="201">
        <v>7091.52</v>
      </c>
      <c r="M29" s="203">
        <f t="shared" si="2"/>
        <v>-40.24</v>
      </c>
      <c r="N29" s="204">
        <f t="shared" si="3"/>
        <v>-0.78</v>
      </c>
      <c r="O29" s="205">
        <f t="shared" si="4"/>
        <v>0</v>
      </c>
      <c r="P29" s="206">
        <f t="shared" si="5"/>
        <v>0</v>
      </c>
      <c r="Q29" s="206">
        <f t="shared" si="6"/>
        <v>-0.78</v>
      </c>
      <c r="R2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2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90810</v>
      </c>
      <c r="T2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29" s="208">
        <f ca="1">IF(Tabla336106734822[[#This Row],[Equity]]&lt;Tabla336106734822[[#This Row],[Equity Peak]],(Tabla336106734822[[#This Row],[Equity Peak]]-Tabla336106734822[[#This Row],[Equity]])/Tabla336106734822[[#This Row],[Equity Peak]],"")</f>
        <v>9.1899999999999996E-2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-0.78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0.92152777778392192</v>
      </c>
      <c r="AE29" s="210">
        <f t="shared" si="16"/>
        <v>0</v>
      </c>
      <c r="AF29" s="210">
        <f t="shared" si="17"/>
        <v>0.92152777778392192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44321.284722222219</v>
      </c>
      <c r="F30" s="200" t="s">
        <v>90</v>
      </c>
      <c r="G30" s="201">
        <v>7108.92</v>
      </c>
      <c r="H30" s="201">
        <v>7060.04</v>
      </c>
      <c r="I30" s="202">
        <f t="shared" si="1"/>
        <v>48.880000000000109</v>
      </c>
      <c r="J30" s="201">
        <v>7760.68</v>
      </c>
      <c r="K30" s="199">
        <v>44322.175000000003</v>
      </c>
      <c r="L30" s="201">
        <v>7060.04</v>
      </c>
      <c r="M30" s="203">
        <f t="shared" si="2"/>
        <v>-48.88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91590</v>
      </c>
      <c r="T3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0" s="208">
        <f ca="1">IF(Tabla336106734822[[#This Row],[Equity]]&lt;Tabla336106734822[[#This Row],[Equity Peak]],(Tabla336106734822[[#This Row],[Equity Peak]]-Tabla336106734822[[#This Row],[Equity]])/Tabla336106734822[[#This Row],[Equity Peak]],"")</f>
        <v>8.4099999999999994E-2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0.89027777778392192</v>
      </c>
      <c r="AE30" s="210">
        <f t="shared" si="16"/>
        <v>0</v>
      </c>
      <c r="AF30" s="210">
        <f t="shared" si="17"/>
        <v>0.89027777778392192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44301.284722222219</v>
      </c>
      <c r="F31" s="200" t="s">
        <v>90</v>
      </c>
      <c r="G31" s="201">
        <v>7037.47</v>
      </c>
      <c r="H31" s="201">
        <v>6998.98</v>
      </c>
      <c r="I31" s="202">
        <f t="shared" si="1"/>
        <v>38.490000000000691</v>
      </c>
      <c r="J31" s="201">
        <v>7550.63</v>
      </c>
      <c r="K31" s="199">
        <v>44302.259722222225</v>
      </c>
      <c r="L31" s="201">
        <v>7022.23</v>
      </c>
      <c r="M31" s="203">
        <f t="shared" si="2"/>
        <v>-15.24</v>
      </c>
      <c r="N31" s="204">
        <f t="shared" si="3"/>
        <v>-0.4</v>
      </c>
      <c r="O31" s="205">
        <f t="shared" si="4"/>
        <v>0</v>
      </c>
      <c r="P31" s="206">
        <f t="shared" si="5"/>
        <v>0</v>
      </c>
      <c r="Q31" s="206">
        <f t="shared" si="6"/>
        <v>-0.4</v>
      </c>
      <c r="R3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92590</v>
      </c>
      <c r="T3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1" s="208">
        <f ca="1">IF(Tabla336106734822[[#This Row],[Equity]]&lt;Tabla336106734822[[#This Row],[Equity Peak]],(Tabla336106734822[[#This Row],[Equity Peak]]-Tabla336106734822[[#This Row],[Equity]])/Tabla336106734822[[#This Row],[Equity Peak]],"")</f>
        <v>7.4099999999999999E-2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-0.4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0.97500000000582077</v>
      </c>
      <c r="AE31" s="210">
        <f t="shared" si="16"/>
        <v>0</v>
      </c>
      <c r="AF31" s="210">
        <f t="shared" si="17"/>
        <v>0.97500000000582077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44294.284722222219</v>
      </c>
      <c r="F32" s="200" t="s">
        <v>90</v>
      </c>
      <c r="G32" s="201">
        <v>6992.1</v>
      </c>
      <c r="H32" s="201">
        <v>6937.81</v>
      </c>
      <c r="I32" s="202">
        <f t="shared" si="1"/>
        <v>54.289999999999964</v>
      </c>
      <c r="J32" s="201">
        <v>7715.91</v>
      </c>
      <c r="K32" s="199">
        <v>44300.957638888889</v>
      </c>
      <c r="L32" s="201">
        <v>6965.4</v>
      </c>
      <c r="M32" s="203">
        <f t="shared" si="2"/>
        <v>-26.7</v>
      </c>
      <c r="N32" s="204">
        <f t="shared" si="3"/>
        <v>-0.49</v>
      </c>
      <c r="O32" s="205">
        <f t="shared" si="4"/>
        <v>0</v>
      </c>
      <c r="P32" s="206">
        <f t="shared" si="5"/>
        <v>0</v>
      </c>
      <c r="Q32" s="206">
        <f t="shared" si="6"/>
        <v>-0.49</v>
      </c>
      <c r="R32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2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92990</v>
      </c>
      <c r="T32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2" s="208">
        <f ca="1">IF(Tabla336106734822[[#This Row],[Equity]]&lt;Tabla336106734822[[#This Row],[Equity Peak]],(Tabla336106734822[[#This Row],[Equity Peak]]-Tabla336106734822[[#This Row],[Equity]])/Tabla336106734822[[#This Row],[Equity Peak]],"")</f>
        <v>7.0099999999999996E-2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-0.49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6.6729166666700621</v>
      </c>
      <c r="AE32" s="210">
        <f t="shared" si="16"/>
        <v>0</v>
      </c>
      <c r="AF32" s="210">
        <f t="shared" si="17"/>
        <v>6.6729166666700621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44281.381944444445</v>
      </c>
      <c r="F33" s="200" t="s">
        <v>90</v>
      </c>
      <c r="G33" s="201">
        <v>6825.81</v>
      </c>
      <c r="H33" s="201">
        <v>6777.06</v>
      </c>
      <c r="I33" s="202">
        <f t="shared" si="1"/>
        <v>48.75</v>
      </c>
      <c r="J33" s="201">
        <v>7475.81</v>
      </c>
      <c r="K33" s="199">
        <v>44284.17083333333</v>
      </c>
      <c r="L33" s="201">
        <v>6806.65</v>
      </c>
      <c r="M33" s="203">
        <f t="shared" si="2"/>
        <v>-19.16</v>
      </c>
      <c r="N33" s="204">
        <f t="shared" si="3"/>
        <v>-0.39</v>
      </c>
      <c r="O33" s="205">
        <f t="shared" si="4"/>
        <v>0</v>
      </c>
      <c r="P33" s="206">
        <f t="shared" si="5"/>
        <v>0</v>
      </c>
      <c r="Q33" s="206">
        <f t="shared" si="6"/>
        <v>-0.39</v>
      </c>
      <c r="R33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3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93480</v>
      </c>
      <c r="T33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3" s="208">
        <f ca="1">IF(Tabla336106734822[[#This Row],[Equity]]&lt;Tabla336106734822[[#This Row],[Equity Peak]],(Tabla336106734822[[#This Row],[Equity Peak]]-Tabla336106734822[[#This Row],[Equity]])/Tabla336106734822[[#This Row],[Equity Peak]],"")</f>
        <v>6.5199999999999994E-2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-0.39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2.788888888884685</v>
      </c>
      <c r="AE33" s="210">
        <f t="shared" si="16"/>
        <v>0</v>
      </c>
      <c r="AF33" s="210">
        <f t="shared" si="17"/>
        <v>2.788888888884685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0"/>
        <v>C</v>
      </c>
      <c r="E34" s="199">
        <v>44273.381944444445</v>
      </c>
      <c r="F34" s="200" t="s">
        <v>90</v>
      </c>
      <c r="G34" s="201">
        <v>6731.56</v>
      </c>
      <c r="H34" s="201">
        <v>6782.02</v>
      </c>
      <c r="I34" s="202">
        <f t="shared" si="1"/>
        <v>50.460000000000036</v>
      </c>
      <c r="J34" s="201">
        <v>6058.7</v>
      </c>
      <c r="K34" s="199">
        <v>44277.216666666667</v>
      </c>
      <c r="L34" s="201">
        <v>6750.26</v>
      </c>
      <c r="M34" s="203">
        <f t="shared" si="2"/>
        <v>-18.7</v>
      </c>
      <c r="N34" s="204">
        <f t="shared" si="3"/>
        <v>-0.37</v>
      </c>
      <c r="O34" s="205">
        <f t="shared" si="4"/>
        <v>0</v>
      </c>
      <c r="P34" s="206">
        <f t="shared" si="5"/>
        <v>0</v>
      </c>
      <c r="Q34" s="206">
        <f t="shared" si="6"/>
        <v>-0.37</v>
      </c>
      <c r="R34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4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93870</v>
      </c>
      <c r="T34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4" s="208">
        <f ca="1">IF(Tabla336106734822[[#This Row],[Equity]]&lt;Tabla336106734822[[#This Row],[Equity Peak]],(Tabla336106734822[[#This Row],[Equity Peak]]-Tabla336106734822[[#This Row],[Equity]])/Tabla336106734822[[#This Row],[Equity Peak]],"")</f>
        <v>6.13E-2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-0.37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3.8347222222218988</v>
      </c>
      <c r="AE34" s="210">
        <f t="shared" si="16"/>
        <v>0</v>
      </c>
      <c r="AF34" s="210">
        <f t="shared" si="17"/>
        <v>3.8347222222218988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0"/>
        <v>C</v>
      </c>
      <c r="E35" s="199">
        <v>44271.881944444445</v>
      </c>
      <c r="F35" s="200" t="s">
        <v>90</v>
      </c>
      <c r="G35" s="201">
        <v>6813.63</v>
      </c>
      <c r="H35" s="201">
        <v>6766.7</v>
      </c>
      <c r="I35" s="202">
        <f t="shared" si="1"/>
        <v>46.930000000000291</v>
      </c>
      <c r="J35" s="201">
        <v>7439.34</v>
      </c>
      <c r="K35" s="199">
        <v>44272.1875</v>
      </c>
      <c r="L35" s="201">
        <v>6766.7</v>
      </c>
      <c r="M35" s="203">
        <f t="shared" si="2"/>
        <v>-46.93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5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94240</v>
      </c>
      <c r="T35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5" s="208">
        <f ca="1">IF(Tabla336106734822[[#This Row],[Equity]]&lt;Tabla336106734822[[#This Row],[Equity Peak]],(Tabla336106734822[[#This Row],[Equity Peak]]-Tabla336106734822[[#This Row],[Equity]])/Tabla336106734822[[#This Row],[Equity Peak]],"")</f>
        <v>5.7599999999999998E-2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-1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0.30555555555474712</v>
      </c>
      <c r="AE35" s="210">
        <f t="shared" si="16"/>
        <v>0</v>
      </c>
      <c r="AF35" s="210">
        <f t="shared" si="17"/>
        <v>0.30555555555474712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13</v>
      </c>
      <c r="D36" s="198" t="str">
        <f t="shared" si="0"/>
        <v>C</v>
      </c>
      <c r="E36" s="199">
        <v>44253.201388888891</v>
      </c>
      <c r="F36" s="200" t="s">
        <v>90</v>
      </c>
      <c r="G36" s="201">
        <v>6691.15</v>
      </c>
      <c r="H36" s="201">
        <v>6754.94</v>
      </c>
      <c r="I36" s="202">
        <f t="shared" si="1"/>
        <v>63.789999999999964</v>
      </c>
      <c r="J36" s="201">
        <v>5840.56</v>
      </c>
      <c r="K36" s="199">
        <v>44256.09097222222</v>
      </c>
      <c r="L36" s="201">
        <v>6754.94</v>
      </c>
      <c r="M36" s="203">
        <f t="shared" si="2"/>
        <v>-63.79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6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95240</v>
      </c>
      <c r="T36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6" s="208">
        <f ca="1">IF(Tabla336106734822[[#This Row],[Equity]]&lt;Tabla336106734822[[#This Row],[Equity Peak]],(Tabla336106734822[[#This Row],[Equity Peak]]-Tabla336106734822[[#This Row],[Equity]])/Tabla336106734822[[#This Row],[Equity Peak]],"")</f>
        <v>4.7600000000000003E-2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-1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2.8895833333299379</v>
      </c>
      <c r="AE36" s="210">
        <f t="shared" si="16"/>
        <v>0</v>
      </c>
      <c r="AF36" s="210">
        <f t="shared" si="17"/>
        <v>2.8895833333299379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ref="D37:D41" si="19">IF(E37&lt;&gt;"",IF(K37&lt;&gt;"","C","O"),"")</f>
        <v>C</v>
      </c>
      <c r="E37" s="199">
        <v>44243.340277777781</v>
      </c>
      <c r="F37" s="200" t="s">
        <v>90</v>
      </c>
      <c r="G37" s="201">
        <v>6913.33</v>
      </c>
      <c r="H37" s="201">
        <v>6876.9</v>
      </c>
      <c r="I37" s="202">
        <f t="shared" ref="I37:I41" si="20">ABS(G37-H37)</f>
        <v>36.430000000000291</v>
      </c>
      <c r="J37" s="201">
        <v>7399.04</v>
      </c>
      <c r="K37" s="199">
        <v>44244.113888888889</v>
      </c>
      <c r="L37" s="201">
        <v>6876.9</v>
      </c>
      <c r="M37" s="203">
        <f t="shared" ref="M37:M41" si="21">ROUND(IF(C37="L",(L37-G37),(G37-L37)),4)</f>
        <v>-36.43</v>
      </c>
      <c r="N37" s="204">
        <f t="shared" ref="N37:N41" si="22">IFERROR(ROUND((M37/I37),2),"")</f>
        <v>-1</v>
      </c>
      <c r="O37" s="205">
        <f t="shared" ref="O37:O41" si="23">IF(D37="O",IF(N37&lt;0,N37,0),0)</f>
        <v>0</v>
      </c>
      <c r="P37" s="206">
        <f t="shared" ref="P37:P41" si="24">IF(N37&gt;= 0,N37,0)</f>
        <v>0</v>
      </c>
      <c r="Q37" s="206">
        <f t="shared" ref="Q37:Q41" si="25">IF(N37&lt;0,N37,0)</f>
        <v>-1</v>
      </c>
      <c r="R3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96240</v>
      </c>
      <c r="T3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7" s="208">
        <f ca="1">IF(Tabla336106734822[[#This Row],[Equity]]&lt;Tabla336106734822[[#This Row],[Equity Peak]],(Tabla336106734822[[#This Row],[Equity Peak]]-Tabla336106734822[[#This Row],[Equity]])/Tabla336106734822[[#This Row],[Equity Peak]],"")</f>
        <v>3.7600000000000001E-2</v>
      </c>
      <c r="V37" s="209">
        <f t="shared" ref="V37:V41" si="26">IF(B37="FX",N37,0)</f>
        <v>0</v>
      </c>
      <c r="W37" s="209">
        <f t="shared" ref="W37:W41" si="27">IF(D37="O",IF(V37&lt;0,V37,0),0)</f>
        <v>0</v>
      </c>
      <c r="X37" s="209">
        <f t="shared" ref="X37:X41" si="28">IF(B37="COM",N37,0)</f>
        <v>0</v>
      </c>
      <c r="Y37" s="209">
        <f t="shared" ref="Y37:Y41" si="29">IF(D37="O",IF(X37&lt;0,X37,0),0)</f>
        <v>0</v>
      </c>
      <c r="Z37" s="209">
        <f t="shared" ref="Z37:Z41" si="30">IF(B37="IND",N37,0)</f>
        <v>-1</v>
      </c>
      <c r="AA37" s="205">
        <f t="shared" ref="AA37:AA41" si="31">IF(D37="O",IF(Z37&lt;0,Z37,0),0)</f>
        <v>0</v>
      </c>
      <c r="AB37" s="209">
        <f t="shared" ref="AB37:AB41" si="32">IF(B37="CRYPTO",N37,0)</f>
        <v>0</v>
      </c>
      <c r="AC37" s="205">
        <f t="shared" ref="AC37:AC41" si="33">IF(D37="O",IF(AB37&lt;0,AB37,0),0)</f>
        <v>0</v>
      </c>
      <c r="AD37" s="210">
        <f t="shared" ref="AD37:AD41" si="34">IF(K37&lt;&gt;"",K37-E37,0)</f>
        <v>0.77361111110803904</v>
      </c>
      <c r="AE37" s="210">
        <f t="shared" ref="AE37:AE41" si="35">IF(N37&gt;0,AD37,0)</f>
        <v>0</v>
      </c>
      <c r="AF37" s="210">
        <f t="shared" ref="AF37:AF41" si="36">IF(N37&lt;0,AD37,0)</f>
        <v>0.77361111110803904</v>
      </c>
      <c r="AG37" s="210">
        <f t="shared" ref="AG37:AG41" si="37">IF(N37=0,AD37,0)</f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19"/>
        <v>C</v>
      </c>
      <c r="E38" s="199">
        <v>44235.201388888891</v>
      </c>
      <c r="F38" s="200" t="s">
        <v>90</v>
      </c>
      <c r="G38" s="201">
        <v>6900.55</v>
      </c>
      <c r="H38" s="201">
        <v>6854.56</v>
      </c>
      <c r="I38" s="202">
        <f t="shared" si="20"/>
        <v>45.989999999999782</v>
      </c>
      <c r="J38" s="201">
        <v>7513.74</v>
      </c>
      <c r="K38" s="199">
        <v>44235.480555555558</v>
      </c>
      <c r="L38" s="201">
        <v>6854.56</v>
      </c>
      <c r="M38" s="203">
        <f t="shared" si="21"/>
        <v>-45.99</v>
      </c>
      <c r="N38" s="204">
        <f t="shared" si="22"/>
        <v>-1</v>
      </c>
      <c r="O38" s="205">
        <f t="shared" si="23"/>
        <v>0</v>
      </c>
      <c r="P38" s="206">
        <f t="shared" si="24"/>
        <v>0</v>
      </c>
      <c r="Q38" s="206">
        <f t="shared" si="25"/>
        <v>-1</v>
      </c>
      <c r="R3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97240</v>
      </c>
      <c r="T3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8" s="208">
        <f ca="1">IF(Tabla336106734822[[#This Row],[Equity]]&lt;Tabla336106734822[[#This Row],[Equity Peak]],(Tabla336106734822[[#This Row],[Equity Peak]]-Tabla336106734822[[#This Row],[Equity]])/Tabla336106734822[[#This Row],[Equity Peak]],"")</f>
        <v>2.76E-2</v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-1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0.27916666666715173</v>
      </c>
      <c r="AE38" s="210">
        <f t="shared" si="35"/>
        <v>0</v>
      </c>
      <c r="AF38" s="210">
        <f t="shared" si="36"/>
        <v>0.27916666666715173</v>
      </c>
      <c r="AG38" s="210">
        <f t="shared" si="37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19"/>
        <v>C</v>
      </c>
      <c r="E39" s="199">
        <v>44229.840277777781</v>
      </c>
      <c r="F39" s="200" t="s">
        <v>90</v>
      </c>
      <c r="G39" s="201">
        <v>6814.32</v>
      </c>
      <c r="H39" s="201">
        <v>6739.86</v>
      </c>
      <c r="I39" s="202">
        <f t="shared" si="20"/>
        <v>74.460000000000036</v>
      </c>
      <c r="J39" s="201">
        <v>7807.18</v>
      </c>
      <c r="K39" s="199">
        <v>44231.247916666667</v>
      </c>
      <c r="L39" s="201">
        <v>6760.06</v>
      </c>
      <c r="M39" s="203">
        <f t="shared" si="21"/>
        <v>-54.26</v>
      </c>
      <c r="N39" s="204">
        <f t="shared" si="22"/>
        <v>-0.73</v>
      </c>
      <c r="O39" s="205">
        <f t="shared" si="23"/>
        <v>0</v>
      </c>
      <c r="P39" s="206">
        <f t="shared" si="24"/>
        <v>0</v>
      </c>
      <c r="Q39" s="206">
        <f t="shared" si="25"/>
        <v>-0.73</v>
      </c>
      <c r="R3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98240</v>
      </c>
      <c r="T3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9" s="208">
        <f ca="1">IF(Tabla336106734822[[#This Row],[Equity]]&lt;Tabla336106734822[[#This Row],[Equity Peak]],(Tabla336106734822[[#This Row],[Equity Peak]]-Tabla336106734822[[#This Row],[Equity]])/Tabla336106734822[[#This Row],[Equity Peak]],"")</f>
        <v>1.7600000000000001E-2</v>
      </c>
      <c r="V39" s="209">
        <f t="shared" si="26"/>
        <v>0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-0.73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1.4076388888861402</v>
      </c>
      <c r="AE39" s="210">
        <f t="shared" si="35"/>
        <v>0</v>
      </c>
      <c r="AF39" s="210">
        <f t="shared" si="36"/>
        <v>1.4076388888861402</v>
      </c>
      <c r="AG39" s="210">
        <f t="shared" si="37"/>
        <v>0</v>
      </c>
    </row>
    <row r="40" spans="2:33" ht="15" customHeight="1" x14ac:dyDescent="0.3">
      <c r="B40" s="196" t="s">
        <v>5</v>
      </c>
      <c r="C40" s="197" t="s">
        <v>13</v>
      </c>
      <c r="D40" s="198" t="str">
        <f t="shared" si="19"/>
        <v>C</v>
      </c>
      <c r="E40" s="199">
        <v>44225.840277777781</v>
      </c>
      <c r="F40" s="200" t="s">
        <v>90</v>
      </c>
      <c r="G40" s="201">
        <v>6555.66</v>
      </c>
      <c r="H40" s="201">
        <v>6641.87</v>
      </c>
      <c r="I40" s="202">
        <f t="shared" si="20"/>
        <v>86.210000000000036</v>
      </c>
      <c r="J40" s="201">
        <v>5406.17</v>
      </c>
      <c r="K40" s="199">
        <v>44228.176388888889</v>
      </c>
      <c r="L40" s="201">
        <v>6641.87</v>
      </c>
      <c r="M40" s="203">
        <f t="shared" si="21"/>
        <v>-86.21</v>
      </c>
      <c r="N40" s="204">
        <f t="shared" si="22"/>
        <v>-1</v>
      </c>
      <c r="O40" s="205">
        <f t="shared" si="23"/>
        <v>0</v>
      </c>
      <c r="P40" s="206">
        <f t="shared" si="24"/>
        <v>0</v>
      </c>
      <c r="Q40" s="206">
        <f t="shared" si="25"/>
        <v>-1</v>
      </c>
      <c r="R4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4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98970</v>
      </c>
      <c r="T4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40" s="208">
        <f ca="1">IF(Tabla336106734822[[#This Row],[Equity]]&lt;Tabla336106734822[[#This Row],[Equity Peak]],(Tabla336106734822[[#This Row],[Equity Peak]]-Tabla336106734822[[#This Row],[Equity]])/Tabla336106734822[[#This Row],[Equity Peak]],"")</f>
        <v>1.03E-2</v>
      </c>
      <c r="V40" s="209">
        <f t="shared" si="26"/>
        <v>0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-1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2.336111111108039</v>
      </c>
      <c r="AE40" s="210">
        <f t="shared" si="35"/>
        <v>0</v>
      </c>
      <c r="AF40" s="210">
        <f t="shared" si="36"/>
        <v>2.336111111108039</v>
      </c>
      <c r="AG40" s="210">
        <f t="shared" si="37"/>
        <v>0</v>
      </c>
    </row>
    <row r="41" spans="2:33" ht="15" customHeight="1" x14ac:dyDescent="0.3">
      <c r="B41" s="196" t="s">
        <v>5</v>
      </c>
      <c r="C41" s="197" t="s">
        <v>15</v>
      </c>
      <c r="D41" s="198" t="str">
        <f t="shared" si="19"/>
        <v>C</v>
      </c>
      <c r="E41" s="199">
        <v>44216.201388888891</v>
      </c>
      <c r="F41" s="200" t="s">
        <v>90</v>
      </c>
      <c r="G41" s="201">
        <v>6784.3</v>
      </c>
      <c r="H41" s="201">
        <v>6749.03</v>
      </c>
      <c r="I41" s="202">
        <f t="shared" si="20"/>
        <v>35.270000000000437</v>
      </c>
      <c r="J41" s="201">
        <v>7254.59</v>
      </c>
      <c r="K41" s="199">
        <v>44218.417361111111</v>
      </c>
      <c r="L41" s="201">
        <v>6783.14</v>
      </c>
      <c r="M41" s="203">
        <f t="shared" si="21"/>
        <v>-1.1599999999999999</v>
      </c>
      <c r="N41" s="204">
        <f t="shared" si="22"/>
        <v>-0.03</v>
      </c>
      <c r="O41" s="205">
        <f t="shared" si="23"/>
        <v>0</v>
      </c>
      <c r="P41" s="206">
        <f t="shared" si="24"/>
        <v>0</v>
      </c>
      <c r="Q41" s="206">
        <f t="shared" si="25"/>
        <v>-0.03</v>
      </c>
      <c r="R4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4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99970</v>
      </c>
      <c r="T4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41" s="208">
        <f ca="1">IF(Tabla336106734822[[#This Row],[Equity]]&lt;Tabla336106734822[[#This Row],[Equity Peak]],(Tabla336106734822[[#This Row],[Equity Peak]]-Tabla336106734822[[#This Row],[Equity]])/Tabla336106734822[[#This Row],[Equity Peak]],"")</f>
        <v>2.9999999999999997E-4</v>
      </c>
      <c r="V41" s="209">
        <f t="shared" si="26"/>
        <v>0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-0.03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2.2159722222204437</v>
      </c>
      <c r="AE41" s="210">
        <f t="shared" si="35"/>
        <v>0</v>
      </c>
      <c r="AF41" s="210">
        <f t="shared" si="36"/>
        <v>2.2159722222204437</v>
      </c>
      <c r="AG41" s="210">
        <f t="shared" si="37"/>
        <v>0</v>
      </c>
    </row>
  </sheetData>
  <sheetProtection algorithmName="SHA-512" hashValue="Ls57VHMaeg2FUcCCfoXk42+HKgiKoWpTwZsIxNuAQrxClC2aivK4RKS30InTTfzXagIWhRhenfeDjnsTmXqatw==" saltValue="D2xEUb5k4AOqRy5qDFFkY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35" priority="3" operator="equal">
      <formula>"OK"</formula>
    </cfRule>
    <cfRule type="cellIs" dxfId="334" priority="4" operator="equal">
      <formula>"warning"</formula>
    </cfRule>
  </conditionalFormatting>
  <conditionalFormatting sqref="F13">
    <cfRule type="cellIs" dxfId="333" priority="1" operator="equal">
      <formula>"OK"</formula>
    </cfRule>
    <cfRule type="cellIs" dxfId="332" priority="2" operator="equal">
      <formula>"Error!!"</formula>
    </cfRule>
  </conditionalFormatting>
  <conditionalFormatting sqref="E15:H15 K15:L15">
    <cfRule type="expression" dxfId="331" priority="5">
      <formula>+$D15=#REF!</formula>
    </cfRule>
    <cfRule type="expression" dxfId="330" priority="6">
      <formula>+$D15=#REF!</formula>
    </cfRule>
  </conditionalFormatting>
  <conditionalFormatting sqref="D15 K16:L16 D16:H41 J17:L41">
    <cfRule type="expression" dxfId="329" priority="7">
      <formula>+$D15=$AG$8</formula>
    </cfRule>
    <cfRule type="expression" dxfId="32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DF92C5EE-8796-465E-8962-CDC43936CECC}">
      <formula1>$AE$4:$AE$6</formula1>
    </dataValidation>
    <dataValidation type="list" allowBlank="1" showInputMessage="1" showErrorMessage="1" promptTitle="Trade Direction" prompt="Select from List" sqref="C15:C16" xr:uid="{1DAB9098-AF19-437D-8081-0752F8F81916}">
      <formula1>$AG$4:$AG$5</formula1>
    </dataValidation>
    <dataValidation type="list" allowBlank="1" showInputMessage="1" showErrorMessage="1" promptTitle="Instrument Type" prompt="Select Type from List_x000a_" sqref="B17:B41" xr:uid="{94EDD2AE-0B4A-4397-AF38-628FFACC3DF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CD4-2ECC-4A6B-8B13-798EFE5F2AFA}">
  <sheetPr codeName="Hoja16">
    <pageSetUpPr fitToPage="1"/>
  </sheetPr>
  <dimension ref="A1:AX26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COUNTA(Tabla336106734810[Inst])</f>
        <v>10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3.53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3.53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COUNTIF(Tabla336106734810[No. of Rs],"&gt;0")</f>
        <v>3</v>
      </c>
      <c r="G7" s="24">
        <f>IFERROR((F7/$F$6),"")</f>
        <v>0.3</v>
      </c>
      <c r="H7" s="78">
        <f>IFERROR((+P13/F7),"")</f>
        <v>2.1733333333333333</v>
      </c>
      <c r="I7" s="227">
        <f>H7/H9</f>
        <v>5.0880713489409137</v>
      </c>
      <c r="J7" s="227">
        <f>AVERAGE(Tabla336106734810[No. of Rs])</f>
        <v>0.35299999999999998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COUNTIF(Tabla336106734810[No.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OFFSET(Tabla336106734810[[#Headers],[Equity]],1,0)</f>
        <v>103530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COUNTIF(Tabla336106734810[No. of Rs],"&lt;0")</f>
        <v>7</v>
      </c>
      <c r="G9" s="32">
        <f>IFERROR((F9/$F$6),"")</f>
        <v>0.7</v>
      </c>
      <c r="H9" s="79">
        <f>IFERROR((-Q13/F9),"")</f>
        <v>0.42714285714285721</v>
      </c>
      <c r="I9" s="229"/>
      <c r="J9" s="229"/>
      <c r="K9" s="149"/>
      <c r="L9" s="230" t="s">
        <v>106</v>
      </c>
      <c r="M9" s="231"/>
      <c r="N9" s="125">
        <f ca="1">MAX(Tabla336106734810[Drawdown])</f>
        <v>1.8332690081049787E-2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OFFSET(Tabla336106734810[[#Headers],[Drawdown]],1,0)</f>
        <v>7.0017264530980242E-3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COUNTIF(Tabla336106734810[Heat],"&lt;0")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IF(COUNTIFS(Tabla336106734810[O/C],"O")&lt;1,"None",COUNTIFS(Tabla336106734810[O/C],"O"))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SUM(Tabla336106734810[No. of Rs])</f>
        <v>3.53</v>
      </c>
      <c r="O13" s="42">
        <f>SUM(Tabla336106734810[Heat])</f>
        <v>0</v>
      </c>
      <c r="P13" s="43">
        <f>SUM(Tabla336106734810[[ TR WIN]])</f>
        <v>6.52</v>
      </c>
      <c r="Q13" s="43">
        <f>SUM(Tabla336106734810[[ TR LOSS]])</f>
        <v>-2.9900000000000007</v>
      </c>
      <c r="R13" s="114"/>
      <c r="S13" s="115"/>
      <c r="T13" s="115"/>
      <c r="U13" s="121"/>
      <c r="V13" s="44">
        <f>SUM(Tabla336106734810[Currency])</f>
        <v>0</v>
      </c>
      <c r="W13" s="44">
        <f>SUM(Tabla336106734810[Heat3])</f>
        <v>0</v>
      </c>
      <c r="X13" s="44">
        <f>SUM(Tabla336106734810[Commodities])</f>
        <v>0</v>
      </c>
      <c r="Y13" s="44">
        <f>SUM(Tabla336106734810[Heat4])</f>
        <v>0</v>
      </c>
      <c r="Z13" s="44">
        <f>SUM(Tabla336106734810[Index])</f>
        <v>3.53</v>
      </c>
      <c r="AA13" s="44">
        <f>SUM(Tabla336106734810[Heat5])</f>
        <v>0</v>
      </c>
      <c r="AB13" s="44">
        <f>SUM(Tabla336106734810[Cryptocurrency])</f>
        <v>0</v>
      </c>
      <c r="AC13" s="44">
        <f>SUM(Tabla336106734810[Heat6])</f>
        <v>0</v>
      </c>
      <c r="AD13" s="75">
        <f>AVERAGEIF(Tabla336106734810[Length of 
Trade],"&lt;&gt;0")</f>
        <v>18.176597222220881</v>
      </c>
      <c r="AE13" s="75">
        <f>AVERAGEIF(Tabla336106734810[Win],"&lt;&gt;0")</f>
        <v>35.96875</v>
      </c>
      <c r="AF13" s="75">
        <f>AVERAGEIF(Tabla336106734810[Loss],"&lt;&gt;0")</f>
        <v>10.551388888886972</v>
      </c>
      <c r="AG13" s="76" t="e">
        <f>AVERAGEIF(Tabla336106734810[Breakeven],"&lt;&gt;0")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13</v>
      </c>
      <c r="D17" s="198" t="str">
        <f t="shared" ref="D17:D26" si="0">IF(E17&lt;&gt;"",IF(K17&lt;&gt;"","C","O"),"")</f>
        <v>C</v>
      </c>
      <c r="E17" s="199">
        <v>44526.427083333336</v>
      </c>
      <c r="F17" s="200" t="s">
        <v>91</v>
      </c>
      <c r="G17" s="201">
        <v>15447.9</v>
      </c>
      <c r="H17" s="201">
        <v>15843.36</v>
      </c>
      <c r="I17" s="202">
        <f t="shared" ref="I17:I26" si="1">ABS(G17-H17)</f>
        <v>395.46000000000095</v>
      </c>
      <c r="J17" s="201">
        <v>13866.05</v>
      </c>
      <c r="K17" s="199">
        <v>44537.70208333333</v>
      </c>
      <c r="L17" s="201">
        <v>15737.79</v>
      </c>
      <c r="M17" s="203">
        <f t="shared" ref="M17:M26" si="2">ROUND(IF(C17="L",(L17-G17),(G17-L17)),4)</f>
        <v>-289.89</v>
      </c>
      <c r="N17" s="204">
        <f t="shared" ref="N17:N26" si="3">IFERROR(ROUND((M17/I17),2),"")</f>
        <v>-0.73</v>
      </c>
      <c r="O17" s="205">
        <f t="shared" ref="O17:O26" si="4">IF(D17="O",IF(N17&lt;0,N17,0),0)</f>
        <v>0</v>
      </c>
      <c r="P17" s="206">
        <f t="shared" ref="P17:P26" si="5">IF(N17&gt;= 0,N17,0)</f>
        <v>0</v>
      </c>
      <c r="Q17" s="206">
        <f t="shared" ref="Q17:Q26" si="6">IF(N17&lt;0,N17,0)</f>
        <v>-0.73</v>
      </c>
      <c r="R1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103530</v>
      </c>
      <c r="T1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104260</v>
      </c>
      <c r="U17" s="208">
        <f ca="1">IF(Tabla336106734810[[#This Row],[Equity]]&lt;Tabla336106734810[[#This Row],[Equity Peak]],(Tabla336106734810[[#This Row],[Equity Peak]]-Tabla336106734810[[#This Row],[Equity]])/Tabla336106734810[[#This Row],[Equity Peak]],"")</f>
        <v>7.0017264530980242E-3</v>
      </c>
      <c r="V17" s="209">
        <f t="shared" ref="V17:V26" si="7">IF(B17="FX",N17,0)</f>
        <v>0</v>
      </c>
      <c r="W17" s="209">
        <f t="shared" ref="W17:W26" si="8">IF(D17="O",IF(V17&lt;0,V17,0),0)</f>
        <v>0</v>
      </c>
      <c r="X17" s="209">
        <f t="shared" ref="X17:X26" si="9">IF(B17="COM",N17,0)</f>
        <v>0</v>
      </c>
      <c r="Y17" s="209">
        <f t="shared" ref="Y17:Y26" si="10">IF(D17="O",IF(X17&lt;0,X17,0),0)</f>
        <v>0</v>
      </c>
      <c r="Z17" s="209">
        <f t="shared" ref="Z17:Z26" si="11">IF(B17="IND",N17,0)</f>
        <v>-0.73</v>
      </c>
      <c r="AA17" s="205">
        <f t="shared" ref="AA17:AA26" si="12">IF(D17="O",IF(Z17&lt;0,Z17,0),0)</f>
        <v>0</v>
      </c>
      <c r="AB17" s="209">
        <f t="shared" ref="AB17:AB26" si="13">IF(B17="CRYPTO",N17,0)</f>
        <v>0</v>
      </c>
      <c r="AC17" s="205">
        <f t="shared" ref="AC17:AC26" si="14">IF(D17="O",IF(AB17&lt;0,AB17,0),0)</f>
        <v>0</v>
      </c>
      <c r="AD17" s="210">
        <f t="shared" ref="AD17:AD26" si="15">IF(K17&lt;&gt;"",K17-E17,0)</f>
        <v>11.274999999994179</v>
      </c>
      <c r="AE17" s="210">
        <f t="shared" ref="AE17:AE26" si="16">IF(N17&gt;0,AD17,0)</f>
        <v>0</v>
      </c>
      <c r="AF17" s="210">
        <f t="shared" ref="AF17:AF26" si="17">IF(N17&lt;0,AD17,0)</f>
        <v>11.274999999994179</v>
      </c>
      <c r="AG17" s="210">
        <f t="shared" ref="AG17:AG26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44487.46875</v>
      </c>
      <c r="F18" s="200" t="s">
        <v>91</v>
      </c>
      <c r="G18" s="201">
        <v>15529.65</v>
      </c>
      <c r="H18" s="201">
        <v>15329.13</v>
      </c>
      <c r="I18" s="202">
        <f t="shared" si="1"/>
        <v>200.52000000000044</v>
      </c>
      <c r="J18" s="201">
        <v>16331.72</v>
      </c>
      <c r="K18" s="199">
        <v>44523.379861111112</v>
      </c>
      <c r="L18" s="201">
        <v>16013.2</v>
      </c>
      <c r="M18" s="203">
        <f t="shared" si="2"/>
        <v>483.55</v>
      </c>
      <c r="N18" s="204">
        <f t="shared" si="3"/>
        <v>2.41</v>
      </c>
      <c r="O18" s="205">
        <f t="shared" si="4"/>
        <v>0</v>
      </c>
      <c r="P18" s="206">
        <f t="shared" si="5"/>
        <v>2.41</v>
      </c>
      <c r="Q18" s="206">
        <f t="shared" si="6"/>
        <v>0</v>
      </c>
      <c r="R1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104260</v>
      </c>
      <c r="T1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104260</v>
      </c>
      <c r="U18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2.41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35.911111111112405</v>
      </c>
      <c r="AE18" s="210">
        <f t="shared" si="16"/>
        <v>35.911111111112405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44406.802083333336</v>
      </c>
      <c r="F19" s="200" t="s">
        <v>91</v>
      </c>
      <c r="G19" s="201">
        <v>15637.18</v>
      </c>
      <c r="H19" s="201">
        <v>15360.5</v>
      </c>
      <c r="I19" s="202">
        <f t="shared" si="1"/>
        <v>276.68000000000029</v>
      </c>
      <c r="J19" s="201">
        <v>16743.88</v>
      </c>
      <c r="K19" s="199">
        <v>44427.476388888892</v>
      </c>
      <c r="L19" s="201">
        <v>15666.35</v>
      </c>
      <c r="M19" s="203">
        <f t="shared" si="2"/>
        <v>29.17</v>
      </c>
      <c r="N19" s="204">
        <f t="shared" si="3"/>
        <v>0.11</v>
      </c>
      <c r="O19" s="205">
        <f t="shared" si="4"/>
        <v>0</v>
      </c>
      <c r="P19" s="206">
        <f t="shared" si="5"/>
        <v>0.11</v>
      </c>
      <c r="Q19" s="206">
        <f t="shared" si="6"/>
        <v>0</v>
      </c>
      <c r="R1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101850</v>
      </c>
      <c r="T1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103640</v>
      </c>
      <c r="U19" s="208">
        <f ca="1">IF(Tabla336106734810[[#This Row],[Equity]]&lt;Tabla336106734810[[#This Row],[Equity Peak]],(Tabla336106734810[[#This Row],[Equity Peak]]-Tabla336106734810[[#This Row],[Equity]])/Tabla336106734810[[#This Row],[Equity Peak]],"")</f>
        <v>1.7271323813199537E-2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0.11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20.674305555556202</v>
      </c>
      <c r="AE19" s="210">
        <f t="shared" si="16"/>
        <v>20.674305555556202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44396.635416666664</v>
      </c>
      <c r="F20" s="200" t="s">
        <v>91</v>
      </c>
      <c r="G20" s="201">
        <v>15121.35</v>
      </c>
      <c r="H20" s="201">
        <v>15477.36</v>
      </c>
      <c r="I20" s="202">
        <f t="shared" si="1"/>
        <v>356.01000000000022</v>
      </c>
      <c r="J20" s="201">
        <v>13697.33</v>
      </c>
      <c r="K20" s="199">
        <v>44399.370833333334</v>
      </c>
      <c r="L20" s="201">
        <v>15477.36</v>
      </c>
      <c r="M20" s="203">
        <f t="shared" si="2"/>
        <v>-356.01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101740</v>
      </c>
      <c r="T2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103640</v>
      </c>
      <c r="U20" s="208">
        <f ca="1">IF(Tabla336106734810[[#This Row],[Equity]]&lt;Tabla336106734810[[#This Row],[Equity Peak]],(Tabla336106734810[[#This Row],[Equity Peak]]-Tabla336106734810[[#This Row],[Equity]])/Tabla336106734810[[#This Row],[Equity Peak]],"")</f>
        <v>1.8332690081049787E-2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2.7354166666700621</v>
      </c>
      <c r="AE20" s="210">
        <f t="shared" si="16"/>
        <v>0</v>
      </c>
      <c r="AF20" s="210">
        <f t="shared" si="17"/>
        <v>2.7354166666700621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44389.302083333336</v>
      </c>
      <c r="F21" s="200" t="s">
        <v>91</v>
      </c>
      <c r="G21" s="201">
        <v>15649.46</v>
      </c>
      <c r="H21" s="201">
        <v>15304.72</v>
      </c>
      <c r="I21" s="202">
        <f t="shared" si="1"/>
        <v>344.73999999999978</v>
      </c>
      <c r="J21" s="201">
        <v>17028.41</v>
      </c>
      <c r="K21" s="199">
        <v>44393.713194444441</v>
      </c>
      <c r="L21" s="201">
        <v>15541.06</v>
      </c>
      <c r="M21" s="203">
        <f t="shared" si="2"/>
        <v>-108.4</v>
      </c>
      <c r="N21" s="204">
        <f t="shared" si="3"/>
        <v>-0.31</v>
      </c>
      <c r="O21" s="205">
        <f t="shared" si="4"/>
        <v>0</v>
      </c>
      <c r="P21" s="206">
        <f t="shared" si="5"/>
        <v>0</v>
      </c>
      <c r="Q21" s="206">
        <f t="shared" si="6"/>
        <v>-0.31</v>
      </c>
      <c r="R2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102740</v>
      </c>
      <c r="T2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103640</v>
      </c>
      <c r="U21" s="208">
        <f ca="1">IF(Tabla336106734810[[#This Row],[Equity]]&lt;Tabla336106734810[[#This Row],[Equity Peak]],(Tabla336106734810[[#This Row],[Equity Peak]]-Tabla336106734810[[#This Row],[Equity]])/Tabla336106734810[[#This Row],[Equity Peak]],"")</f>
        <v>8.6839058278656896E-3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-0.31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4.4111111111051287</v>
      </c>
      <c r="AE21" s="210">
        <f t="shared" si="16"/>
        <v>0</v>
      </c>
      <c r="AF21" s="210">
        <f t="shared" si="17"/>
        <v>4.4111111111051287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44340.802083333336</v>
      </c>
      <c r="F22" s="200" t="s">
        <v>91</v>
      </c>
      <c r="G22" s="201">
        <v>15554.2</v>
      </c>
      <c r="H22" s="201">
        <v>15292.8</v>
      </c>
      <c r="I22" s="202">
        <f t="shared" si="1"/>
        <v>261.40000000000146</v>
      </c>
      <c r="J22" s="201">
        <v>16599.78</v>
      </c>
      <c r="K22" s="199">
        <v>44365.635416666664</v>
      </c>
      <c r="L22" s="201">
        <v>15513.53</v>
      </c>
      <c r="M22" s="203">
        <f t="shared" si="2"/>
        <v>-40.67</v>
      </c>
      <c r="N22" s="204">
        <f t="shared" si="3"/>
        <v>-0.16</v>
      </c>
      <c r="O22" s="205">
        <f t="shared" si="4"/>
        <v>0</v>
      </c>
      <c r="P22" s="206">
        <f t="shared" si="5"/>
        <v>0</v>
      </c>
      <c r="Q22" s="206">
        <f t="shared" si="6"/>
        <v>-0.16</v>
      </c>
      <c r="R2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103050</v>
      </c>
      <c r="T2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103640</v>
      </c>
      <c r="U22" s="208">
        <f ca="1">IF(Tabla336106734810[[#This Row],[Equity]]&lt;Tabla336106734810[[#This Row],[Equity Peak]],(Tabla336106734810[[#This Row],[Equity Peak]]-Tabla336106734810[[#This Row],[Equity]])/Tabla336106734810[[#This Row],[Equity Peak]],"")</f>
        <v>5.6927827093786179E-3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-0.16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24.833333333328483</v>
      </c>
      <c r="AE22" s="210">
        <f t="shared" si="16"/>
        <v>0</v>
      </c>
      <c r="AF22" s="210">
        <f t="shared" si="17"/>
        <v>24.833333333328483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44330.135416666664</v>
      </c>
      <c r="F23" s="200" t="s">
        <v>91</v>
      </c>
      <c r="G23" s="201">
        <v>15261.01</v>
      </c>
      <c r="H23" s="201">
        <v>14745.53</v>
      </c>
      <c r="I23" s="202">
        <f t="shared" si="1"/>
        <v>515.47999999999956</v>
      </c>
      <c r="J23" s="201">
        <v>17322.91</v>
      </c>
      <c r="K23" s="199">
        <v>44335.666666666664</v>
      </c>
      <c r="L23" s="201">
        <v>15039.42</v>
      </c>
      <c r="M23" s="203">
        <f t="shared" si="2"/>
        <v>-221.59</v>
      </c>
      <c r="N23" s="204">
        <f t="shared" si="3"/>
        <v>-0.43</v>
      </c>
      <c r="O23" s="205">
        <f t="shared" si="4"/>
        <v>0</v>
      </c>
      <c r="P23" s="206">
        <f t="shared" si="5"/>
        <v>0</v>
      </c>
      <c r="Q23" s="206">
        <f t="shared" si="6"/>
        <v>-0.43</v>
      </c>
      <c r="R2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103210</v>
      </c>
      <c r="T2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103640</v>
      </c>
      <c r="U23" s="208">
        <f ca="1">IF(Tabla336106734810[[#This Row],[Equity]]&lt;Tabla336106734810[[#This Row],[Equity Peak]],(Tabla336106734810[[#This Row],[Equity Peak]]-Tabla336106734810[[#This Row],[Equity]])/Tabla336106734810[[#This Row],[Equity Peak]],"")</f>
        <v>4.1489772288691622E-3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-0.43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5.53125</v>
      </c>
      <c r="AE23" s="210">
        <f t="shared" si="16"/>
        <v>0</v>
      </c>
      <c r="AF23" s="210">
        <f t="shared" si="17"/>
        <v>5.53125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44251.59375</v>
      </c>
      <c r="F24" s="200" t="s">
        <v>91</v>
      </c>
      <c r="G24" s="201">
        <v>13983.46</v>
      </c>
      <c r="H24" s="201">
        <v>13602.78</v>
      </c>
      <c r="I24" s="202">
        <f t="shared" si="1"/>
        <v>380.67999999999847</v>
      </c>
      <c r="J24" s="201">
        <v>15506.16</v>
      </c>
      <c r="K24" s="199">
        <v>44302.914583333331</v>
      </c>
      <c r="L24" s="201">
        <v>15506.16</v>
      </c>
      <c r="M24" s="203">
        <f t="shared" si="2"/>
        <v>1522.7</v>
      </c>
      <c r="N24" s="204">
        <f t="shared" si="3"/>
        <v>4</v>
      </c>
      <c r="O24" s="205">
        <f t="shared" si="4"/>
        <v>0</v>
      </c>
      <c r="P24" s="206">
        <f t="shared" si="5"/>
        <v>4</v>
      </c>
      <c r="Q24" s="206">
        <f t="shared" si="6"/>
        <v>0</v>
      </c>
      <c r="R2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103640</v>
      </c>
      <c r="T2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103640</v>
      </c>
      <c r="U24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4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51.320833333331393</v>
      </c>
      <c r="AE24" s="210">
        <f t="shared" si="16"/>
        <v>51.320833333331393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44230.833333333336</v>
      </c>
      <c r="F25" s="200" t="s">
        <v>91</v>
      </c>
      <c r="G25" s="201">
        <v>13953.79</v>
      </c>
      <c r="H25" s="201">
        <v>13685.31</v>
      </c>
      <c r="I25" s="202">
        <f t="shared" si="1"/>
        <v>268.48000000000138</v>
      </c>
      <c r="J25" s="201">
        <v>15027.71</v>
      </c>
      <c r="K25" s="199">
        <v>44237.734027777777</v>
      </c>
      <c r="L25" s="201">
        <v>13900.2</v>
      </c>
      <c r="M25" s="203">
        <f t="shared" si="2"/>
        <v>-53.59</v>
      </c>
      <c r="N25" s="204">
        <f t="shared" si="3"/>
        <v>-0.2</v>
      </c>
      <c r="O25" s="205">
        <f t="shared" si="4"/>
        <v>0</v>
      </c>
      <c r="P25" s="206">
        <f t="shared" si="5"/>
        <v>0</v>
      </c>
      <c r="Q25" s="206">
        <f t="shared" si="6"/>
        <v>-0.2</v>
      </c>
      <c r="R2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2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99640</v>
      </c>
      <c r="T2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100000</v>
      </c>
      <c r="U25" s="208">
        <f ca="1">IF(Tabla336106734810[[#This Row],[Equity]]&lt;Tabla336106734810[[#This Row],[Equity Peak]],(Tabla336106734810[[#This Row],[Equity Peak]]-Tabla336106734810[[#This Row],[Equity]])/Tabla336106734810[[#This Row],[Equity Peak]],"")</f>
        <v>3.5999999999999999E-3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-0.2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6.9006944444408873</v>
      </c>
      <c r="AE25" s="210">
        <f t="shared" si="16"/>
        <v>0</v>
      </c>
      <c r="AF25" s="210">
        <f t="shared" si="17"/>
        <v>6.9006944444408873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44193.541666666664</v>
      </c>
      <c r="F26" s="200" t="s">
        <v>91</v>
      </c>
      <c r="G26" s="201">
        <v>13798.25</v>
      </c>
      <c r="H26" s="201">
        <v>13480.94</v>
      </c>
      <c r="I26" s="202">
        <f t="shared" si="1"/>
        <v>317.30999999999949</v>
      </c>
      <c r="J26" s="201">
        <v>15067.47</v>
      </c>
      <c r="K26" s="199">
        <v>44211.714583333334</v>
      </c>
      <c r="L26" s="201">
        <v>13748.75</v>
      </c>
      <c r="M26" s="203">
        <f t="shared" si="2"/>
        <v>-49.5</v>
      </c>
      <c r="N26" s="204">
        <f t="shared" si="3"/>
        <v>-0.16</v>
      </c>
      <c r="O26" s="205">
        <f t="shared" si="4"/>
        <v>0</v>
      </c>
      <c r="P26" s="206">
        <f t="shared" si="5"/>
        <v>0</v>
      </c>
      <c r="Q26" s="206">
        <f t="shared" si="6"/>
        <v>-0.16</v>
      </c>
      <c r="R2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2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99840</v>
      </c>
      <c r="T2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100000</v>
      </c>
      <c r="U26" s="208">
        <f ca="1">IF(Tabla336106734810[[#This Row],[Equity]]&lt;Tabla336106734810[[#This Row],[Equity Peak]],(Tabla336106734810[[#This Row],[Equity Peak]]-Tabla336106734810[[#This Row],[Equity]])/Tabla336106734810[[#This Row],[Equity Peak]],"")</f>
        <v>1.6000000000000001E-3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-0.16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18.172916666670062</v>
      </c>
      <c r="AE26" s="210">
        <f t="shared" si="16"/>
        <v>0</v>
      </c>
      <c r="AF26" s="210">
        <f t="shared" si="17"/>
        <v>18.172916666670062</v>
      </c>
      <c r="AG26" s="210">
        <f t="shared" si="18"/>
        <v>0</v>
      </c>
    </row>
  </sheetData>
  <sheetProtection algorithmName="SHA-512" hashValue="fQODR6rFbi2Rf18DOWtZqtFA9MnhljJm21zANYCM9RWw1B1gGD2aqjwLYP24sJGf38rmPdiHzMo6lTLyslRslQ==" saltValue="ooainkK/BpYEBGiYBibnl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93" priority="3" operator="equal">
      <formula>"OK"</formula>
    </cfRule>
    <cfRule type="cellIs" dxfId="292" priority="4" operator="equal">
      <formula>"warning"</formula>
    </cfRule>
  </conditionalFormatting>
  <conditionalFormatting sqref="F13">
    <cfRule type="cellIs" dxfId="291" priority="1" operator="equal">
      <formula>"OK"</formula>
    </cfRule>
    <cfRule type="cellIs" dxfId="290" priority="2" operator="equal">
      <formula>"Error!!"</formula>
    </cfRule>
  </conditionalFormatting>
  <conditionalFormatting sqref="E15:H15 K15:L15">
    <cfRule type="expression" dxfId="289" priority="5">
      <formula>+$D15=#REF!</formula>
    </cfRule>
    <cfRule type="expression" dxfId="288" priority="6">
      <formula>+$D15=#REF!</formula>
    </cfRule>
  </conditionalFormatting>
  <conditionalFormatting sqref="D15 K16:L16 D16:H26 J17:L26">
    <cfRule type="expression" dxfId="287" priority="7">
      <formula>+$D15=$AG$8</formula>
    </cfRule>
    <cfRule type="expression" dxfId="28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047C651-5DC2-4B2C-BE2E-122315CC2EA4}">
      <formula1>$AE$4:$AE$6</formula1>
    </dataValidation>
    <dataValidation type="list" allowBlank="1" showInputMessage="1" showErrorMessage="1" promptTitle="Trade Direction" prompt="Select from List" sqref="C15:C16" xr:uid="{01F994FC-B8A6-4941-864F-659B53D6DEA5}">
      <formula1>$AG$4:$AG$5</formula1>
    </dataValidation>
    <dataValidation type="list" allowBlank="1" showInputMessage="1" showErrorMessage="1" promptTitle="Instrument Type" prompt="Select Type from List_x000a_" sqref="B17:B26" xr:uid="{EFDCDC49-89F5-4C18-BD21-68F0A332277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565-9CC8-4560-8B30-0F11881B1080}">
  <sheetPr codeName="Hoja17">
    <pageSetUpPr fitToPage="1"/>
  </sheetPr>
  <dimension ref="A1:AX31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COUNTA(Tabla336106734811[Inst])</f>
        <v>15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4.67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4.67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COUNTIF(Tabla336106734811[No. of Rs],"&gt;0")</f>
        <v>8</v>
      </c>
      <c r="G7" s="24">
        <f>IFERROR((F7/$F$6),"")</f>
        <v>0.53333333333333333</v>
      </c>
      <c r="H7" s="78">
        <f>IFERROR((+P13/F7),"")</f>
        <v>1.3687500000000001</v>
      </c>
      <c r="I7" s="227">
        <f>H7/H9</f>
        <v>1.5256767515923568</v>
      </c>
      <c r="J7" s="227">
        <f>AVERAGE(Tabla336106734811[No. of Rs])</f>
        <v>0.31133333333333335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COUNTIF(Tabla336106734811[No.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OFFSET(Tabla336106734811[[#Headers],[Equity]],1,0)</f>
        <v>104670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COUNTIF(Tabla336106734811[No. of Rs],"&lt;0")</f>
        <v>7</v>
      </c>
      <c r="G9" s="32">
        <f>IFERROR((F9/$F$6),"")</f>
        <v>0.46666666666666667</v>
      </c>
      <c r="H9" s="79">
        <f>IFERROR((-Q13/F9),"")</f>
        <v>0.89714285714285713</v>
      </c>
      <c r="I9" s="229"/>
      <c r="J9" s="229"/>
      <c r="K9" s="149"/>
      <c r="L9" s="230" t="s">
        <v>106</v>
      </c>
      <c r="M9" s="231"/>
      <c r="N9" s="125">
        <f ca="1">MAX(Tabla336106734811[Drawdown])</f>
        <v>2.8084628346751545E-2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OFFSET(Tabla336106734811[[#Headers],[Drawdown]],1,0)</f>
        <v>2.0127316981838606E-2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IF(COUNTIFS(Tabla336106734811[O/C],"O")&lt;1,"None",COUNTIFS(Tabla336106734811[O/C],"O"))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SUM(Tabla336106734811[No. of Rs])</f>
        <v>4.67</v>
      </c>
      <c r="O13" s="42">
        <f>SUM(Tabla336106734811[Heat])</f>
        <v>0</v>
      </c>
      <c r="P13" s="43">
        <f>SUM(Tabla336106734811[[ TR WIN]])</f>
        <v>10.950000000000001</v>
      </c>
      <c r="Q13" s="43">
        <f>SUM(Tabla336106734811[[ TR LOSS]])</f>
        <v>-6.28</v>
      </c>
      <c r="R13" s="114"/>
      <c r="S13" s="115"/>
      <c r="T13" s="115"/>
      <c r="U13" s="121"/>
      <c r="V13" s="44">
        <f>SUM(Tabla336106734811[Currency])</f>
        <v>0</v>
      </c>
      <c r="W13" s="44">
        <f>SUM(Tabla336106734811[Heat3])</f>
        <v>0</v>
      </c>
      <c r="X13" s="44">
        <f>SUM(Tabla336106734811[Commodities])</f>
        <v>0</v>
      </c>
      <c r="Y13" s="44">
        <f>SUM(Tabla336106734811[Heat4])</f>
        <v>0</v>
      </c>
      <c r="Z13" s="44">
        <f>SUM(Tabla336106734811[Index])</f>
        <v>4.67</v>
      </c>
      <c r="AA13" s="44">
        <f>SUM(Tabla336106734811[Heat5])</f>
        <v>0</v>
      </c>
      <c r="AB13" s="44">
        <f>SUM(Tabla336106734811[Cryptocurrency])</f>
        <v>0</v>
      </c>
      <c r="AC13" s="44">
        <f>SUM(Tabla336106734811[Heat6])</f>
        <v>0</v>
      </c>
      <c r="AD13" s="75">
        <f>AVERAGEIF(Tabla336106734811[Length of 
Trade],"&lt;&gt;0")</f>
        <v>9.2311111111106587</v>
      </c>
      <c r="AE13" s="75">
        <f>AVERAGEIF(Tabla336106734811[Win],"&lt;&gt;0")</f>
        <v>11.987413194445253</v>
      </c>
      <c r="AF13" s="75">
        <f>AVERAGEIF(Tabla336106734811[Loss],"&lt;&gt;0")</f>
        <v>6.0810515872996929</v>
      </c>
      <c r="AG13" s="76" t="e">
        <f>AVERAGEIF(Tabla336106734811[Breakeven],"&lt;&gt;0")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31" si="0">IF(E17&lt;&gt;"",IF(K17&lt;&gt;"","C","O"),"")</f>
        <v>C</v>
      </c>
      <c r="E17" s="199">
        <v>44553.208333333336</v>
      </c>
      <c r="F17" s="200" t="s">
        <v>92</v>
      </c>
      <c r="G17" s="201">
        <v>16183.34</v>
      </c>
      <c r="H17" s="201">
        <v>15876.31</v>
      </c>
      <c r="I17" s="202">
        <f t="shared" ref="I17:I31" si="1">ABS(G17-H17)</f>
        <v>307.03000000000065</v>
      </c>
      <c r="J17" s="201">
        <v>18230.23</v>
      </c>
      <c r="K17" s="199">
        <v>44559.717361111114</v>
      </c>
      <c r="L17" s="201">
        <v>16444.84</v>
      </c>
      <c r="M17" s="203">
        <f t="shared" ref="M17:M31" si="2">ROUND(IF(C17="L",(L17-G17),(G17-L17)),4)</f>
        <v>261.5</v>
      </c>
      <c r="N17" s="204">
        <f t="shared" ref="N17:N31" si="3">IFERROR(ROUND((M17/I17),2),"")</f>
        <v>0.85</v>
      </c>
      <c r="O17" s="205">
        <f t="shared" ref="O17:O31" si="4">IF(D17="O",IF(N17&lt;0,N17,0),0)</f>
        <v>0</v>
      </c>
      <c r="P17" s="206">
        <f t="shared" ref="P17:P31" si="5">IF(N17&gt;= 0,N17,0)</f>
        <v>0.85</v>
      </c>
      <c r="Q17" s="206">
        <f t="shared" ref="Q17:Q31" si="6">IF(N17&lt;0,N17,0)</f>
        <v>0</v>
      </c>
      <c r="R1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104670</v>
      </c>
      <c r="T1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106820</v>
      </c>
      <c r="U17" s="208">
        <f ca="1">IF(Tabla336106734811[[#This Row],[Equity]]&lt;Tabla336106734811[[#This Row],[Equity Peak]],(Tabla336106734811[[#This Row],[Equity Peak]]-Tabla336106734811[[#This Row],[Equity]])/Tabla336106734811[[#This Row],[Equity Peak]],"")</f>
        <v>2.0127316981838606E-2</v>
      </c>
      <c r="V17" s="209">
        <f t="shared" ref="V17:V31" si="7">IF(B17="FX",N17,0)</f>
        <v>0</v>
      </c>
      <c r="W17" s="209">
        <f t="shared" ref="W17:W31" si="8">IF(D17="O",IF(V17&lt;0,V17,0),0)</f>
        <v>0</v>
      </c>
      <c r="X17" s="209">
        <f t="shared" ref="X17:X31" si="9">IF(B17="COM",N17,0)</f>
        <v>0</v>
      </c>
      <c r="Y17" s="209">
        <f t="shared" ref="Y17:Y31" si="10">IF(D17="O",IF(X17&lt;0,X17,0),0)</f>
        <v>0</v>
      </c>
      <c r="Z17" s="209">
        <f t="shared" ref="Z17:Z31" si="11">IF(B17="IND",N17,0)</f>
        <v>0.85</v>
      </c>
      <c r="AA17" s="205">
        <f t="shared" ref="AA17:AA31" si="12">IF(D17="O",IF(Z17&lt;0,Z17,0),0)</f>
        <v>0</v>
      </c>
      <c r="AB17" s="209">
        <f t="shared" ref="AB17:AB31" si="13">IF(B17="CRYPTO",N17,0)</f>
        <v>0</v>
      </c>
      <c r="AC17" s="205">
        <f t="shared" ref="AC17:AC31" si="14">IF(D17="O",IF(AB17&lt;0,AB17,0),0)</f>
        <v>0</v>
      </c>
      <c r="AD17" s="210">
        <f t="shared" ref="AD17:AD31" si="15">IF(K17&lt;&gt;"",K17-E17,0)</f>
        <v>6.5090277777781012</v>
      </c>
      <c r="AE17" s="210">
        <f t="shared" ref="AE17:AE31" si="16">IF(N17&gt;0,AD17,0)</f>
        <v>6.5090277777781012</v>
      </c>
      <c r="AF17" s="210">
        <f t="shared" ref="AF17:AF31" si="17">IF(N17&lt;0,AD17,0)</f>
        <v>0</v>
      </c>
      <c r="AG17" s="210">
        <f t="shared" ref="AG17:AG31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44546.541666666664</v>
      </c>
      <c r="F18" s="200" t="s">
        <v>92</v>
      </c>
      <c r="G18" s="201">
        <v>16415.080000000002</v>
      </c>
      <c r="H18" s="201">
        <v>16122.63</v>
      </c>
      <c r="I18" s="202">
        <f t="shared" si="1"/>
        <v>292.45000000000255</v>
      </c>
      <c r="J18" s="201">
        <v>18364.73</v>
      </c>
      <c r="K18" s="199">
        <v>44546.710416666669</v>
      </c>
      <c r="L18" s="201">
        <v>16122.63</v>
      </c>
      <c r="M18" s="203">
        <f t="shared" si="2"/>
        <v>-292.45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103820</v>
      </c>
      <c r="T1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106820</v>
      </c>
      <c r="U18" s="208">
        <f ca="1">IF(Tabla336106734811[[#This Row],[Equity]]&lt;Tabla336106734811[[#This Row],[Equity Peak]],(Tabla336106734811[[#This Row],[Equity Peak]]-Tabla336106734811[[#This Row],[Equity]])/Tabla336106734811[[#This Row],[Equity Peak]],"")</f>
        <v>2.8084628346751545E-2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0.16875000000436557</v>
      </c>
      <c r="AE18" s="210">
        <f t="shared" si="16"/>
        <v>0</v>
      </c>
      <c r="AF18" s="210">
        <f t="shared" si="17"/>
        <v>0.16875000000436557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44538.208333333336</v>
      </c>
      <c r="F19" s="200" t="s">
        <v>92</v>
      </c>
      <c r="G19" s="201">
        <v>16403.93</v>
      </c>
      <c r="H19" s="201">
        <v>16130.12</v>
      </c>
      <c r="I19" s="202">
        <f t="shared" si="1"/>
        <v>273.80999999999949</v>
      </c>
      <c r="J19" s="201">
        <v>18229.330000000002</v>
      </c>
      <c r="K19" s="199">
        <v>44539.963194444441</v>
      </c>
      <c r="L19" s="201">
        <v>16130.12</v>
      </c>
      <c r="M19" s="203">
        <f t="shared" si="2"/>
        <v>-273.81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104820</v>
      </c>
      <c r="T1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106820</v>
      </c>
      <c r="U19" s="208">
        <f ca="1">IF(Tabla336106734811[[#This Row],[Equity]]&lt;Tabla336106734811[[#This Row],[Equity Peak]],(Tabla336106734811[[#This Row],[Equity Peak]]-Tabla336106734811[[#This Row],[Equity]])/Tabla336106734811[[#This Row],[Equity Peak]],"")</f>
        <v>1.872308556450103E-2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-1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1.7548611111051287</v>
      </c>
      <c r="AE19" s="210">
        <f t="shared" si="16"/>
        <v>0</v>
      </c>
      <c r="AF19" s="210">
        <f t="shared" si="17"/>
        <v>1.7548611111051287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44529.875</v>
      </c>
      <c r="F20" s="200" t="s">
        <v>92</v>
      </c>
      <c r="G20" s="201">
        <v>16415.47</v>
      </c>
      <c r="H20" s="201">
        <v>16170.77</v>
      </c>
      <c r="I20" s="202">
        <f t="shared" si="1"/>
        <v>244.70000000000073</v>
      </c>
      <c r="J20" s="201">
        <v>18046.810000000001</v>
      </c>
      <c r="K20" s="199">
        <v>44530.748611111114</v>
      </c>
      <c r="L20" s="201">
        <v>16170.77</v>
      </c>
      <c r="M20" s="203">
        <f t="shared" si="2"/>
        <v>-244.7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105820</v>
      </c>
      <c r="T2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106820</v>
      </c>
      <c r="U20" s="208">
        <f ca="1">IF(Tabla336106734811[[#This Row],[Equity]]&lt;Tabla336106734811[[#This Row],[Equity Peak]],(Tabla336106734811[[#This Row],[Equity Peak]]-Tabla336106734811[[#This Row],[Equity]])/Tabla336106734811[[#This Row],[Equity Peak]],"")</f>
        <v>9.3615427822505148E-3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0.87361111111385981</v>
      </c>
      <c r="AE20" s="210">
        <f t="shared" si="16"/>
        <v>0</v>
      </c>
      <c r="AF20" s="210">
        <f t="shared" si="17"/>
        <v>0.87361111111385981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44483.875</v>
      </c>
      <c r="F21" s="200" t="s">
        <v>92</v>
      </c>
      <c r="G21" s="201">
        <v>15042.77</v>
      </c>
      <c r="H21" s="201">
        <v>14813.45</v>
      </c>
      <c r="I21" s="202">
        <f t="shared" si="1"/>
        <v>229.31999999999971</v>
      </c>
      <c r="J21" s="201">
        <v>16571.599999999999</v>
      </c>
      <c r="K21" s="199">
        <v>44491.783333333333</v>
      </c>
      <c r="L21" s="201">
        <v>15287.97</v>
      </c>
      <c r="M21" s="203">
        <f t="shared" si="2"/>
        <v>245.2</v>
      </c>
      <c r="N21" s="204">
        <f t="shared" si="3"/>
        <v>1.07</v>
      </c>
      <c r="O21" s="205">
        <f t="shared" si="4"/>
        <v>0</v>
      </c>
      <c r="P21" s="206">
        <f t="shared" si="5"/>
        <v>1.07</v>
      </c>
      <c r="Q21" s="206">
        <f t="shared" si="6"/>
        <v>0</v>
      </c>
      <c r="R2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106820</v>
      </c>
      <c r="T2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106820</v>
      </c>
      <c r="U21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1.07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7.9083333333328483</v>
      </c>
      <c r="AE21" s="210">
        <f t="shared" si="16"/>
        <v>7.9083333333328483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44431.208333333336</v>
      </c>
      <c r="F22" s="200" t="s">
        <v>92</v>
      </c>
      <c r="G22" s="201">
        <v>15141.18</v>
      </c>
      <c r="H22" s="201">
        <v>14940.58</v>
      </c>
      <c r="I22" s="202">
        <f t="shared" si="1"/>
        <v>200.60000000000036</v>
      </c>
      <c r="J22" s="201">
        <v>16478.53</v>
      </c>
      <c r="K22" s="199">
        <v>44439.70416666667</v>
      </c>
      <c r="L22" s="201">
        <v>15531.64</v>
      </c>
      <c r="M22" s="203">
        <f t="shared" si="2"/>
        <v>390.46</v>
      </c>
      <c r="N22" s="204">
        <f t="shared" si="3"/>
        <v>1.95</v>
      </c>
      <c r="O22" s="205">
        <f t="shared" si="4"/>
        <v>0</v>
      </c>
      <c r="P22" s="206">
        <f t="shared" si="5"/>
        <v>1.95</v>
      </c>
      <c r="Q22" s="206">
        <f t="shared" si="6"/>
        <v>0</v>
      </c>
      <c r="R2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105750</v>
      </c>
      <c r="T2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105750</v>
      </c>
      <c r="U22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1.95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8.4958333333343035</v>
      </c>
      <c r="AE22" s="210">
        <f t="shared" si="16"/>
        <v>8.4958333333343035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44413.875</v>
      </c>
      <c r="F23" s="200" t="s">
        <v>92</v>
      </c>
      <c r="G23" s="201">
        <v>15165.84</v>
      </c>
      <c r="H23" s="201">
        <v>14944.16</v>
      </c>
      <c r="I23" s="202">
        <f t="shared" si="1"/>
        <v>221.68000000000029</v>
      </c>
      <c r="J23" s="201">
        <v>16643.689999999999</v>
      </c>
      <c r="K23" s="199">
        <v>44424.734027777777</v>
      </c>
      <c r="L23" s="201">
        <v>14944.16</v>
      </c>
      <c r="M23" s="203">
        <f t="shared" si="2"/>
        <v>-221.68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103800</v>
      </c>
      <c r="T2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104800</v>
      </c>
      <c r="U23" s="208">
        <f ca="1">IF(Tabla336106734811[[#This Row],[Equity]]&lt;Tabla336106734811[[#This Row],[Equity Peak]],(Tabla336106734811[[#This Row],[Equity Peak]]-Tabla336106734811[[#This Row],[Equity]])/Tabla336106734811[[#This Row],[Equity Peak]],"")</f>
        <v>9.5419847328244278E-3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10.859027777776646</v>
      </c>
      <c r="AE23" s="210">
        <f t="shared" si="16"/>
        <v>0</v>
      </c>
      <c r="AF23" s="210">
        <f t="shared" si="17"/>
        <v>10.859027777776646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44398.541666666664</v>
      </c>
      <c r="F24" s="200" t="s">
        <v>92</v>
      </c>
      <c r="G24" s="201">
        <v>14747.79</v>
      </c>
      <c r="H24" s="201">
        <v>14526.52</v>
      </c>
      <c r="I24" s="202">
        <f t="shared" si="1"/>
        <v>221.27000000000044</v>
      </c>
      <c r="J24" s="201">
        <v>16222.92</v>
      </c>
      <c r="K24" s="199">
        <v>44404.714583333334</v>
      </c>
      <c r="L24" s="201">
        <v>14985.78</v>
      </c>
      <c r="M24" s="203">
        <f t="shared" si="2"/>
        <v>237.99</v>
      </c>
      <c r="N24" s="204">
        <f t="shared" si="3"/>
        <v>1.08</v>
      </c>
      <c r="O24" s="205">
        <f t="shared" si="4"/>
        <v>0</v>
      </c>
      <c r="P24" s="206">
        <f t="shared" si="5"/>
        <v>1.08</v>
      </c>
      <c r="Q24" s="206">
        <f t="shared" si="6"/>
        <v>0</v>
      </c>
      <c r="R2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104800</v>
      </c>
      <c r="T2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104800</v>
      </c>
      <c r="U24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1.08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6.1729166666700621</v>
      </c>
      <c r="AE24" s="210">
        <f t="shared" si="16"/>
        <v>6.1729166666700621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44337.541666666664</v>
      </c>
      <c r="F25" s="200" t="s">
        <v>92</v>
      </c>
      <c r="G25" s="201">
        <v>13523.48</v>
      </c>
      <c r="H25" s="201">
        <v>13209.48</v>
      </c>
      <c r="I25" s="202">
        <f t="shared" si="1"/>
        <v>314</v>
      </c>
      <c r="J25" s="201">
        <v>15616.82</v>
      </c>
      <c r="K25" s="199">
        <v>44363.87777777778</v>
      </c>
      <c r="L25" s="201">
        <v>13974.76</v>
      </c>
      <c r="M25" s="203">
        <f t="shared" si="2"/>
        <v>451.28</v>
      </c>
      <c r="N25" s="204">
        <f t="shared" si="3"/>
        <v>1.44</v>
      </c>
      <c r="O25" s="205">
        <f t="shared" si="4"/>
        <v>0</v>
      </c>
      <c r="P25" s="206">
        <f t="shared" si="5"/>
        <v>1.44</v>
      </c>
      <c r="Q25" s="206">
        <f t="shared" si="6"/>
        <v>0</v>
      </c>
      <c r="R2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103720</v>
      </c>
      <c r="T2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103720</v>
      </c>
      <c r="U25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1.44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26.336111111115315</v>
      </c>
      <c r="AE25" s="210">
        <f t="shared" si="16"/>
        <v>26.336111111115315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44286.875</v>
      </c>
      <c r="F26" s="200" t="s">
        <v>92</v>
      </c>
      <c r="G26" s="201">
        <v>13144.66</v>
      </c>
      <c r="H26" s="201">
        <v>12824.68</v>
      </c>
      <c r="I26" s="202">
        <f t="shared" si="1"/>
        <v>319.97999999999956</v>
      </c>
      <c r="J26" s="201">
        <v>15277.87</v>
      </c>
      <c r="K26" s="199">
        <v>44300.881249999999</v>
      </c>
      <c r="L26" s="201">
        <v>13806.88</v>
      </c>
      <c r="M26" s="203">
        <f t="shared" si="2"/>
        <v>662.22</v>
      </c>
      <c r="N26" s="204">
        <f t="shared" si="3"/>
        <v>2.0699999999999998</v>
      </c>
      <c r="O26" s="205">
        <f t="shared" si="4"/>
        <v>0</v>
      </c>
      <c r="P26" s="206">
        <f t="shared" si="5"/>
        <v>2.0699999999999998</v>
      </c>
      <c r="Q26" s="206">
        <f t="shared" si="6"/>
        <v>0</v>
      </c>
      <c r="R2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102280</v>
      </c>
      <c r="T2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102280</v>
      </c>
      <c r="U26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2.0699999999999998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14.006249999998545</v>
      </c>
      <c r="AE26" s="210">
        <f t="shared" si="16"/>
        <v>14.006249999998545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44277.875</v>
      </c>
      <c r="F27" s="200" t="s">
        <v>92</v>
      </c>
      <c r="G27" s="201">
        <v>13159.51</v>
      </c>
      <c r="H27" s="201">
        <v>12850.1</v>
      </c>
      <c r="I27" s="202">
        <f t="shared" si="1"/>
        <v>309.40999999999985</v>
      </c>
      <c r="J27" s="201">
        <v>15222.24</v>
      </c>
      <c r="K27" s="199">
        <v>44279.943749999999</v>
      </c>
      <c r="L27" s="201">
        <v>12850.1</v>
      </c>
      <c r="M27" s="203">
        <f t="shared" si="2"/>
        <v>-309.41000000000003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100210</v>
      </c>
      <c r="T2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101910</v>
      </c>
      <c r="U27" s="208">
        <f ca="1">IF(Tabla336106734811[[#This Row],[Equity]]&lt;Tabla336106734811[[#This Row],[Equity Peak]],(Tabla336106734811[[#This Row],[Equity Peak]]-Tabla336106734811[[#This Row],[Equity]])/Tabla336106734811[[#This Row],[Equity Peak]],"")</f>
        <v>1.6681385536257483E-2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-1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2.0687499999985448</v>
      </c>
      <c r="AE27" s="210">
        <f t="shared" si="16"/>
        <v>0</v>
      </c>
      <c r="AF27" s="210">
        <f t="shared" si="17"/>
        <v>2.0687499999985448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44267.208333333336</v>
      </c>
      <c r="F28" s="200" t="s">
        <v>92</v>
      </c>
      <c r="G28" s="201">
        <v>13013.8</v>
      </c>
      <c r="H28" s="201">
        <v>12721.3</v>
      </c>
      <c r="I28" s="202">
        <f t="shared" si="1"/>
        <v>292.5</v>
      </c>
      <c r="J28" s="201">
        <v>14963.83</v>
      </c>
      <c r="K28" s="199">
        <v>44273.95208333333</v>
      </c>
      <c r="L28" s="201">
        <v>12809.39</v>
      </c>
      <c r="M28" s="203">
        <f t="shared" si="2"/>
        <v>-204.41</v>
      </c>
      <c r="N28" s="204">
        <f t="shared" si="3"/>
        <v>-0.7</v>
      </c>
      <c r="O28" s="205">
        <f t="shared" si="4"/>
        <v>0</v>
      </c>
      <c r="P28" s="206">
        <f t="shared" si="5"/>
        <v>0</v>
      </c>
      <c r="Q28" s="206">
        <f t="shared" si="6"/>
        <v>-0.7</v>
      </c>
      <c r="R2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101210</v>
      </c>
      <c r="T2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101910</v>
      </c>
      <c r="U28" s="208">
        <f ca="1">IF(Tabla336106734811[[#This Row],[Equity]]&lt;Tabla336106734811[[#This Row],[Equity Peak]],(Tabla336106734811[[#This Row],[Equity Peak]]-Tabla336106734811[[#This Row],[Equity]])/Tabla336106734811[[#This Row],[Equity Peak]],"")</f>
        <v>6.8688058090471986E-3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-0.7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6.7437499999941792</v>
      </c>
      <c r="AE28" s="210">
        <f t="shared" si="16"/>
        <v>0</v>
      </c>
      <c r="AF28" s="210">
        <f t="shared" si="17"/>
        <v>6.7437499999941792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44229.166666666664</v>
      </c>
      <c r="F29" s="200" t="s">
        <v>92</v>
      </c>
      <c r="G29" s="201">
        <v>13344.05</v>
      </c>
      <c r="H29" s="201">
        <v>13066.2</v>
      </c>
      <c r="I29" s="202">
        <f t="shared" si="1"/>
        <v>277.84999999999854</v>
      </c>
      <c r="J29" s="201">
        <v>15196.38</v>
      </c>
      <c r="K29" s="199">
        <v>44237.724999999999</v>
      </c>
      <c r="L29" s="201">
        <v>13573.73</v>
      </c>
      <c r="M29" s="203">
        <f t="shared" si="2"/>
        <v>229.68</v>
      </c>
      <c r="N29" s="204">
        <f t="shared" si="3"/>
        <v>0.83</v>
      </c>
      <c r="O29" s="205">
        <f t="shared" si="4"/>
        <v>0</v>
      </c>
      <c r="P29" s="206">
        <f t="shared" si="5"/>
        <v>0.83</v>
      </c>
      <c r="Q29" s="206">
        <f t="shared" si="6"/>
        <v>0</v>
      </c>
      <c r="R2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101910</v>
      </c>
      <c r="T2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101910</v>
      </c>
      <c r="U2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0.83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8.5583333333343035</v>
      </c>
      <c r="AE29" s="210">
        <f t="shared" si="16"/>
        <v>8.5583333333343035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44203.833333333336</v>
      </c>
      <c r="F30" s="200" t="s">
        <v>92</v>
      </c>
      <c r="G30" s="201">
        <v>12904.7</v>
      </c>
      <c r="H30" s="201">
        <v>12623.91</v>
      </c>
      <c r="I30" s="202">
        <f t="shared" si="1"/>
        <v>280.79000000000087</v>
      </c>
      <c r="J30" s="201">
        <v>14776.6</v>
      </c>
      <c r="K30" s="199">
        <v>44221.745833333334</v>
      </c>
      <c r="L30" s="201">
        <v>13371.02</v>
      </c>
      <c r="M30" s="203">
        <f t="shared" si="2"/>
        <v>466.32</v>
      </c>
      <c r="N30" s="204">
        <f t="shared" si="3"/>
        <v>1.66</v>
      </c>
      <c r="O30" s="205">
        <f t="shared" si="4"/>
        <v>0</v>
      </c>
      <c r="P30" s="206">
        <f t="shared" si="5"/>
        <v>1.66</v>
      </c>
      <c r="Q30" s="206">
        <f t="shared" si="6"/>
        <v>0</v>
      </c>
      <c r="R3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101080</v>
      </c>
      <c r="T3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101080</v>
      </c>
      <c r="U30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1.66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17.912499999998545</v>
      </c>
      <c r="AE30" s="210">
        <f t="shared" si="16"/>
        <v>17.912499999998545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44182.333333333336</v>
      </c>
      <c r="F31" s="200" t="s">
        <v>92</v>
      </c>
      <c r="G31" s="201">
        <v>12708</v>
      </c>
      <c r="H31" s="201">
        <v>12398.14</v>
      </c>
      <c r="I31" s="202">
        <f t="shared" si="1"/>
        <v>309.86000000000058</v>
      </c>
      <c r="J31" s="201">
        <v>14773.76</v>
      </c>
      <c r="K31" s="199">
        <v>44202.431944444441</v>
      </c>
      <c r="L31" s="201">
        <v>12528.13</v>
      </c>
      <c r="M31" s="203">
        <f t="shared" si="2"/>
        <v>-179.87</v>
      </c>
      <c r="N31" s="204">
        <f t="shared" si="3"/>
        <v>-0.57999999999999996</v>
      </c>
      <c r="O31" s="205">
        <f t="shared" si="4"/>
        <v>0</v>
      </c>
      <c r="P31" s="206">
        <f t="shared" si="5"/>
        <v>0</v>
      </c>
      <c r="Q31" s="206">
        <f t="shared" si="6"/>
        <v>-0.57999999999999996</v>
      </c>
      <c r="R3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3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99420</v>
      </c>
      <c r="T3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100000</v>
      </c>
      <c r="U31" s="208">
        <f ca="1">IF(Tabla336106734811[[#This Row],[Equity]]&lt;Tabla336106734811[[#This Row],[Equity Peak]],(Tabla336106734811[[#This Row],[Equity Peak]]-Tabla336106734811[[#This Row],[Equity]])/Tabla336106734811[[#This Row],[Equity Peak]],"")</f>
        <v>5.7999999999999996E-3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-0.57999999999999996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20.098611111105129</v>
      </c>
      <c r="AE31" s="210">
        <f t="shared" si="16"/>
        <v>0</v>
      </c>
      <c r="AF31" s="210">
        <f t="shared" si="17"/>
        <v>20.098611111105129</v>
      </c>
      <c r="AG31" s="210">
        <f t="shared" si="18"/>
        <v>0</v>
      </c>
    </row>
  </sheetData>
  <sheetProtection algorithmName="SHA-512" hashValue="aVQMjmgMoehR4a2iRe9Tjcq1ySwTUkZusxvi6zn8Tw443pSKaT6UDgUateynNxPYd0FxNlZc2AXaGLylBuZSPA==" saltValue="70Qd/tXPyYHhQzbZB++Xh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51" priority="3" operator="equal">
      <formula>"OK"</formula>
    </cfRule>
    <cfRule type="cellIs" dxfId="250" priority="4" operator="equal">
      <formula>"warning"</formula>
    </cfRule>
  </conditionalFormatting>
  <conditionalFormatting sqref="F13">
    <cfRule type="cellIs" dxfId="249" priority="1" operator="equal">
      <formula>"OK"</formula>
    </cfRule>
    <cfRule type="cellIs" dxfId="248" priority="2" operator="equal">
      <formula>"Error!!"</formula>
    </cfRule>
  </conditionalFormatting>
  <conditionalFormatting sqref="E15:H15 K15:L15">
    <cfRule type="expression" dxfId="247" priority="5">
      <formula>+$D15=#REF!</formula>
    </cfRule>
    <cfRule type="expression" dxfId="246" priority="6">
      <formula>+$D15=#REF!</formula>
    </cfRule>
  </conditionalFormatting>
  <conditionalFormatting sqref="D15 K16:L16 D16:H31 J17:L31">
    <cfRule type="expression" dxfId="245" priority="7">
      <formula>+$D15=$AG$8</formula>
    </cfRule>
    <cfRule type="expression" dxfId="24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21AB621-6E27-46C1-B973-C9CCECB36BD9}">
      <formula1>$AE$4:$AE$6</formula1>
    </dataValidation>
    <dataValidation type="list" allowBlank="1" showInputMessage="1" showErrorMessage="1" promptTitle="Trade Direction" prompt="Select from List" sqref="C15:C16" xr:uid="{6CE6270A-BAC0-4ABD-99F0-943D5461B873}">
      <formula1>$AG$4:$AG$5</formula1>
    </dataValidation>
    <dataValidation type="list" allowBlank="1" showInputMessage="1" showErrorMessage="1" promptTitle="Instrument Type" prompt="Select Type from List_x000a_" sqref="B17:B31" xr:uid="{7D20BD0C-54F0-42C1-8CF4-285D357A1383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68B-023F-4025-8065-BA49B1D6490F}">
  <sheetPr codeName="Hoja18">
    <pageSetUpPr fitToPage="1"/>
  </sheetPr>
  <dimension ref="A1:AX3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COUNTA(Tabla336106734812[Inst])</f>
        <v>22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7.1100000000000012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7.1100000000000012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COUNTIF(Tabla336106734812[No. of Rs],"&gt;0")</f>
        <v>7</v>
      </c>
      <c r="G7" s="24">
        <f>IFERROR((F7/$F$6),"")</f>
        <v>0.31818181818181818</v>
      </c>
      <c r="H7" s="78">
        <f>IFERROR((+P13/F7),"")</f>
        <v>2.6699999999999995</v>
      </c>
      <c r="I7" s="227">
        <f>H7/H9</f>
        <v>3.4585492227979269</v>
      </c>
      <c r="J7" s="227">
        <f>AVERAGE(Tabla336106734812[No. of Rs])</f>
        <v>0.32318181818181824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OFFSET(Tabla336106734812[[#Headers],[Equity]],1,0)</f>
        <v>107110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COUNTIF(Tabla336106734812[No. of Rs],"&lt;0")</f>
        <v>15</v>
      </c>
      <c r="G9" s="32">
        <f>IFERROR((F9/$F$6),"")</f>
        <v>0.68181818181818177</v>
      </c>
      <c r="H9" s="79">
        <f>IFERROR((-Q13/F9),"")</f>
        <v>0.77200000000000002</v>
      </c>
      <c r="I9" s="229"/>
      <c r="J9" s="229"/>
      <c r="K9" s="149"/>
      <c r="L9" s="230" t="s">
        <v>106</v>
      </c>
      <c r="M9" s="231"/>
      <c r="N9" s="125">
        <f ca="1">MAX(Tabla336106734812[Drawdown])</f>
        <v>2.971958925750395E-2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OFFSET(Tabla336106734812[[#Headers],[Drawdown]],1,0)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IF(COUNTIFS(Tabla336106734812[O/C],"O")&lt;1,"None",COUNTIFS(Tabla336106734812[O/C],"O"))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SUM(Tabla336106734812[No. of Rs])</f>
        <v>7.1100000000000012</v>
      </c>
      <c r="O13" s="42">
        <f>SUM(Tabla336106734812[Heat])</f>
        <v>0</v>
      </c>
      <c r="P13" s="43">
        <f>SUM(Tabla336106734812[[ TR WIN]])</f>
        <v>18.689999999999998</v>
      </c>
      <c r="Q13" s="43">
        <f>SUM(Tabla336106734812[[ TR LOSS]])</f>
        <v>-11.58</v>
      </c>
      <c r="R13" s="114"/>
      <c r="S13" s="115"/>
      <c r="T13" s="115"/>
      <c r="U13" s="121"/>
      <c r="V13" s="44">
        <f>SUM(Tabla336106734812[Currency])</f>
        <v>0</v>
      </c>
      <c r="W13" s="44">
        <f>SUM(Tabla336106734812[Heat3])</f>
        <v>0</v>
      </c>
      <c r="X13" s="44">
        <f>SUM(Tabla336106734812[Commodities])</f>
        <v>0</v>
      </c>
      <c r="Y13" s="44">
        <f>SUM(Tabla336106734812[Heat4])</f>
        <v>0</v>
      </c>
      <c r="Z13" s="44">
        <f>SUM(Tabla336106734812[Index])</f>
        <v>7.1100000000000012</v>
      </c>
      <c r="AA13" s="44">
        <f>SUM(Tabla336106734812[Heat5])</f>
        <v>0</v>
      </c>
      <c r="AB13" s="44">
        <f>SUM(Tabla336106734812[Cryptocurrency])</f>
        <v>0</v>
      </c>
      <c r="AC13" s="44">
        <f>SUM(Tabla336106734812[Heat6])</f>
        <v>0</v>
      </c>
      <c r="AD13" s="75">
        <f>AVERAGEIF(Tabla336106734812[Length of 
Trade],"&lt;&gt;0")</f>
        <v>5.0528409090898512</v>
      </c>
      <c r="AE13" s="75">
        <f>AVERAGEIF(Tabla336106734812[Win],"&lt;&gt;0")</f>
        <v>9.1148809523801901</v>
      </c>
      <c r="AF13" s="75">
        <f>AVERAGEIF(Tabla336106734812[Loss],"&lt;&gt;0")</f>
        <v>3.1572222222210256</v>
      </c>
      <c r="AG13" s="76" t="e">
        <f>AVERAGEIF(Tabla336106734812[Breakeven],"&lt;&gt;0")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23" si="0">IF(E17&lt;&gt;"",IF(K17&lt;&gt;"","C","O"),"")</f>
        <v>C</v>
      </c>
      <c r="E17" s="199">
        <v>44553.375</v>
      </c>
      <c r="F17" s="200" t="s">
        <v>93</v>
      </c>
      <c r="G17" s="201">
        <v>4699.96</v>
      </c>
      <c r="H17" s="201">
        <v>4666.18</v>
      </c>
      <c r="I17" s="202">
        <f t="shared" ref="I17:I23" si="1">ABS(G17-H17)</f>
        <v>33.779999999999745</v>
      </c>
      <c r="J17" s="201">
        <v>4790.05</v>
      </c>
      <c r="K17" s="199">
        <v>44557.956944444442</v>
      </c>
      <c r="L17" s="201">
        <v>4790.05</v>
      </c>
      <c r="M17" s="203">
        <f t="shared" ref="M17:M23" si="2">ROUND(IF(C17="L",(L17-G17),(G17-L17)),4)</f>
        <v>90.09</v>
      </c>
      <c r="N17" s="204">
        <f t="shared" ref="N17:N23" si="3">IFERROR(ROUND((M17/I17),2),"")</f>
        <v>2.67</v>
      </c>
      <c r="O17" s="205">
        <f t="shared" ref="O17:O23" si="4">IF(D17="O",IF(N17&lt;0,N17,0),0)</f>
        <v>0</v>
      </c>
      <c r="P17" s="206">
        <f t="shared" ref="P17:P23" si="5">IF(N17&gt;= 0,N17,0)</f>
        <v>2.67</v>
      </c>
      <c r="Q17" s="206">
        <f t="shared" ref="Q17:Q23" si="6">IF(N17&lt;0,N17,0)</f>
        <v>0</v>
      </c>
      <c r="R1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107110</v>
      </c>
      <c r="T1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107110</v>
      </c>
      <c r="U17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" s="209">
        <f t="shared" ref="V17:V23" si="7">IF(B17="FX",N17,0)</f>
        <v>0</v>
      </c>
      <c r="W17" s="209">
        <f t="shared" ref="W17:W23" si="8">IF(D17="O",IF(V17&lt;0,V17,0),0)</f>
        <v>0</v>
      </c>
      <c r="X17" s="209">
        <f t="shared" ref="X17:X23" si="9">IF(B17="COM",N17,0)</f>
        <v>0</v>
      </c>
      <c r="Y17" s="209">
        <f t="shared" ref="Y17:Y23" si="10">IF(D17="O",IF(X17&lt;0,X17,0),0)</f>
        <v>0</v>
      </c>
      <c r="Z17" s="209">
        <f t="shared" ref="Z17:Z23" si="11">IF(B17="IND",N17,0)</f>
        <v>2.67</v>
      </c>
      <c r="AA17" s="205">
        <f t="shared" ref="AA17:AA23" si="12">IF(D17="O",IF(Z17&lt;0,Z17,0),0)</f>
        <v>0</v>
      </c>
      <c r="AB17" s="209">
        <f t="shared" ref="AB17:AB23" si="13">IF(B17="CRYPTO",N17,0)</f>
        <v>0</v>
      </c>
      <c r="AC17" s="205">
        <f t="shared" ref="AC17:AC23" si="14">IF(D17="O",IF(AB17&lt;0,AB17,0),0)</f>
        <v>0</v>
      </c>
      <c r="AD17" s="210">
        <f t="shared" ref="AD17:AD23" si="15">IF(K17&lt;&gt;"",K17-E17,0)</f>
        <v>4.5819444444423425</v>
      </c>
      <c r="AE17" s="210">
        <f t="shared" ref="AE17:AE23" si="16">IF(N17&gt;0,AD17,0)</f>
        <v>4.5819444444423425</v>
      </c>
      <c r="AF17" s="210">
        <f t="shared" ref="AF17:AF23" si="17">IF(N17&lt;0,AD17,0)</f>
        <v>0</v>
      </c>
      <c r="AG17" s="210">
        <f t="shared" ref="AG17:AG23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44546.541666666664</v>
      </c>
      <c r="F18" s="200" t="s">
        <v>93</v>
      </c>
      <c r="G18" s="201">
        <v>4743.09</v>
      </c>
      <c r="H18" s="201">
        <v>4700.26</v>
      </c>
      <c r="I18" s="202">
        <f t="shared" si="1"/>
        <v>42.829999999999927</v>
      </c>
      <c r="J18" s="201">
        <v>4857.3100000000004</v>
      </c>
      <c r="K18" s="199">
        <v>44546.783333333333</v>
      </c>
      <c r="L18" s="201">
        <v>4700.26</v>
      </c>
      <c r="M18" s="203">
        <f t="shared" si="2"/>
        <v>-42.83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104440</v>
      </c>
      <c r="T1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106950</v>
      </c>
      <c r="U18" s="208">
        <f ca="1">IF(Tabla336106734812[[#This Row],[Equity]]&lt;Tabla336106734812[[#This Row],[Equity Peak]],(Tabla336106734812[[#This Row],[Equity Peak]]-Tabla336106734812[[#This Row],[Equity]])/Tabla336106734812[[#This Row],[Equity Peak]],"")</f>
        <v>2.3468910705937353E-2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0.24166666666860692</v>
      </c>
      <c r="AE18" s="210">
        <f t="shared" si="16"/>
        <v>0</v>
      </c>
      <c r="AF18" s="210">
        <f t="shared" si="17"/>
        <v>0.24166666666860692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44538.708333333336</v>
      </c>
      <c r="F19" s="200" t="s">
        <v>93</v>
      </c>
      <c r="G19" s="201">
        <v>4686.42</v>
      </c>
      <c r="H19" s="201">
        <v>4643.1899999999996</v>
      </c>
      <c r="I19" s="202">
        <f t="shared" si="1"/>
        <v>43.230000000000473</v>
      </c>
      <c r="J19" s="201">
        <v>4801.71</v>
      </c>
      <c r="K19" s="199">
        <v>44544.494444444441</v>
      </c>
      <c r="L19" s="201">
        <v>4664.3599999999997</v>
      </c>
      <c r="M19" s="203">
        <f t="shared" si="2"/>
        <v>-22.06</v>
      </c>
      <c r="N19" s="204">
        <f t="shared" si="3"/>
        <v>-0.51</v>
      </c>
      <c r="O19" s="205">
        <f t="shared" si="4"/>
        <v>0</v>
      </c>
      <c r="P19" s="206">
        <f t="shared" si="5"/>
        <v>0</v>
      </c>
      <c r="Q19" s="206">
        <f t="shared" si="6"/>
        <v>-0.51</v>
      </c>
      <c r="R1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105440</v>
      </c>
      <c r="T1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106950</v>
      </c>
      <c r="U19" s="208">
        <f ca="1">IF(Tabla336106734812[[#This Row],[Equity]]&lt;Tabla336106734812[[#This Row],[Equity Peak]],(Tabla336106734812[[#This Row],[Equity Peak]]-Tabla336106734812[[#This Row],[Equity]])/Tabla336106734812[[#This Row],[Equity Peak]],"")</f>
        <v>1.4118747078073866E-2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-0.51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5.7861111111051287</v>
      </c>
      <c r="AE19" s="210">
        <f t="shared" si="16"/>
        <v>0</v>
      </c>
      <c r="AF19" s="210">
        <f t="shared" si="17"/>
        <v>5.7861111111051287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44532.041666666664</v>
      </c>
      <c r="F20" s="200" t="s">
        <v>93</v>
      </c>
      <c r="G20" s="201">
        <v>4515.6000000000004</v>
      </c>
      <c r="H20" s="201">
        <v>4582.01</v>
      </c>
      <c r="I20" s="202">
        <f t="shared" si="1"/>
        <v>66.409999999999854</v>
      </c>
      <c r="J20" s="201">
        <v>4338.49</v>
      </c>
      <c r="K20" s="199">
        <v>44532.801388888889</v>
      </c>
      <c r="L20" s="201">
        <v>4582.01</v>
      </c>
      <c r="M20" s="203">
        <f t="shared" si="2"/>
        <v>-66.41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105950</v>
      </c>
      <c r="T2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106950</v>
      </c>
      <c r="U20" s="208">
        <f ca="1">IF(Tabla336106734812[[#This Row],[Equity]]&lt;Tabla336106734812[[#This Row],[Equity Peak]],(Tabla336106734812[[#This Row],[Equity Peak]]-Tabla336106734812[[#This Row],[Equity]])/Tabla336106734812[[#This Row],[Equity Peak]],"")</f>
        <v>9.3501636278634868E-3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0.75972222222480923</v>
      </c>
      <c r="AE20" s="210">
        <f t="shared" si="16"/>
        <v>0</v>
      </c>
      <c r="AF20" s="210">
        <f t="shared" si="17"/>
        <v>0.75972222222480923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44483.875</v>
      </c>
      <c r="F21" s="200" t="s">
        <v>93</v>
      </c>
      <c r="G21" s="201">
        <v>4434.66</v>
      </c>
      <c r="H21" s="201">
        <v>4401.22</v>
      </c>
      <c r="I21" s="202">
        <f t="shared" si="1"/>
        <v>33.4399999999996</v>
      </c>
      <c r="J21" s="201">
        <v>4523.83</v>
      </c>
      <c r="K21" s="199">
        <v>44488.977777777778</v>
      </c>
      <c r="L21" s="201">
        <v>4523.83</v>
      </c>
      <c r="M21" s="203">
        <f t="shared" si="2"/>
        <v>89.17</v>
      </c>
      <c r="N21" s="204">
        <f t="shared" si="3"/>
        <v>2.67</v>
      </c>
      <c r="O21" s="205">
        <f t="shared" si="4"/>
        <v>0</v>
      </c>
      <c r="P21" s="206">
        <f t="shared" si="5"/>
        <v>2.67</v>
      </c>
      <c r="Q21" s="206">
        <f t="shared" si="6"/>
        <v>0</v>
      </c>
      <c r="R2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106950</v>
      </c>
      <c r="T2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106950</v>
      </c>
      <c r="U21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2.67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5.1027777777781012</v>
      </c>
      <c r="AE21" s="210">
        <f t="shared" si="16"/>
        <v>5.1027777777781012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44470.208333333336</v>
      </c>
      <c r="F22" s="200" t="s">
        <v>93</v>
      </c>
      <c r="G22" s="201">
        <v>4281.87</v>
      </c>
      <c r="H22" s="201">
        <v>4324.97</v>
      </c>
      <c r="I22" s="202">
        <f t="shared" si="1"/>
        <v>43.100000000000364</v>
      </c>
      <c r="J22" s="201">
        <v>4166.9399999999996</v>
      </c>
      <c r="K22" s="199">
        <v>44470.616666666669</v>
      </c>
      <c r="L22" s="201">
        <v>4324.97</v>
      </c>
      <c r="M22" s="203">
        <f t="shared" si="2"/>
        <v>-43.1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104280</v>
      </c>
      <c r="T2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106280</v>
      </c>
      <c r="U22" s="208">
        <f ca="1">IF(Tabla336106734812[[#This Row],[Equity]]&lt;Tabla336106734812[[#This Row],[Equity Peak]],(Tabla336106734812[[#This Row],[Equity Peak]]-Tabla336106734812[[#This Row],[Equity]])/Tabla336106734812[[#This Row],[Equity Peak]],"")</f>
        <v>1.8818216033120061E-2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-1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0.40833333333284827</v>
      </c>
      <c r="AE22" s="210">
        <f t="shared" si="16"/>
        <v>0</v>
      </c>
      <c r="AF22" s="210">
        <f t="shared" si="17"/>
        <v>0.40833333333284827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13</v>
      </c>
      <c r="D23" s="198" t="str">
        <f t="shared" si="0"/>
        <v>C</v>
      </c>
      <c r="E23" s="199">
        <v>44459.541666666664</v>
      </c>
      <c r="F23" s="200" t="s">
        <v>93</v>
      </c>
      <c r="G23" s="201">
        <v>4369.5</v>
      </c>
      <c r="H23" s="201">
        <v>4399.3500000000004</v>
      </c>
      <c r="I23" s="202">
        <f t="shared" si="1"/>
        <v>29.850000000000364</v>
      </c>
      <c r="J23" s="201">
        <v>4289.8999999999996</v>
      </c>
      <c r="K23" s="199">
        <v>44460.452777777777</v>
      </c>
      <c r="L23" s="201">
        <v>4399.3500000000004</v>
      </c>
      <c r="M23" s="203">
        <f t="shared" si="2"/>
        <v>-29.85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105280</v>
      </c>
      <c r="T2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106280</v>
      </c>
      <c r="U23" s="208">
        <f ca="1">IF(Tabla336106734812[[#This Row],[Equity]]&lt;Tabla336106734812[[#This Row],[Equity Peak]],(Tabla336106734812[[#This Row],[Equity Peak]]-Tabla336106734812[[#This Row],[Equity]])/Tabla336106734812[[#This Row],[Equity Peak]],"")</f>
        <v>9.4091080165600305E-3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0.91111111111240461</v>
      </c>
      <c r="AE23" s="210">
        <f t="shared" si="16"/>
        <v>0</v>
      </c>
      <c r="AF23" s="210">
        <f t="shared" si="17"/>
        <v>0.91111111111240461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ref="D24:D38" si="19">IF(E24&lt;&gt;"",IF(K24&lt;&gt;"","C","O"),"")</f>
        <v>C</v>
      </c>
      <c r="E24" s="199">
        <v>44431.375</v>
      </c>
      <c r="F24" s="200" t="s">
        <v>93</v>
      </c>
      <c r="G24" s="201">
        <v>4454.79</v>
      </c>
      <c r="H24" s="201">
        <v>4420.0600000000004</v>
      </c>
      <c r="I24" s="202">
        <f t="shared" ref="I24:I38" si="20">ABS(G24-H24)</f>
        <v>34.729999999999563</v>
      </c>
      <c r="J24" s="201">
        <v>4547.3999999999996</v>
      </c>
      <c r="K24" s="199">
        <v>44442.645833333336</v>
      </c>
      <c r="L24" s="201">
        <v>4547.3999999999996</v>
      </c>
      <c r="M24" s="203">
        <f t="shared" ref="M24:M38" si="21">ROUND(IF(C24="L",(L24-G24),(G24-L24)),4)</f>
        <v>92.61</v>
      </c>
      <c r="N24" s="204">
        <f t="shared" ref="N24:N38" si="22">IFERROR(ROUND((M24/I24),2),"")</f>
        <v>2.67</v>
      </c>
      <c r="O24" s="205">
        <f t="shared" ref="O24:O38" si="23">IF(D24="O",IF(N24&lt;0,N24,0),0)</f>
        <v>0</v>
      </c>
      <c r="P24" s="206">
        <f t="shared" ref="P24:P38" si="24">IF(N24&gt;= 0,N24,0)</f>
        <v>2.67</v>
      </c>
      <c r="Q24" s="206">
        <f t="shared" ref="Q24:Q38" si="25">IF(N24&lt;0,N24,0)</f>
        <v>0</v>
      </c>
      <c r="R2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106280</v>
      </c>
      <c r="T2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106280</v>
      </c>
      <c r="U24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4" s="209">
        <f t="shared" ref="V24:V38" si="26">IF(B24="FX",N24,0)</f>
        <v>0</v>
      </c>
      <c r="W24" s="209">
        <f t="shared" ref="W24:W38" si="27">IF(D24="O",IF(V24&lt;0,V24,0),0)</f>
        <v>0</v>
      </c>
      <c r="X24" s="209">
        <f t="shared" ref="X24:X38" si="28">IF(B24="COM",N24,0)</f>
        <v>0</v>
      </c>
      <c r="Y24" s="209">
        <f t="shared" ref="Y24:Y38" si="29">IF(D24="O",IF(X24&lt;0,X24,0),0)</f>
        <v>0</v>
      </c>
      <c r="Z24" s="209">
        <f t="shared" ref="Z24:Z38" si="30">IF(B24="IND",N24,0)</f>
        <v>2.67</v>
      </c>
      <c r="AA24" s="205">
        <f t="shared" ref="AA24:AA38" si="31">IF(D24="O",IF(Z24&lt;0,Z24,0),0)</f>
        <v>0</v>
      </c>
      <c r="AB24" s="209">
        <f t="shared" ref="AB24:AB38" si="32">IF(B24="CRYPTO",N24,0)</f>
        <v>0</v>
      </c>
      <c r="AC24" s="205">
        <f t="shared" ref="AC24:AC38" si="33">IF(D24="O",IF(AB24&lt;0,AB24,0),0)</f>
        <v>0</v>
      </c>
      <c r="AD24" s="210">
        <f t="shared" ref="AD24:AD38" si="34">IF(K24&lt;&gt;"",K24-E24,0)</f>
        <v>11.270833333335759</v>
      </c>
      <c r="AE24" s="210">
        <f t="shared" ref="AE24:AE38" si="35">IF(N24&gt;0,AD24,0)</f>
        <v>11.270833333335759</v>
      </c>
      <c r="AF24" s="210">
        <f t="shared" ref="AF24:AF38" si="36">IF(N24&lt;0,AD24,0)</f>
        <v>0</v>
      </c>
      <c r="AG24" s="210">
        <f t="shared" ref="AG24:AG38" si="37">IF(N24=0,AD24,0)</f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19"/>
        <v>C</v>
      </c>
      <c r="E25" s="199">
        <v>44399.208333333336</v>
      </c>
      <c r="F25" s="200" t="s">
        <v>93</v>
      </c>
      <c r="G25" s="201">
        <v>4363.3599999999997</v>
      </c>
      <c r="H25" s="201">
        <v>4333.28</v>
      </c>
      <c r="I25" s="202">
        <f t="shared" si="20"/>
        <v>30.079999999999927</v>
      </c>
      <c r="J25" s="201">
        <v>4443.57</v>
      </c>
      <c r="K25" s="199">
        <v>44418.71875</v>
      </c>
      <c r="L25" s="201">
        <v>4443.57</v>
      </c>
      <c r="M25" s="203">
        <f t="shared" si="21"/>
        <v>80.209999999999994</v>
      </c>
      <c r="N25" s="204">
        <f t="shared" si="22"/>
        <v>2.67</v>
      </c>
      <c r="O25" s="205">
        <f t="shared" si="23"/>
        <v>0</v>
      </c>
      <c r="P25" s="206">
        <f t="shared" si="24"/>
        <v>2.67</v>
      </c>
      <c r="Q25" s="206">
        <f t="shared" si="25"/>
        <v>0</v>
      </c>
      <c r="R2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103610</v>
      </c>
      <c r="T2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103610</v>
      </c>
      <c r="U25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5" s="209">
        <f t="shared" si="26"/>
        <v>0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2.67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19.510416666664241</v>
      </c>
      <c r="AE25" s="210">
        <f t="shared" si="35"/>
        <v>19.510416666664241</v>
      </c>
      <c r="AF25" s="210">
        <f t="shared" si="36"/>
        <v>0</v>
      </c>
      <c r="AG25" s="210">
        <f t="shared" si="37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19"/>
        <v>C</v>
      </c>
      <c r="E26" s="199">
        <v>44370.208333333336</v>
      </c>
      <c r="F26" s="200" t="s">
        <v>93</v>
      </c>
      <c r="G26" s="201">
        <v>4251.99</v>
      </c>
      <c r="H26" s="201">
        <v>4223.51</v>
      </c>
      <c r="I26" s="202">
        <f t="shared" si="20"/>
        <v>28.479999999999563</v>
      </c>
      <c r="J26" s="201">
        <v>4327.9399999999996</v>
      </c>
      <c r="K26" s="199">
        <v>44379.65</v>
      </c>
      <c r="L26" s="201">
        <v>4327.9399999999996</v>
      </c>
      <c r="M26" s="203">
        <f t="shared" si="21"/>
        <v>75.95</v>
      </c>
      <c r="N26" s="204">
        <f t="shared" si="22"/>
        <v>2.67</v>
      </c>
      <c r="O26" s="205">
        <f t="shared" si="23"/>
        <v>0</v>
      </c>
      <c r="P26" s="206">
        <f t="shared" si="24"/>
        <v>2.67</v>
      </c>
      <c r="Q26" s="206">
        <f t="shared" si="25"/>
        <v>0</v>
      </c>
      <c r="R2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100940</v>
      </c>
      <c r="T2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101280</v>
      </c>
      <c r="U26" s="208">
        <f ca="1">IF(Tabla336106734812[[#This Row],[Equity]]&lt;Tabla336106734812[[#This Row],[Equity Peak]],(Tabla336106734812[[#This Row],[Equity Peak]]-Tabla336106734812[[#This Row],[Equity]])/Tabla336106734812[[#This Row],[Equity Peak]],"")</f>
        <v>3.3570300157977884E-3</v>
      </c>
      <c r="V26" s="209">
        <f t="shared" si="26"/>
        <v>0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2.67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9.4416666666656965</v>
      </c>
      <c r="AE26" s="210">
        <f t="shared" si="35"/>
        <v>9.4416666666656965</v>
      </c>
      <c r="AF26" s="210">
        <f t="shared" si="36"/>
        <v>0</v>
      </c>
      <c r="AG26" s="210">
        <f t="shared" si="37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19"/>
        <v>C</v>
      </c>
      <c r="E27" s="199">
        <v>44362.208333333336</v>
      </c>
      <c r="F27" s="200" t="s">
        <v>93</v>
      </c>
      <c r="G27" s="201">
        <v>4259.51</v>
      </c>
      <c r="H27" s="201">
        <v>4245.49</v>
      </c>
      <c r="I27" s="202">
        <f t="shared" si="20"/>
        <v>14.020000000000437</v>
      </c>
      <c r="J27" s="201">
        <v>4296.8999999999996</v>
      </c>
      <c r="K27" s="199">
        <v>44362.724999999999</v>
      </c>
      <c r="L27" s="201">
        <v>4245.49</v>
      </c>
      <c r="M27" s="203">
        <f t="shared" si="21"/>
        <v>-14.02</v>
      </c>
      <c r="N27" s="204">
        <f t="shared" si="22"/>
        <v>-1</v>
      </c>
      <c r="O27" s="205">
        <f t="shared" si="23"/>
        <v>0</v>
      </c>
      <c r="P27" s="206">
        <f t="shared" si="24"/>
        <v>0</v>
      </c>
      <c r="Q27" s="206">
        <f t="shared" si="25"/>
        <v>-1</v>
      </c>
      <c r="R2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98270</v>
      </c>
      <c r="T2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101280</v>
      </c>
      <c r="U27" s="208">
        <f ca="1">IF(Tabla336106734812[[#This Row],[Equity]]&lt;Tabla336106734812[[#This Row],[Equity Peak]],(Tabla336106734812[[#This Row],[Equity Peak]]-Tabla336106734812[[#This Row],[Equity]])/Tabla336106734812[[#This Row],[Equity Peak]],"")</f>
        <v>2.971958925750395E-2</v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-1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0.51666666666278616</v>
      </c>
      <c r="AE27" s="210">
        <f t="shared" si="35"/>
        <v>0</v>
      </c>
      <c r="AF27" s="210">
        <f t="shared" si="36"/>
        <v>0.51666666666278616</v>
      </c>
      <c r="AG27" s="210">
        <f t="shared" si="37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19"/>
        <v>C</v>
      </c>
      <c r="E28" s="199">
        <v>44357.708333333336</v>
      </c>
      <c r="F28" s="200" t="s">
        <v>93</v>
      </c>
      <c r="G28" s="201">
        <v>4247.28</v>
      </c>
      <c r="H28" s="201">
        <v>4228.2</v>
      </c>
      <c r="I28" s="202">
        <f t="shared" si="20"/>
        <v>19.079999999999927</v>
      </c>
      <c r="J28" s="201">
        <v>4298.16</v>
      </c>
      <c r="K28" s="199">
        <v>44357.741666666669</v>
      </c>
      <c r="L28" s="201">
        <v>4228.2</v>
      </c>
      <c r="M28" s="203">
        <f t="shared" si="21"/>
        <v>-19.079999999999998</v>
      </c>
      <c r="N28" s="204">
        <f t="shared" si="22"/>
        <v>-1</v>
      </c>
      <c r="O28" s="205">
        <f t="shared" si="23"/>
        <v>0</v>
      </c>
      <c r="P28" s="206">
        <f t="shared" si="24"/>
        <v>0</v>
      </c>
      <c r="Q28" s="206">
        <f t="shared" si="25"/>
        <v>-1</v>
      </c>
      <c r="R2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99270</v>
      </c>
      <c r="T2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101280</v>
      </c>
      <c r="U28" s="208">
        <f ca="1">IF(Tabla336106734812[[#This Row],[Equity]]&lt;Tabla336106734812[[#This Row],[Equity Peak]],(Tabla336106734812[[#This Row],[Equity Peak]]-Tabla336106734812[[#This Row],[Equity]])/Tabla336106734812[[#This Row],[Equity Peak]],"")</f>
        <v>1.9845971563981043E-2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-1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3.3333333332848269E-2</v>
      </c>
      <c r="AE28" s="210">
        <f t="shared" si="35"/>
        <v>0</v>
      </c>
      <c r="AF28" s="210">
        <f t="shared" si="36"/>
        <v>3.3333333332848269E-2</v>
      </c>
      <c r="AG28" s="210">
        <f t="shared" si="37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19"/>
        <v>C</v>
      </c>
      <c r="E29" s="199">
        <v>44340.708333333336</v>
      </c>
      <c r="F29" s="200" t="s">
        <v>93</v>
      </c>
      <c r="G29" s="201">
        <v>4189.53</v>
      </c>
      <c r="H29" s="201">
        <v>4157.45</v>
      </c>
      <c r="I29" s="202">
        <f t="shared" si="20"/>
        <v>32.079999999999927</v>
      </c>
      <c r="J29" s="201">
        <v>4275.0600000000004</v>
      </c>
      <c r="K29" s="199">
        <v>44350.568749999999</v>
      </c>
      <c r="L29" s="201">
        <v>4189.25</v>
      </c>
      <c r="M29" s="203">
        <f t="shared" si="21"/>
        <v>-0.28000000000000003</v>
      </c>
      <c r="N29" s="204">
        <f t="shared" si="22"/>
        <v>-0.01</v>
      </c>
      <c r="O29" s="205">
        <f t="shared" si="23"/>
        <v>0</v>
      </c>
      <c r="P29" s="206">
        <f t="shared" si="24"/>
        <v>0</v>
      </c>
      <c r="Q29" s="206">
        <f t="shared" si="25"/>
        <v>-0.01</v>
      </c>
      <c r="R2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100270</v>
      </c>
      <c r="T2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101280</v>
      </c>
      <c r="U29" s="208">
        <f ca="1">IF(Tabla336106734812[[#This Row],[Equity]]&lt;Tabla336106734812[[#This Row],[Equity Peak]],(Tabla336106734812[[#This Row],[Equity Peak]]-Tabla336106734812[[#This Row],[Equity]])/Tabla336106734812[[#This Row],[Equity Peak]],"")</f>
        <v>9.9723538704581359E-3</v>
      </c>
      <c r="V29" s="209">
        <f t="shared" si="26"/>
        <v>0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-0.01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9.8604166666627862</v>
      </c>
      <c r="AE29" s="210">
        <f t="shared" si="35"/>
        <v>0</v>
      </c>
      <c r="AF29" s="210">
        <f t="shared" si="36"/>
        <v>9.8604166666627862</v>
      </c>
      <c r="AG29" s="210">
        <f t="shared" si="37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19"/>
        <v>C</v>
      </c>
      <c r="E30" s="199">
        <v>44323.708333333336</v>
      </c>
      <c r="F30" s="200" t="s">
        <v>93</v>
      </c>
      <c r="G30" s="201">
        <v>4221.1099999999997</v>
      </c>
      <c r="H30" s="201">
        <v>4192.92</v>
      </c>
      <c r="I30" s="202">
        <f t="shared" si="20"/>
        <v>28.1899999999996</v>
      </c>
      <c r="J30" s="201">
        <v>4296.29</v>
      </c>
      <c r="K30" s="199">
        <v>44326.95416666667</v>
      </c>
      <c r="L30" s="201">
        <v>4192.92</v>
      </c>
      <c r="M30" s="203">
        <f t="shared" si="21"/>
        <v>-28.19</v>
      </c>
      <c r="N30" s="204">
        <f t="shared" si="22"/>
        <v>-1</v>
      </c>
      <c r="O30" s="205">
        <f t="shared" si="23"/>
        <v>0</v>
      </c>
      <c r="P30" s="206">
        <f t="shared" si="24"/>
        <v>0</v>
      </c>
      <c r="Q30" s="206">
        <f t="shared" si="25"/>
        <v>-1</v>
      </c>
      <c r="R3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100280</v>
      </c>
      <c r="T3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101280</v>
      </c>
      <c r="U30" s="208">
        <f ca="1">IF(Tabla336106734812[[#This Row],[Equity]]&lt;Tabla336106734812[[#This Row],[Equity Peak]],(Tabla336106734812[[#This Row],[Equity Peak]]-Tabla336106734812[[#This Row],[Equity]])/Tabla336106734812[[#This Row],[Equity Peak]],"")</f>
        <v>9.873617693522907E-3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-1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3.2458333333343035</v>
      </c>
      <c r="AE30" s="210">
        <f t="shared" si="35"/>
        <v>0</v>
      </c>
      <c r="AF30" s="210">
        <f t="shared" si="36"/>
        <v>3.2458333333343035</v>
      </c>
      <c r="AG30" s="210">
        <f t="shared" si="37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19"/>
        <v>C</v>
      </c>
      <c r="E31" s="199">
        <v>44281.208333333336</v>
      </c>
      <c r="F31" s="200" t="s">
        <v>93</v>
      </c>
      <c r="G31" s="201">
        <v>3922.92</v>
      </c>
      <c r="H31" s="201">
        <v>3886.81</v>
      </c>
      <c r="I31" s="202">
        <f t="shared" si="20"/>
        <v>36.110000000000127</v>
      </c>
      <c r="J31" s="201">
        <v>4019.21</v>
      </c>
      <c r="K31" s="199">
        <v>44287.952777777777</v>
      </c>
      <c r="L31" s="201">
        <v>4019.21</v>
      </c>
      <c r="M31" s="203">
        <f t="shared" si="21"/>
        <v>96.29</v>
      </c>
      <c r="N31" s="204">
        <f t="shared" si="22"/>
        <v>2.67</v>
      </c>
      <c r="O31" s="205">
        <f t="shared" si="23"/>
        <v>0</v>
      </c>
      <c r="P31" s="206">
        <f t="shared" si="24"/>
        <v>2.67</v>
      </c>
      <c r="Q31" s="206">
        <f t="shared" si="25"/>
        <v>0</v>
      </c>
      <c r="R3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101280</v>
      </c>
      <c r="T3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101280</v>
      </c>
      <c r="U31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1" s="209">
        <f t="shared" si="26"/>
        <v>0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2.67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6.7444444444408873</v>
      </c>
      <c r="AE31" s="210">
        <f t="shared" si="35"/>
        <v>6.7444444444408873</v>
      </c>
      <c r="AF31" s="210">
        <f t="shared" si="36"/>
        <v>0</v>
      </c>
      <c r="AG31" s="210">
        <f t="shared" si="37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19"/>
        <v>C</v>
      </c>
      <c r="E32" s="199">
        <v>44266.041666666664</v>
      </c>
      <c r="F32" s="200" t="s">
        <v>93</v>
      </c>
      <c r="G32" s="201">
        <v>3909.1</v>
      </c>
      <c r="H32" s="201">
        <v>3866.97</v>
      </c>
      <c r="I32" s="202">
        <f t="shared" si="20"/>
        <v>42.130000000000109</v>
      </c>
      <c r="J32" s="201">
        <v>4021.46</v>
      </c>
      <c r="K32" s="199">
        <v>44274.691666666666</v>
      </c>
      <c r="L32" s="201">
        <v>3907.25</v>
      </c>
      <c r="M32" s="203">
        <f t="shared" si="21"/>
        <v>-1.85</v>
      </c>
      <c r="N32" s="204">
        <f t="shared" si="22"/>
        <v>-0.04</v>
      </c>
      <c r="O32" s="205">
        <f t="shared" si="23"/>
        <v>0</v>
      </c>
      <c r="P32" s="206">
        <f t="shared" si="24"/>
        <v>0</v>
      </c>
      <c r="Q32" s="206">
        <f t="shared" si="25"/>
        <v>-0.04</v>
      </c>
      <c r="R3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98610</v>
      </c>
      <c r="T3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100650</v>
      </c>
      <c r="U32" s="208">
        <f ca="1">IF(Tabla336106734812[[#This Row],[Equity]]&lt;Tabla336106734812[[#This Row],[Equity Peak]],(Tabla336106734812[[#This Row],[Equity Peak]]-Tabla336106734812[[#This Row],[Equity]])/Tabla336106734812[[#This Row],[Equity Peak]],"")</f>
        <v>2.0268256333830104E-2</v>
      </c>
      <c r="V32" s="209">
        <f t="shared" si="26"/>
        <v>0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-0.04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8.6500000000014552</v>
      </c>
      <c r="AE32" s="210">
        <f t="shared" si="35"/>
        <v>0</v>
      </c>
      <c r="AF32" s="210">
        <f t="shared" si="36"/>
        <v>8.6500000000014552</v>
      </c>
      <c r="AG32" s="210">
        <f t="shared" si="37"/>
        <v>0</v>
      </c>
    </row>
    <row r="33" spans="2:33" ht="15" customHeight="1" x14ac:dyDescent="0.3">
      <c r="B33" s="196" t="s">
        <v>5</v>
      </c>
      <c r="C33" s="197" t="s">
        <v>13</v>
      </c>
      <c r="D33" s="198" t="str">
        <f t="shared" si="19"/>
        <v>C</v>
      </c>
      <c r="E33" s="199">
        <v>44259.875</v>
      </c>
      <c r="F33" s="200" t="s">
        <v>93</v>
      </c>
      <c r="G33" s="201">
        <v>3722.46</v>
      </c>
      <c r="H33" s="201">
        <v>3774.36</v>
      </c>
      <c r="I33" s="202">
        <f t="shared" si="20"/>
        <v>51.900000000000091</v>
      </c>
      <c r="J33" s="201">
        <v>3584.06</v>
      </c>
      <c r="K33" s="199">
        <v>44259.912499999999</v>
      </c>
      <c r="L33" s="201">
        <v>3774.36</v>
      </c>
      <c r="M33" s="203">
        <f t="shared" si="21"/>
        <v>-51.9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98650</v>
      </c>
      <c r="T3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100650</v>
      </c>
      <c r="U33" s="208">
        <f ca="1">IF(Tabla336106734812[[#This Row],[Equity]]&lt;Tabla336106734812[[#This Row],[Equity Peak]],(Tabla336106734812[[#This Row],[Equity Peak]]-Tabla336106734812[[#This Row],[Equity]])/Tabla336106734812[[#This Row],[Equity Peak]],"")</f>
        <v>1.987083954297069E-2</v>
      </c>
      <c r="V33" s="209">
        <f t="shared" si="26"/>
        <v>0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-1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3.7499999998544808E-2</v>
      </c>
      <c r="AE33" s="210">
        <f t="shared" si="35"/>
        <v>0</v>
      </c>
      <c r="AF33" s="210">
        <f t="shared" si="36"/>
        <v>3.7499999998544808E-2</v>
      </c>
      <c r="AG33" s="210">
        <f t="shared" si="37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19"/>
        <v>C</v>
      </c>
      <c r="E34" s="199">
        <v>44252.208333333336</v>
      </c>
      <c r="F34" s="200" t="s">
        <v>93</v>
      </c>
      <c r="G34" s="201">
        <v>3929.45</v>
      </c>
      <c r="H34" s="201">
        <v>3878.4</v>
      </c>
      <c r="I34" s="202">
        <f t="shared" si="20"/>
        <v>51.049999999999727</v>
      </c>
      <c r="J34" s="201">
        <v>4065.59</v>
      </c>
      <c r="K34" s="199">
        <v>44252.777083333334</v>
      </c>
      <c r="L34" s="201">
        <v>3878.4</v>
      </c>
      <c r="M34" s="203">
        <f t="shared" si="21"/>
        <v>-51.05</v>
      </c>
      <c r="N34" s="204">
        <f t="shared" si="22"/>
        <v>-1</v>
      </c>
      <c r="O34" s="205">
        <f t="shared" si="23"/>
        <v>0</v>
      </c>
      <c r="P34" s="206">
        <f t="shared" si="24"/>
        <v>0</v>
      </c>
      <c r="Q34" s="206">
        <f t="shared" si="25"/>
        <v>-1</v>
      </c>
      <c r="R3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99650</v>
      </c>
      <c r="T3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100650</v>
      </c>
      <c r="U34" s="208">
        <f ca="1">IF(Tabla336106734812[[#This Row],[Equity]]&lt;Tabla336106734812[[#This Row],[Equity Peak]],(Tabla336106734812[[#This Row],[Equity Peak]]-Tabla336106734812[[#This Row],[Equity]])/Tabla336106734812[[#This Row],[Equity Peak]],"")</f>
        <v>9.9354197714853452E-3</v>
      </c>
      <c r="V34" s="209">
        <f t="shared" si="26"/>
        <v>0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-1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0.56874999999854481</v>
      </c>
      <c r="AE34" s="210">
        <f t="shared" si="35"/>
        <v>0</v>
      </c>
      <c r="AF34" s="210">
        <f t="shared" si="36"/>
        <v>0.56874999999854481</v>
      </c>
      <c r="AG34" s="210">
        <f t="shared" si="37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19"/>
        <v>C</v>
      </c>
      <c r="E35" s="199">
        <v>44230.5</v>
      </c>
      <c r="F35" s="200" t="s">
        <v>93</v>
      </c>
      <c r="G35" s="201">
        <v>3838.04</v>
      </c>
      <c r="H35" s="201">
        <v>3802.73</v>
      </c>
      <c r="I35" s="202">
        <f t="shared" si="20"/>
        <v>35.309999999999945</v>
      </c>
      <c r="J35" s="201">
        <v>3932.21</v>
      </c>
      <c r="K35" s="199">
        <v>44237.652083333334</v>
      </c>
      <c r="L35" s="201">
        <v>3932.21</v>
      </c>
      <c r="M35" s="203">
        <f t="shared" si="21"/>
        <v>94.17</v>
      </c>
      <c r="N35" s="204">
        <f t="shared" si="22"/>
        <v>2.67</v>
      </c>
      <c r="O35" s="205">
        <f t="shared" si="23"/>
        <v>0</v>
      </c>
      <c r="P35" s="206">
        <f t="shared" si="24"/>
        <v>2.67</v>
      </c>
      <c r="Q35" s="206">
        <f t="shared" si="25"/>
        <v>0</v>
      </c>
      <c r="R3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100650</v>
      </c>
      <c r="T3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100650</v>
      </c>
      <c r="U35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2.67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7.1520833333343035</v>
      </c>
      <c r="AE35" s="210">
        <f t="shared" si="35"/>
        <v>7.1520833333343035</v>
      </c>
      <c r="AF35" s="210">
        <f t="shared" si="36"/>
        <v>0</v>
      </c>
      <c r="AG35" s="210">
        <f t="shared" si="37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19"/>
        <v>C</v>
      </c>
      <c r="E36" s="199">
        <v>44216.833333333336</v>
      </c>
      <c r="F36" s="200" t="s">
        <v>93</v>
      </c>
      <c r="G36" s="201">
        <v>3849.45</v>
      </c>
      <c r="H36" s="201">
        <v>3830.03</v>
      </c>
      <c r="I36" s="202">
        <f t="shared" si="20"/>
        <v>19.419999999999618</v>
      </c>
      <c r="J36" s="201">
        <v>3901.22</v>
      </c>
      <c r="K36" s="199">
        <v>44218.431944444441</v>
      </c>
      <c r="L36" s="201">
        <v>3830.03</v>
      </c>
      <c r="M36" s="203">
        <f t="shared" si="21"/>
        <v>-19.420000000000002</v>
      </c>
      <c r="N36" s="204">
        <f t="shared" si="22"/>
        <v>-1</v>
      </c>
      <c r="O36" s="205">
        <f t="shared" si="23"/>
        <v>0</v>
      </c>
      <c r="P36" s="206">
        <f t="shared" si="24"/>
        <v>0</v>
      </c>
      <c r="Q36" s="206">
        <f t="shared" si="25"/>
        <v>-1</v>
      </c>
      <c r="R3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3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97980</v>
      </c>
      <c r="T3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100000</v>
      </c>
      <c r="U36" s="208">
        <f ca="1">IF(Tabla336106734812[[#This Row],[Equity]]&lt;Tabla336106734812[[#This Row],[Equity Peak]],(Tabla336106734812[[#This Row],[Equity Peak]]-Tabla336106734812[[#This Row],[Equity]])/Tabla336106734812[[#This Row],[Equity Peak]],"")</f>
        <v>2.0199999999999999E-2</v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-1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1.5986111111051287</v>
      </c>
      <c r="AE36" s="210">
        <f t="shared" si="35"/>
        <v>0</v>
      </c>
      <c r="AF36" s="210">
        <f t="shared" si="36"/>
        <v>1.5986111111051287</v>
      </c>
      <c r="AG36" s="210">
        <f t="shared" si="37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19"/>
        <v>C</v>
      </c>
      <c r="E37" s="199">
        <v>44203.833333333336</v>
      </c>
      <c r="F37" s="200" t="s">
        <v>93</v>
      </c>
      <c r="G37" s="201">
        <v>3802.57</v>
      </c>
      <c r="H37" s="201">
        <v>3754.69</v>
      </c>
      <c r="I37" s="202">
        <f t="shared" si="20"/>
        <v>47.880000000000109</v>
      </c>
      <c r="J37" s="201">
        <v>3930.26</v>
      </c>
      <c r="K37" s="199">
        <v>44211.713194444441</v>
      </c>
      <c r="L37" s="201">
        <v>3768.28</v>
      </c>
      <c r="M37" s="203">
        <f t="shared" si="21"/>
        <v>-34.29</v>
      </c>
      <c r="N37" s="204">
        <f t="shared" si="22"/>
        <v>-0.72</v>
      </c>
      <c r="O37" s="205">
        <f t="shared" si="23"/>
        <v>0</v>
      </c>
      <c r="P37" s="206">
        <f t="shared" si="24"/>
        <v>0</v>
      </c>
      <c r="Q37" s="206">
        <f t="shared" si="25"/>
        <v>-0.72</v>
      </c>
      <c r="R3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3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98980</v>
      </c>
      <c r="T3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100000</v>
      </c>
      <c r="U37" s="208">
        <f ca="1">IF(Tabla336106734812[[#This Row],[Equity]]&lt;Tabla336106734812[[#This Row],[Equity Peak]],(Tabla336106734812[[#This Row],[Equity Peak]]-Tabla336106734812[[#This Row],[Equity]])/Tabla336106734812[[#This Row],[Equity Peak]],"")</f>
        <v>1.0200000000000001E-2</v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-0.72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7.8798611111051287</v>
      </c>
      <c r="AE37" s="210">
        <f t="shared" si="35"/>
        <v>0</v>
      </c>
      <c r="AF37" s="210">
        <f t="shared" si="36"/>
        <v>7.8798611111051287</v>
      </c>
      <c r="AG37" s="210">
        <f t="shared" si="37"/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19"/>
        <v>C</v>
      </c>
      <c r="E38" s="199">
        <v>44193.875</v>
      </c>
      <c r="F38" s="200" t="s">
        <v>93</v>
      </c>
      <c r="G38" s="201">
        <v>3737.28</v>
      </c>
      <c r="H38" s="201">
        <v>3718.77</v>
      </c>
      <c r="I38" s="202">
        <f t="shared" si="20"/>
        <v>18.510000000000218</v>
      </c>
      <c r="J38" s="201">
        <v>3786.65</v>
      </c>
      <c r="K38" s="199">
        <v>44200.73541666667</v>
      </c>
      <c r="L38" s="201">
        <v>3731.81</v>
      </c>
      <c r="M38" s="203">
        <f t="shared" si="21"/>
        <v>-5.47</v>
      </c>
      <c r="N38" s="204">
        <f t="shared" si="22"/>
        <v>-0.3</v>
      </c>
      <c r="O38" s="205">
        <f t="shared" si="23"/>
        <v>0</v>
      </c>
      <c r="P38" s="206">
        <f t="shared" si="24"/>
        <v>0</v>
      </c>
      <c r="Q38" s="206">
        <f t="shared" si="25"/>
        <v>-0.3</v>
      </c>
      <c r="R3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3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99700</v>
      </c>
      <c r="T3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100000</v>
      </c>
      <c r="U38" s="208">
        <f ca="1">IF(Tabla336106734812[[#This Row],[Equity]]&lt;Tabla336106734812[[#This Row],[Equity Peak]],(Tabla336106734812[[#This Row],[Equity Peak]]-Tabla336106734812[[#This Row],[Equity]])/Tabla336106734812[[#This Row],[Equity Peak]],"")</f>
        <v>3.0000000000000001E-3</v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-0.3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6.8604166666700621</v>
      </c>
      <c r="AE38" s="210">
        <f t="shared" si="35"/>
        <v>0</v>
      </c>
      <c r="AF38" s="210">
        <f t="shared" si="36"/>
        <v>6.8604166666700621</v>
      </c>
      <c r="AG38" s="210">
        <f t="shared" si="37"/>
        <v>0</v>
      </c>
    </row>
  </sheetData>
  <sheetProtection algorithmName="SHA-512" hashValue="s4eIOgSomxw0LCcYWvK+BHYqxlM44CZOPjQcT3vVGJmxZY9ceyRGnGc9XPPGY/dNh11eNFlMToqVzKiZLh9Ovg==" saltValue="Z82aohg8xoA2NmOGbTzQ/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09" priority="3" operator="equal">
      <formula>"OK"</formula>
    </cfRule>
    <cfRule type="cellIs" dxfId="208" priority="4" operator="equal">
      <formula>"warning"</formula>
    </cfRule>
  </conditionalFormatting>
  <conditionalFormatting sqref="F13">
    <cfRule type="cellIs" dxfId="207" priority="1" operator="equal">
      <formula>"OK"</formula>
    </cfRule>
    <cfRule type="cellIs" dxfId="206" priority="2" operator="equal">
      <formula>"Error!!"</formula>
    </cfRule>
  </conditionalFormatting>
  <conditionalFormatting sqref="E15:H15 K15:L15">
    <cfRule type="expression" dxfId="205" priority="5">
      <formula>+$D15=#REF!</formula>
    </cfRule>
    <cfRule type="expression" dxfId="204" priority="6">
      <formula>+$D15=#REF!</formula>
    </cfRule>
  </conditionalFormatting>
  <conditionalFormatting sqref="D15 K16:L16 D16:H38 J17:L38">
    <cfRule type="expression" dxfId="203" priority="7">
      <formula>+$D15=$AG$8</formula>
    </cfRule>
    <cfRule type="expression" dxfId="20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F85ABCA4-38C2-420F-875E-43386DED7162}">
      <formula1>$AE$4:$AE$6</formula1>
    </dataValidation>
    <dataValidation type="list" allowBlank="1" showInputMessage="1" showErrorMessage="1" promptTitle="Trade Direction" prompt="Select from List" sqref="C15:C16" xr:uid="{0AFBE46F-E6CB-4C42-B831-8A17AF005034}">
      <formula1>$AG$4:$AG$5</formula1>
    </dataValidation>
    <dataValidation type="list" allowBlank="1" showInputMessage="1" showErrorMessage="1" promptTitle="Instrument Type" prompt="Select Type from List_x000a_" sqref="B17:B38" xr:uid="{E42B4B5B-1466-4C23-A919-445FAC5C5BCF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4CA6-7F9F-484B-866E-40CD17B61828}">
  <sheetPr codeName="Hoja29">
    <pageSetUpPr fitToPage="1"/>
  </sheetPr>
  <dimension ref="A1:AX6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77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COUNTA(Tabla336106734823[Inst])</f>
        <v>52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-2.4200000000000008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-2.4200000000000008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COUNTIF(Tabla336106734823[No. of Rs],"&gt;0")</f>
        <v>14</v>
      </c>
      <c r="G7" s="24">
        <f>IFERROR((F7/$F$6),"")</f>
        <v>0.26923076923076922</v>
      </c>
      <c r="H7" s="78">
        <f>IFERROR((+P13/F7),"")</f>
        <v>0.91000000000000014</v>
      </c>
      <c r="I7" s="227">
        <f>H7/H9</f>
        <v>2.2810026385224278</v>
      </c>
      <c r="J7" s="227">
        <f>AVERAGE(Tabla336106734823[No. of Rs])</f>
        <v>-4.6538461538461556E-2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COUNTIF(Tabla336106734823[No.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OFFSET(Tabla336106734823[[#Headers],[Equity]],1,0)</f>
        <v>97580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COUNTIF(Tabla336106734823[No. of Rs],"&lt;0")</f>
        <v>38</v>
      </c>
      <c r="G9" s="32">
        <f>IFERROR((F9/$F$6),"")</f>
        <v>0.73076923076923073</v>
      </c>
      <c r="H9" s="79">
        <f>IFERROR((-Q13/F9),"")</f>
        <v>0.39894736842105266</v>
      </c>
      <c r="I9" s="229"/>
      <c r="J9" s="229"/>
      <c r="K9" s="149"/>
      <c r="L9" s="230" t="s">
        <v>106</v>
      </c>
      <c r="M9" s="231"/>
      <c r="N9" s="125">
        <f ca="1">MAX(Tabla336106734823[Drawdown])</f>
        <v>5.0700335371868216E-2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OFFSET(Tabla336106734823[[#Headers],[Drawdown]],1,0)</f>
        <v>3.748273821266522E-2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IF(COUNTIFS(Tabla336106734823[O/C],"O")&lt;1,"None",COUNTIFS(Tabla336106734823[O/C],"O"))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SUM(Tabla336106734823[No. of Rs])</f>
        <v>-2.4200000000000008</v>
      </c>
      <c r="O13" s="42">
        <f>SUM(Tabla336106734823[Heat])</f>
        <v>0</v>
      </c>
      <c r="P13" s="43">
        <f>SUM(Tabla336106734823[[ TR WIN]])</f>
        <v>12.740000000000002</v>
      </c>
      <c r="Q13" s="43">
        <f>SUM(Tabla336106734823[[ TR LOSS]])</f>
        <v>-15.16</v>
      </c>
      <c r="R13" s="114"/>
      <c r="S13" s="115"/>
      <c r="T13" s="115"/>
      <c r="U13" s="121"/>
      <c r="V13" s="44">
        <f>SUM(Tabla336106734823[Currency])</f>
        <v>0</v>
      </c>
      <c r="W13" s="44">
        <f>SUM(Tabla336106734823[Heat3])</f>
        <v>0</v>
      </c>
      <c r="X13" s="44">
        <f>SUM(Tabla336106734823[Commodities])</f>
        <v>0</v>
      </c>
      <c r="Y13" s="44">
        <f>SUM(Tabla336106734823[Heat4])</f>
        <v>0</v>
      </c>
      <c r="Z13" s="44">
        <f>SUM(Tabla336106734823[Index])</f>
        <v>-2.4200000000000008</v>
      </c>
      <c r="AA13" s="44">
        <f>SUM(Tabla336106734823[Heat5])</f>
        <v>0</v>
      </c>
      <c r="AB13" s="44">
        <f>SUM(Tabla336106734823[Cryptocurrency])</f>
        <v>0</v>
      </c>
      <c r="AC13" s="44">
        <f>SUM(Tabla336106734823[Heat6])</f>
        <v>0</v>
      </c>
      <c r="AD13" s="75">
        <f>AVERAGEIF(Tabla336106734823[Length of 
Trade],"&lt;&gt;0")</f>
        <v>2.6879807692314968</v>
      </c>
      <c r="AE13" s="75">
        <f>AVERAGEIF(Tabla336106734823[Win],"&lt;&gt;0")</f>
        <v>5.1941964285719484</v>
      </c>
      <c r="AF13" s="75">
        <f>AVERAGEIF(Tabla336106734823[Loss],"&lt;&gt;0")</f>
        <v>1.764638157895541</v>
      </c>
      <c r="AG13" s="76" t="e">
        <f>AVERAGEIF(Tabla336106734823[Breakeven],"&lt;&gt;0")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46" si="0">IF(E17&lt;&gt;"",IF(K17&lt;&gt;"","C","O"),"")</f>
        <v>C</v>
      </c>
      <c r="E17" s="199">
        <v>44551.458333333336</v>
      </c>
      <c r="F17" s="200" t="s">
        <v>94</v>
      </c>
      <c r="G17" s="201">
        <v>7273.01</v>
      </c>
      <c r="H17" s="201">
        <v>7173.3</v>
      </c>
      <c r="I17" s="202">
        <f t="shared" ref="I17:I46" si="1">ABS(G17-H17)</f>
        <v>99.710000000000036</v>
      </c>
      <c r="J17" s="201">
        <v>7771.57</v>
      </c>
      <c r="K17" s="199">
        <v>44561.125</v>
      </c>
      <c r="L17" s="201">
        <v>7386.36</v>
      </c>
      <c r="M17" s="203">
        <f t="shared" ref="M17:M46" si="2">ROUND(IF(C17="L",(L17-G17),(G17-L17)),4)</f>
        <v>113.35</v>
      </c>
      <c r="N17" s="204">
        <f t="shared" ref="N17:N46" si="3">IFERROR(ROUND((M17/I17),2),"")</f>
        <v>1.1399999999999999</v>
      </c>
      <c r="O17" s="205">
        <f t="shared" ref="O17:O46" si="4">IF(D17="O",IF(N17&lt;0,N17,0),0)</f>
        <v>0</v>
      </c>
      <c r="P17" s="206">
        <f t="shared" ref="P17:P46" si="5">IF(N17&gt;= 0,N17,0)</f>
        <v>1.1399999999999999</v>
      </c>
      <c r="Q17" s="206">
        <f t="shared" ref="Q17:Q46" si="6">IF(N17&lt;0,N17,0)</f>
        <v>0</v>
      </c>
      <c r="R1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97580</v>
      </c>
      <c r="T1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17" s="208">
        <f ca="1">IF(Tabla336106734823[[#This Row],[Equity]]&lt;Tabla336106734823[[#This Row],[Equity Peak]],(Tabla336106734823[[#This Row],[Equity Peak]]-Tabla336106734823[[#This Row],[Equity]])/Tabla336106734823[[#This Row],[Equity Peak]],"")</f>
        <v>3.748273821266522E-2</v>
      </c>
      <c r="V17" s="209">
        <f t="shared" ref="V17:V46" si="7">IF(B17="FX",N17,0)</f>
        <v>0</v>
      </c>
      <c r="W17" s="209">
        <f t="shared" ref="W17:W46" si="8">IF(D17="O",IF(V17&lt;0,V17,0),0)</f>
        <v>0</v>
      </c>
      <c r="X17" s="209">
        <f t="shared" ref="X17:X46" si="9">IF(B17="COM",N17,0)</f>
        <v>0</v>
      </c>
      <c r="Y17" s="209">
        <f t="shared" ref="Y17:Y46" si="10">IF(D17="O",IF(X17&lt;0,X17,0),0)</f>
        <v>0</v>
      </c>
      <c r="Z17" s="209">
        <f t="shared" ref="Z17:Z46" si="11">IF(B17="IND",N17,0)</f>
        <v>1.1399999999999999</v>
      </c>
      <c r="AA17" s="205">
        <f t="shared" ref="AA17:AA46" si="12">IF(D17="O",IF(Z17&lt;0,Z17,0),0)</f>
        <v>0</v>
      </c>
      <c r="AB17" s="209">
        <f t="shared" ref="AB17:AB46" si="13">IF(B17="CRYPTO",N17,0)</f>
        <v>0</v>
      </c>
      <c r="AC17" s="205">
        <f t="shared" ref="AC17:AC46" si="14">IF(D17="O",IF(AB17&lt;0,AB17,0),0)</f>
        <v>0</v>
      </c>
      <c r="AD17" s="210">
        <f t="shared" ref="AD17:AD46" si="15">IF(K17&lt;&gt;"",K17-E17,0)</f>
        <v>9.6666666666642413</v>
      </c>
      <c r="AE17" s="210">
        <f t="shared" ref="AE17:AE46" si="16">IF(N17&gt;0,AD17,0)</f>
        <v>9.6666666666642413</v>
      </c>
      <c r="AF17" s="210">
        <f t="shared" ref="AF17:AF46" si="17">IF(N17&lt;0,AD17,0)</f>
        <v>0</v>
      </c>
      <c r="AG17" s="210">
        <f t="shared" ref="AG17:AG46" si="18">IF(N17=0,AD17,0)</f>
        <v>0</v>
      </c>
    </row>
    <row r="18" spans="2:33" ht="15" customHeight="1" x14ac:dyDescent="0.3">
      <c r="B18" s="196" t="s">
        <v>5</v>
      </c>
      <c r="C18" s="197" t="s">
        <v>13</v>
      </c>
      <c r="D18" s="198" t="str">
        <f t="shared" si="0"/>
        <v>C</v>
      </c>
      <c r="E18" s="199">
        <v>44550.291666666664</v>
      </c>
      <c r="F18" s="200" t="s">
        <v>94</v>
      </c>
      <c r="G18" s="201">
        <v>7170.89</v>
      </c>
      <c r="H18" s="201">
        <v>7259.81</v>
      </c>
      <c r="I18" s="202">
        <f t="shared" si="1"/>
        <v>88.920000000000073</v>
      </c>
      <c r="J18" s="201">
        <v>6726.27</v>
      </c>
      <c r="K18" s="199">
        <v>44550.581250000003</v>
      </c>
      <c r="L18" s="201">
        <v>7199.81</v>
      </c>
      <c r="M18" s="203">
        <f t="shared" si="2"/>
        <v>-28.92</v>
      </c>
      <c r="N18" s="204">
        <f t="shared" si="3"/>
        <v>-0.33</v>
      </c>
      <c r="O18" s="205">
        <f t="shared" si="4"/>
        <v>0</v>
      </c>
      <c r="P18" s="206">
        <f t="shared" si="5"/>
        <v>0</v>
      </c>
      <c r="Q18" s="206">
        <f t="shared" si="6"/>
        <v>-0.33</v>
      </c>
      <c r="R1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96440</v>
      </c>
      <c r="T1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18" s="208">
        <f ca="1">IF(Tabla336106734823[[#This Row],[Equity]]&lt;Tabla336106734823[[#This Row],[Equity Peak]],(Tabla336106734823[[#This Row],[Equity Peak]]-Tabla336106734823[[#This Row],[Equity]])/Tabla336106734823[[#This Row],[Equity Peak]],"")</f>
        <v>4.8727559676464784E-2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-0.33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0.28958333333866904</v>
      </c>
      <c r="AE18" s="210">
        <f t="shared" si="16"/>
        <v>0</v>
      </c>
      <c r="AF18" s="210">
        <f t="shared" si="17"/>
        <v>0.28958333333866904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44547.125</v>
      </c>
      <c r="F19" s="200" t="s">
        <v>94</v>
      </c>
      <c r="G19" s="201">
        <v>7257.48</v>
      </c>
      <c r="H19" s="201">
        <v>7182.13</v>
      </c>
      <c r="I19" s="202">
        <f t="shared" si="1"/>
        <v>75.349999999999454</v>
      </c>
      <c r="J19" s="201">
        <v>7634.22</v>
      </c>
      <c r="K19" s="199">
        <v>44550.125</v>
      </c>
      <c r="L19" s="201">
        <v>7219.45</v>
      </c>
      <c r="M19" s="203">
        <f t="shared" si="2"/>
        <v>-38.03</v>
      </c>
      <c r="N19" s="204">
        <f t="shared" si="3"/>
        <v>-0.5</v>
      </c>
      <c r="O19" s="205">
        <f t="shared" si="4"/>
        <v>0</v>
      </c>
      <c r="P19" s="206">
        <f t="shared" si="5"/>
        <v>0</v>
      </c>
      <c r="Q19" s="206">
        <f t="shared" si="6"/>
        <v>-0.5</v>
      </c>
      <c r="R1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96770</v>
      </c>
      <c r="T1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19" s="208">
        <f ca="1">IF(Tabla336106734823[[#This Row],[Equity]]&lt;Tabla336106734823[[#This Row],[Equity Peak]],(Tabla336106734823[[#This Row],[Equity Peak]]-Tabla336106734823[[#This Row],[Equity]])/Tabla336106734823[[#This Row],[Equity Peak]],"")</f>
        <v>4.547247977904912E-2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-0.5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3</v>
      </c>
      <c r="AE19" s="210">
        <f t="shared" si="16"/>
        <v>0</v>
      </c>
      <c r="AF19" s="210">
        <f t="shared" si="17"/>
        <v>3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44544.791666666664</v>
      </c>
      <c r="F20" s="200" t="s">
        <v>94</v>
      </c>
      <c r="G20" s="201">
        <v>7215.06</v>
      </c>
      <c r="H20" s="201">
        <v>7284.21</v>
      </c>
      <c r="I20" s="202">
        <f t="shared" si="1"/>
        <v>69.149999999999636</v>
      </c>
      <c r="J20" s="201">
        <v>6869.3</v>
      </c>
      <c r="K20" s="199">
        <v>44545.956250000003</v>
      </c>
      <c r="L20" s="201">
        <v>7239.01</v>
      </c>
      <c r="M20" s="203">
        <f t="shared" si="2"/>
        <v>-23.95</v>
      </c>
      <c r="N20" s="204">
        <f t="shared" si="3"/>
        <v>-0.35</v>
      </c>
      <c r="O20" s="205">
        <f t="shared" si="4"/>
        <v>0</v>
      </c>
      <c r="P20" s="206">
        <f t="shared" si="5"/>
        <v>0</v>
      </c>
      <c r="Q20" s="206">
        <f t="shared" si="6"/>
        <v>-0.35</v>
      </c>
      <c r="R2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97270</v>
      </c>
      <c r="T2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0" s="208">
        <f ca="1">IF(Tabla336106734823[[#This Row],[Equity]]&lt;Tabla336106734823[[#This Row],[Equity Peak]],(Tabla336106734823[[#This Row],[Equity Peak]]-Tabla336106734823[[#This Row],[Equity]])/Tabla336106734823[[#This Row],[Equity Peak]],"")</f>
        <v>4.0540540540540543E-2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-0.35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1.164583333338669</v>
      </c>
      <c r="AE20" s="210">
        <f t="shared" si="16"/>
        <v>0</v>
      </c>
      <c r="AF20" s="210">
        <f t="shared" si="17"/>
        <v>1.164583333338669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44536.791666666664</v>
      </c>
      <c r="F21" s="200" t="s">
        <v>94</v>
      </c>
      <c r="G21" s="201">
        <v>7221.77</v>
      </c>
      <c r="H21" s="201">
        <v>7123.92</v>
      </c>
      <c r="I21" s="202">
        <f t="shared" si="1"/>
        <v>97.850000000000364</v>
      </c>
      <c r="J21" s="201">
        <v>7711.01</v>
      </c>
      <c r="K21" s="199">
        <v>44540.321527777778</v>
      </c>
      <c r="L21" s="201">
        <v>7293.81</v>
      </c>
      <c r="M21" s="203">
        <f t="shared" si="2"/>
        <v>72.040000000000006</v>
      </c>
      <c r="N21" s="204">
        <f t="shared" si="3"/>
        <v>0.74</v>
      </c>
      <c r="O21" s="205">
        <f t="shared" si="4"/>
        <v>0</v>
      </c>
      <c r="P21" s="206">
        <f t="shared" si="5"/>
        <v>0.74</v>
      </c>
      <c r="Q21" s="206">
        <f t="shared" si="6"/>
        <v>0</v>
      </c>
      <c r="R2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97620</v>
      </c>
      <c r="T2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1" s="208">
        <f ca="1">IF(Tabla336106734823[[#This Row],[Equity]]&lt;Tabla336106734823[[#This Row],[Equity Peak]],(Tabla336106734823[[#This Row],[Equity Peak]]-Tabla336106734823[[#This Row],[Equity]])/Tabla336106734823[[#This Row],[Equity Peak]],"")</f>
        <v>3.7088183073584531E-2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0.74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3.5298611111138598</v>
      </c>
      <c r="AE21" s="210">
        <f t="shared" si="16"/>
        <v>3.5298611111138598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44526.291666666664</v>
      </c>
      <c r="F22" s="200" t="s">
        <v>94</v>
      </c>
      <c r="G22" s="201">
        <v>7184.88</v>
      </c>
      <c r="H22" s="201">
        <v>7264.85</v>
      </c>
      <c r="I22" s="202">
        <f t="shared" si="1"/>
        <v>79.970000000000255</v>
      </c>
      <c r="J22" s="201">
        <v>6785.04</v>
      </c>
      <c r="K22" s="199">
        <v>44529.128472222219</v>
      </c>
      <c r="L22" s="201">
        <v>7133.82</v>
      </c>
      <c r="M22" s="203">
        <f t="shared" si="2"/>
        <v>51.06</v>
      </c>
      <c r="N22" s="204">
        <f t="shared" si="3"/>
        <v>0.64</v>
      </c>
      <c r="O22" s="205">
        <f t="shared" si="4"/>
        <v>0</v>
      </c>
      <c r="P22" s="206">
        <f t="shared" si="5"/>
        <v>0.64</v>
      </c>
      <c r="Q22" s="206">
        <f t="shared" si="6"/>
        <v>0</v>
      </c>
      <c r="R2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96880</v>
      </c>
      <c r="T2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2" s="208">
        <f ca="1">IF(Tabla336106734823[[#This Row],[Equity]]&lt;Tabla336106734823[[#This Row],[Equity Peak]],(Tabla336106734823[[#This Row],[Equity Peak]]-Tabla336106734823[[#This Row],[Equity]])/Tabla336106734823[[#This Row],[Equity Peak]],"")</f>
        <v>4.4387453146577237E-2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0.64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2.8368055555547471</v>
      </c>
      <c r="AE22" s="210">
        <f t="shared" si="16"/>
        <v>2.8368055555547471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44525.125</v>
      </c>
      <c r="F23" s="200" t="s">
        <v>94</v>
      </c>
      <c r="G23" s="201">
        <v>7298.64</v>
      </c>
      <c r="H23" s="201">
        <v>7217.76</v>
      </c>
      <c r="I23" s="202">
        <f t="shared" si="1"/>
        <v>80.880000000000109</v>
      </c>
      <c r="J23" s="201">
        <v>7703.05</v>
      </c>
      <c r="K23" s="199">
        <v>44526.125</v>
      </c>
      <c r="L23" s="201">
        <v>7263.57</v>
      </c>
      <c r="M23" s="203">
        <f t="shared" si="2"/>
        <v>-35.07</v>
      </c>
      <c r="N23" s="204">
        <f t="shared" si="3"/>
        <v>-0.43</v>
      </c>
      <c r="O23" s="205">
        <f t="shared" si="4"/>
        <v>0</v>
      </c>
      <c r="P23" s="206">
        <f t="shared" si="5"/>
        <v>0</v>
      </c>
      <c r="Q23" s="206">
        <f t="shared" si="6"/>
        <v>-0.43</v>
      </c>
      <c r="R2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96240</v>
      </c>
      <c r="T2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3" s="208">
        <f ca="1">IF(Tabla336106734823[[#This Row],[Equity]]&lt;Tabla336106734823[[#This Row],[Equity Peak]],(Tabla336106734823[[#This Row],[Equity Peak]]-Tabla336106734823[[#This Row],[Equity]])/Tabla336106734823[[#This Row],[Equity Peak]],"")</f>
        <v>5.0700335371868216E-2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-0.43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</v>
      </c>
      <c r="AE23" s="210">
        <f t="shared" si="16"/>
        <v>0</v>
      </c>
      <c r="AF23" s="210">
        <f t="shared" si="17"/>
        <v>1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44517.791666666664</v>
      </c>
      <c r="F24" s="200" t="s">
        <v>94</v>
      </c>
      <c r="G24" s="201">
        <v>7290.63</v>
      </c>
      <c r="H24" s="201">
        <v>7338.76</v>
      </c>
      <c r="I24" s="202">
        <f t="shared" si="1"/>
        <v>48.130000000000109</v>
      </c>
      <c r="J24" s="201">
        <v>7049.97</v>
      </c>
      <c r="K24" s="199">
        <v>44519.350694444445</v>
      </c>
      <c r="L24" s="201">
        <v>7293.65</v>
      </c>
      <c r="M24" s="203">
        <f t="shared" si="2"/>
        <v>-3.02</v>
      </c>
      <c r="N24" s="204">
        <f t="shared" si="3"/>
        <v>-0.06</v>
      </c>
      <c r="O24" s="205">
        <f t="shared" si="4"/>
        <v>0</v>
      </c>
      <c r="P24" s="206">
        <f t="shared" si="5"/>
        <v>0</v>
      </c>
      <c r="Q24" s="206">
        <f t="shared" si="6"/>
        <v>-0.06</v>
      </c>
      <c r="R2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96670</v>
      </c>
      <c r="T2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4" s="208">
        <f ca="1">IF(Tabla336106734823[[#This Row],[Equity]]&lt;Tabla336106734823[[#This Row],[Equity Peak]],(Tabla336106734823[[#This Row],[Equity Peak]]-Tabla336106734823[[#This Row],[Equity]])/Tabla336106734823[[#This Row],[Equity Peak]],"")</f>
        <v>4.645886762675084E-2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-0.06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1.5590277777810115</v>
      </c>
      <c r="AE24" s="210">
        <f t="shared" si="16"/>
        <v>0</v>
      </c>
      <c r="AF24" s="210">
        <f t="shared" si="17"/>
        <v>1.5590277777810115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44476.625</v>
      </c>
      <c r="F25" s="200" t="s">
        <v>94</v>
      </c>
      <c r="G25" s="201">
        <v>7065.07</v>
      </c>
      <c r="H25" s="201">
        <v>6981.66</v>
      </c>
      <c r="I25" s="202">
        <f t="shared" si="1"/>
        <v>83.409999999999854</v>
      </c>
      <c r="J25" s="201">
        <v>7482.11</v>
      </c>
      <c r="K25" s="199">
        <v>44481.37777777778</v>
      </c>
      <c r="L25" s="201">
        <v>7075.74</v>
      </c>
      <c r="M25" s="203">
        <f t="shared" si="2"/>
        <v>10.67</v>
      </c>
      <c r="N25" s="204">
        <f t="shared" si="3"/>
        <v>0.13</v>
      </c>
      <c r="O25" s="205">
        <f t="shared" si="4"/>
        <v>0</v>
      </c>
      <c r="P25" s="206">
        <f t="shared" si="5"/>
        <v>0.13</v>
      </c>
      <c r="Q25" s="206">
        <f t="shared" si="6"/>
        <v>0</v>
      </c>
      <c r="R2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96730</v>
      </c>
      <c r="T2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5" s="208">
        <f ca="1">IF(Tabla336106734823[[#This Row],[Equity]]&lt;Tabla336106734823[[#This Row],[Equity Peak]],(Tabla336106734823[[#This Row],[Equity Peak]]-Tabla336106734823[[#This Row],[Equity]])/Tabla336106734823[[#This Row],[Equity Peak]],"")</f>
        <v>4.5867034918129809E-2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0.13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4.7527777777795563</v>
      </c>
      <c r="AE25" s="210">
        <f t="shared" si="16"/>
        <v>4.7527777777795563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44475.458333333336</v>
      </c>
      <c r="F26" s="200" t="s">
        <v>94</v>
      </c>
      <c r="G26" s="201">
        <v>6983.09</v>
      </c>
      <c r="H26" s="201">
        <v>7071.2</v>
      </c>
      <c r="I26" s="202">
        <f t="shared" si="1"/>
        <v>88.109999999999673</v>
      </c>
      <c r="J26" s="201">
        <v>6542.56</v>
      </c>
      <c r="K26" s="199">
        <v>44475.90347222222</v>
      </c>
      <c r="L26" s="201">
        <v>7033.19</v>
      </c>
      <c r="M26" s="203">
        <f t="shared" si="2"/>
        <v>-50.1</v>
      </c>
      <c r="N26" s="204">
        <f t="shared" si="3"/>
        <v>-0.56999999999999995</v>
      </c>
      <c r="O26" s="205">
        <f t="shared" si="4"/>
        <v>0</v>
      </c>
      <c r="P26" s="206">
        <f t="shared" si="5"/>
        <v>0</v>
      </c>
      <c r="Q26" s="206">
        <f t="shared" si="6"/>
        <v>-0.56999999999999995</v>
      </c>
      <c r="R2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96600</v>
      </c>
      <c r="T2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6" s="208">
        <f ca="1">IF(Tabla336106734823[[#This Row],[Equity]]&lt;Tabla336106734823[[#This Row],[Equity Peak]],(Tabla336106734823[[#This Row],[Equity Peak]]-Tabla336106734823[[#This Row],[Equity]])/Tabla336106734823[[#This Row],[Equity Peak]],"")</f>
        <v>4.7149339120142041E-2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-0.56999999999999995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0.445138888884685</v>
      </c>
      <c r="AE26" s="210">
        <f t="shared" si="16"/>
        <v>0</v>
      </c>
      <c r="AF26" s="210">
        <f t="shared" si="17"/>
        <v>0.445138888884685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44474.791666666664</v>
      </c>
      <c r="F27" s="200" t="s">
        <v>94</v>
      </c>
      <c r="G27" s="201">
        <v>7079.24</v>
      </c>
      <c r="H27" s="201">
        <v>6985.57</v>
      </c>
      <c r="I27" s="202">
        <f t="shared" si="1"/>
        <v>93.670000000000073</v>
      </c>
      <c r="J27" s="201">
        <v>7547.61</v>
      </c>
      <c r="K27" s="199">
        <v>44475.421527777777</v>
      </c>
      <c r="L27" s="201">
        <v>7008.16</v>
      </c>
      <c r="M27" s="203">
        <f t="shared" si="2"/>
        <v>-71.08</v>
      </c>
      <c r="N27" s="204">
        <f t="shared" si="3"/>
        <v>-0.76</v>
      </c>
      <c r="O27" s="205">
        <f t="shared" si="4"/>
        <v>0</v>
      </c>
      <c r="P27" s="206">
        <f t="shared" si="5"/>
        <v>0</v>
      </c>
      <c r="Q27" s="206">
        <f t="shared" si="6"/>
        <v>-0.76</v>
      </c>
      <c r="R2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97170</v>
      </c>
      <c r="T2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7" s="208">
        <f ca="1">IF(Tabla336106734823[[#This Row],[Equity]]&lt;Tabla336106734823[[#This Row],[Equity Peak]],(Tabla336106734823[[#This Row],[Equity Peak]]-Tabla336106734823[[#This Row],[Equity]])/Tabla336106734823[[#This Row],[Equity Peak]],"")</f>
        <v>4.1526928388242255E-2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-0.76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0.62986111111240461</v>
      </c>
      <c r="AE27" s="210">
        <f t="shared" si="16"/>
        <v>0</v>
      </c>
      <c r="AF27" s="210">
        <f t="shared" si="17"/>
        <v>0.62986111111240461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13</v>
      </c>
      <c r="D28" s="198" t="str">
        <f t="shared" si="0"/>
        <v>C</v>
      </c>
      <c r="E28" s="199">
        <v>44470.625</v>
      </c>
      <c r="F28" s="200" t="s">
        <v>94</v>
      </c>
      <c r="G28" s="201">
        <v>7035.06</v>
      </c>
      <c r="H28" s="201">
        <v>7126.01</v>
      </c>
      <c r="I28" s="202">
        <f t="shared" si="1"/>
        <v>90.949999999999818</v>
      </c>
      <c r="J28" s="201">
        <v>6580.3</v>
      </c>
      <c r="K28" s="199">
        <v>44474.791666666664</v>
      </c>
      <c r="L28" s="201">
        <v>7079.24</v>
      </c>
      <c r="M28" s="203">
        <f t="shared" si="2"/>
        <v>-44.18</v>
      </c>
      <c r="N28" s="204">
        <f t="shared" si="3"/>
        <v>-0.49</v>
      </c>
      <c r="O28" s="205">
        <f t="shared" si="4"/>
        <v>0</v>
      </c>
      <c r="P28" s="206">
        <f t="shared" si="5"/>
        <v>0</v>
      </c>
      <c r="Q28" s="206">
        <f t="shared" si="6"/>
        <v>-0.49</v>
      </c>
      <c r="R2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97930</v>
      </c>
      <c r="T2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8" s="208">
        <f ca="1">IF(Tabla336106734823[[#This Row],[Equity]]&lt;Tabla336106734823[[#This Row],[Equity Peak]],(Tabla336106734823[[#This Row],[Equity Peak]]-Tabla336106734823[[#This Row],[Equity]])/Tabla336106734823[[#This Row],[Equity Peak]],"")</f>
        <v>3.4030380745709216E-2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-0.49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4.1666666666642413</v>
      </c>
      <c r="AE28" s="210">
        <f t="shared" si="16"/>
        <v>0</v>
      </c>
      <c r="AF28" s="210">
        <f t="shared" si="17"/>
        <v>4.1666666666642413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44468.458333333336</v>
      </c>
      <c r="F29" s="200" t="s">
        <v>94</v>
      </c>
      <c r="G29" s="201">
        <v>7089.21</v>
      </c>
      <c r="H29" s="201">
        <v>7003.78</v>
      </c>
      <c r="I29" s="202">
        <f t="shared" si="1"/>
        <v>85.430000000000291</v>
      </c>
      <c r="J29" s="201">
        <v>7516.34</v>
      </c>
      <c r="K29" s="199">
        <v>44469.693055555559</v>
      </c>
      <c r="L29" s="201">
        <v>7086.94</v>
      </c>
      <c r="M29" s="203">
        <f t="shared" si="2"/>
        <v>-2.27</v>
      </c>
      <c r="N29" s="204">
        <f t="shared" si="3"/>
        <v>-0.03</v>
      </c>
      <c r="O29" s="205">
        <f t="shared" si="4"/>
        <v>0</v>
      </c>
      <c r="P29" s="206">
        <f t="shared" si="5"/>
        <v>0</v>
      </c>
      <c r="Q29" s="206">
        <f t="shared" si="6"/>
        <v>-0.03</v>
      </c>
      <c r="R2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98420</v>
      </c>
      <c r="T2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29" s="208">
        <f ca="1">IF(Tabla336106734823[[#This Row],[Equity]]&lt;Tabla336106734823[[#This Row],[Equity Peak]],(Tabla336106734823[[#This Row],[Equity Peak]]-Tabla336106734823[[#This Row],[Equity]])/Tabla336106734823[[#This Row],[Equity Peak]],"")</f>
        <v>2.9197080291970802E-2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-0.03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1.234722222223354</v>
      </c>
      <c r="AE29" s="210">
        <f t="shared" si="16"/>
        <v>0</v>
      </c>
      <c r="AF29" s="210">
        <f t="shared" si="17"/>
        <v>1.234722222223354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13</v>
      </c>
      <c r="D30" s="198" t="str">
        <f t="shared" si="0"/>
        <v>C</v>
      </c>
      <c r="E30" s="199">
        <v>44467.791666666664</v>
      </c>
      <c r="F30" s="200" t="s">
        <v>94</v>
      </c>
      <c r="G30" s="201">
        <v>7025.15</v>
      </c>
      <c r="H30" s="201">
        <v>7102.93</v>
      </c>
      <c r="I30" s="202">
        <f t="shared" si="1"/>
        <v>77.780000000000655</v>
      </c>
      <c r="J30" s="201">
        <v>6636.24</v>
      </c>
      <c r="K30" s="199">
        <v>44468.432638888888</v>
      </c>
      <c r="L30" s="201">
        <v>7081.07</v>
      </c>
      <c r="M30" s="203">
        <f t="shared" si="2"/>
        <v>-55.92</v>
      </c>
      <c r="N30" s="204">
        <f t="shared" si="3"/>
        <v>-0.72</v>
      </c>
      <c r="O30" s="205">
        <f t="shared" si="4"/>
        <v>0</v>
      </c>
      <c r="P30" s="206">
        <f t="shared" si="5"/>
        <v>0</v>
      </c>
      <c r="Q30" s="206">
        <f t="shared" si="6"/>
        <v>-0.72</v>
      </c>
      <c r="R3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98450</v>
      </c>
      <c r="T3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0" s="208">
        <f ca="1">IF(Tabla336106734823[[#This Row],[Equity]]&lt;Tabla336106734823[[#This Row],[Equity Peak]],(Tabla336106734823[[#This Row],[Equity Peak]]-Tabla336106734823[[#This Row],[Equity]])/Tabla336106734823[[#This Row],[Equity Peak]],"")</f>
        <v>2.8901163937660287E-2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-0.72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0.64097222222335404</v>
      </c>
      <c r="AE30" s="210">
        <f t="shared" si="16"/>
        <v>0</v>
      </c>
      <c r="AF30" s="210">
        <f t="shared" si="17"/>
        <v>0.64097222222335404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44461.791666666664</v>
      </c>
      <c r="F31" s="200" t="s">
        <v>94</v>
      </c>
      <c r="G31" s="201">
        <v>7091.41</v>
      </c>
      <c r="H31" s="201">
        <v>6980.28</v>
      </c>
      <c r="I31" s="202">
        <f t="shared" si="1"/>
        <v>111.13000000000011</v>
      </c>
      <c r="J31" s="201">
        <v>7647.05</v>
      </c>
      <c r="K31" s="199">
        <v>44467.435416666667</v>
      </c>
      <c r="L31" s="201">
        <v>7037.81</v>
      </c>
      <c r="M31" s="203">
        <f t="shared" si="2"/>
        <v>-53.6</v>
      </c>
      <c r="N31" s="204">
        <f t="shared" si="3"/>
        <v>-0.48</v>
      </c>
      <c r="O31" s="205">
        <f t="shared" si="4"/>
        <v>0</v>
      </c>
      <c r="P31" s="206">
        <f t="shared" si="5"/>
        <v>0</v>
      </c>
      <c r="Q31" s="206">
        <f t="shared" si="6"/>
        <v>-0.48</v>
      </c>
      <c r="R3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99170</v>
      </c>
      <c r="T3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1" s="208">
        <f ca="1">IF(Tabla336106734823[[#This Row],[Equity]]&lt;Tabla336106734823[[#This Row],[Equity Peak]],(Tabla336106734823[[#This Row],[Equity Peak]]-Tabla336106734823[[#This Row],[Equity]])/Tabla336106734823[[#This Row],[Equity Peak]],"")</f>
        <v>2.1799171434207929E-2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-0.48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5.6437500000029104</v>
      </c>
      <c r="AE31" s="210">
        <f t="shared" si="16"/>
        <v>0</v>
      </c>
      <c r="AF31" s="210">
        <f t="shared" si="17"/>
        <v>5.6437500000029104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13</v>
      </c>
      <c r="D32" s="198" t="str">
        <f t="shared" si="0"/>
        <v>C</v>
      </c>
      <c r="E32" s="199">
        <v>44447.291666666664</v>
      </c>
      <c r="F32" s="200" t="s">
        <v>94</v>
      </c>
      <c r="G32" s="201">
        <v>7116.49</v>
      </c>
      <c r="H32" s="201">
        <v>7167.19</v>
      </c>
      <c r="I32" s="202">
        <f t="shared" si="1"/>
        <v>50.699999999999818</v>
      </c>
      <c r="J32" s="201">
        <v>6863</v>
      </c>
      <c r="K32" s="199">
        <v>44447.616666666669</v>
      </c>
      <c r="L32" s="201">
        <v>7126.34</v>
      </c>
      <c r="M32" s="203">
        <f t="shared" si="2"/>
        <v>-9.85</v>
      </c>
      <c r="N32" s="204">
        <f t="shared" si="3"/>
        <v>-0.19</v>
      </c>
      <c r="O32" s="205">
        <f t="shared" si="4"/>
        <v>0</v>
      </c>
      <c r="P32" s="206">
        <f t="shared" si="5"/>
        <v>0</v>
      </c>
      <c r="Q32" s="206">
        <f t="shared" si="6"/>
        <v>-0.19</v>
      </c>
      <c r="R3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99650</v>
      </c>
      <c r="T3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2" s="208">
        <f ca="1">IF(Tabla336106734823[[#This Row],[Equity]]&lt;Tabla336106734823[[#This Row],[Equity Peak]],(Tabla336106734823[[#This Row],[Equity Peak]]-Tabla336106734823[[#This Row],[Equity]])/Tabla336106734823[[#This Row],[Equity Peak]],"")</f>
        <v>1.7064509765239693E-2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-0.19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0.32500000000436557</v>
      </c>
      <c r="AE32" s="210">
        <f t="shared" si="16"/>
        <v>0</v>
      </c>
      <c r="AF32" s="210">
        <f t="shared" si="17"/>
        <v>0.32500000000436557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44433.625</v>
      </c>
      <c r="F33" s="200" t="s">
        <v>94</v>
      </c>
      <c r="G33" s="201">
        <v>7134.02</v>
      </c>
      <c r="H33" s="201">
        <v>7081.87</v>
      </c>
      <c r="I33" s="202">
        <f t="shared" si="1"/>
        <v>52.150000000000546</v>
      </c>
      <c r="J33" s="201">
        <v>7394.75</v>
      </c>
      <c r="K33" s="199">
        <v>44434.401388888888</v>
      </c>
      <c r="L33" s="201">
        <v>7105.21</v>
      </c>
      <c r="M33" s="203">
        <f t="shared" si="2"/>
        <v>-28.81</v>
      </c>
      <c r="N33" s="204">
        <f t="shared" si="3"/>
        <v>-0.55000000000000004</v>
      </c>
      <c r="O33" s="205">
        <f t="shared" si="4"/>
        <v>0</v>
      </c>
      <c r="P33" s="206">
        <f t="shared" si="5"/>
        <v>0</v>
      </c>
      <c r="Q33" s="206">
        <f t="shared" si="6"/>
        <v>-0.55000000000000004</v>
      </c>
      <c r="R3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99840</v>
      </c>
      <c r="T3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3" s="208">
        <f ca="1">IF(Tabla336106734823[[#This Row],[Equity]]&lt;Tabla336106734823[[#This Row],[Equity Peak]],(Tabla336106734823[[#This Row],[Equity Peak]]-Tabla336106734823[[#This Row],[Equity]])/Tabla336106734823[[#This Row],[Equity Peak]],"")</f>
        <v>1.5190372854606431E-2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-0.55000000000000004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0.77638888888759539</v>
      </c>
      <c r="AE33" s="210">
        <f t="shared" si="16"/>
        <v>0</v>
      </c>
      <c r="AF33" s="210">
        <f t="shared" si="17"/>
        <v>0.77638888888759539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0"/>
        <v>C</v>
      </c>
      <c r="E34" s="199">
        <v>44427.291666666664</v>
      </c>
      <c r="F34" s="200" t="s">
        <v>94</v>
      </c>
      <c r="G34" s="201">
        <v>7099.65</v>
      </c>
      <c r="H34" s="201">
        <v>7169.85</v>
      </c>
      <c r="I34" s="202">
        <f t="shared" si="1"/>
        <v>70.200000000000728</v>
      </c>
      <c r="J34" s="201">
        <v>6748.64</v>
      </c>
      <c r="K34" s="199">
        <v>44428.795138888891</v>
      </c>
      <c r="L34" s="201">
        <v>7096.37</v>
      </c>
      <c r="M34" s="203">
        <f t="shared" si="2"/>
        <v>3.28</v>
      </c>
      <c r="N34" s="204">
        <f t="shared" si="3"/>
        <v>0.05</v>
      </c>
      <c r="O34" s="205">
        <f t="shared" si="4"/>
        <v>0</v>
      </c>
      <c r="P34" s="206">
        <f t="shared" si="5"/>
        <v>0.05</v>
      </c>
      <c r="Q34" s="206">
        <f t="shared" si="6"/>
        <v>0</v>
      </c>
      <c r="R3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100390</v>
      </c>
      <c r="T3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4" s="208">
        <f ca="1">IF(Tabla336106734823[[#This Row],[Equity]]&lt;Tabla336106734823[[#This Row],[Equity Peak]],(Tabla336106734823[[#This Row],[Equity Peak]]-Tabla336106734823[[#This Row],[Equity]])/Tabla336106734823[[#This Row],[Equity Peak]],"")</f>
        <v>9.7652396922469908E-3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0.05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1.5034722222262644</v>
      </c>
      <c r="AE34" s="210">
        <f t="shared" si="16"/>
        <v>1.5034722222262644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0"/>
        <v>C</v>
      </c>
      <c r="E35" s="199">
        <v>44420.125</v>
      </c>
      <c r="F35" s="200" t="s">
        <v>94</v>
      </c>
      <c r="G35" s="201">
        <v>7196.37</v>
      </c>
      <c r="H35" s="201">
        <v>7149.45</v>
      </c>
      <c r="I35" s="202">
        <f t="shared" si="1"/>
        <v>46.920000000000073</v>
      </c>
      <c r="J35" s="201">
        <v>7430.96</v>
      </c>
      <c r="K35" s="199">
        <v>44420.158333333333</v>
      </c>
      <c r="L35" s="201">
        <v>7188.7</v>
      </c>
      <c r="M35" s="203">
        <f t="shared" si="2"/>
        <v>-7.67</v>
      </c>
      <c r="N35" s="204">
        <f t="shared" si="3"/>
        <v>-0.16</v>
      </c>
      <c r="O35" s="205">
        <f t="shared" si="4"/>
        <v>0</v>
      </c>
      <c r="P35" s="206">
        <f t="shared" si="5"/>
        <v>0</v>
      </c>
      <c r="Q35" s="206">
        <f t="shared" si="6"/>
        <v>-0.16</v>
      </c>
      <c r="R3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100340</v>
      </c>
      <c r="T3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5" s="208">
        <f ca="1">IF(Tabla336106734823[[#This Row],[Equity]]&lt;Tabla336106734823[[#This Row],[Equity Peak]],(Tabla336106734823[[#This Row],[Equity Peak]]-Tabla336106734823[[#This Row],[Equity]])/Tabla336106734823[[#This Row],[Equity Peak]],"")</f>
        <v>1.0258433616097849E-2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-0.16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3.3333333332848269E-2</v>
      </c>
      <c r="AE35" s="210">
        <f t="shared" si="16"/>
        <v>0</v>
      </c>
      <c r="AF35" s="210">
        <f t="shared" si="17"/>
        <v>3.3333333332848269E-2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0"/>
        <v>C</v>
      </c>
      <c r="E36" s="199">
        <v>44406.458333333336</v>
      </c>
      <c r="F36" s="200" t="s">
        <v>94</v>
      </c>
      <c r="G36" s="201">
        <v>7038.89</v>
      </c>
      <c r="H36" s="201">
        <v>6970.07</v>
      </c>
      <c r="I36" s="202">
        <f t="shared" si="1"/>
        <v>68.820000000000618</v>
      </c>
      <c r="J36" s="201">
        <v>7382.98</v>
      </c>
      <c r="K36" s="199">
        <v>44407.35</v>
      </c>
      <c r="L36" s="201">
        <v>7016.2</v>
      </c>
      <c r="M36" s="203">
        <f t="shared" si="2"/>
        <v>-22.69</v>
      </c>
      <c r="N36" s="204">
        <f t="shared" si="3"/>
        <v>-0.33</v>
      </c>
      <c r="O36" s="205">
        <f t="shared" si="4"/>
        <v>0</v>
      </c>
      <c r="P36" s="206">
        <f t="shared" si="5"/>
        <v>0</v>
      </c>
      <c r="Q36" s="206">
        <f t="shared" si="6"/>
        <v>-0.33</v>
      </c>
      <c r="R3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100500</v>
      </c>
      <c r="T3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6" s="208">
        <f ca="1">IF(Tabla336106734823[[#This Row],[Equity]]&lt;Tabla336106734823[[#This Row],[Equity Peak]],(Tabla336106734823[[#This Row],[Equity Peak]]-Tabla336106734823[[#This Row],[Equity]])/Tabla336106734823[[#This Row],[Equity Peak]],"")</f>
        <v>8.6802130597751041E-3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-0.33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0.89166666666278616</v>
      </c>
      <c r="AE36" s="210">
        <f t="shared" si="16"/>
        <v>0</v>
      </c>
      <c r="AF36" s="210">
        <f t="shared" si="17"/>
        <v>0.89166666666278616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0"/>
        <v>C</v>
      </c>
      <c r="E37" s="199">
        <v>44403.125</v>
      </c>
      <c r="F37" s="200" t="s">
        <v>94</v>
      </c>
      <c r="G37" s="201">
        <v>7016.39</v>
      </c>
      <c r="H37" s="201">
        <v>6942.57</v>
      </c>
      <c r="I37" s="202">
        <f t="shared" si="1"/>
        <v>73.820000000000618</v>
      </c>
      <c r="J37" s="201">
        <v>7385.51</v>
      </c>
      <c r="K37" s="199">
        <v>44404.417361111111</v>
      </c>
      <c r="L37" s="201">
        <v>6975.51</v>
      </c>
      <c r="M37" s="203">
        <f t="shared" si="2"/>
        <v>-40.880000000000003</v>
      </c>
      <c r="N37" s="204">
        <f t="shared" si="3"/>
        <v>-0.55000000000000004</v>
      </c>
      <c r="O37" s="205">
        <f t="shared" si="4"/>
        <v>0</v>
      </c>
      <c r="P37" s="206">
        <f t="shared" si="5"/>
        <v>0</v>
      </c>
      <c r="Q37" s="206">
        <f t="shared" si="6"/>
        <v>-0.55000000000000004</v>
      </c>
      <c r="R3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100830</v>
      </c>
      <c r="T3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7" s="208">
        <f ca="1">IF(Tabla336106734823[[#This Row],[Equity]]&lt;Tabla336106734823[[#This Row],[Equity Peak]],(Tabla336106734823[[#This Row],[Equity Peak]]-Tabla336106734823[[#This Row],[Equity]])/Tabla336106734823[[#This Row],[Equity Peak]],"")</f>
        <v>5.4251331623594396E-3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-0.55000000000000004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1.2923611111109494</v>
      </c>
      <c r="AE37" s="210">
        <f t="shared" si="16"/>
        <v>0</v>
      </c>
      <c r="AF37" s="210">
        <f t="shared" si="17"/>
        <v>1.2923611111109494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13</v>
      </c>
      <c r="D38" s="198" t="str">
        <f t="shared" si="0"/>
        <v>C</v>
      </c>
      <c r="E38" s="199">
        <v>44391.625</v>
      </c>
      <c r="F38" s="200" t="s">
        <v>94</v>
      </c>
      <c r="G38" s="201">
        <v>7084.91</v>
      </c>
      <c r="H38" s="201">
        <v>7140.01</v>
      </c>
      <c r="I38" s="202">
        <f t="shared" si="1"/>
        <v>55.100000000000364</v>
      </c>
      <c r="J38" s="201">
        <v>6809.41</v>
      </c>
      <c r="K38" s="199">
        <v>44396.712500000001</v>
      </c>
      <c r="L38" s="201">
        <v>6809.41</v>
      </c>
      <c r="M38" s="203">
        <f t="shared" si="2"/>
        <v>275.5</v>
      </c>
      <c r="N38" s="204">
        <f t="shared" si="3"/>
        <v>5</v>
      </c>
      <c r="O38" s="205">
        <f t="shared" si="4"/>
        <v>0</v>
      </c>
      <c r="P38" s="206">
        <f t="shared" si="5"/>
        <v>5</v>
      </c>
      <c r="Q38" s="206">
        <f t="shared" si="6"/>
        <v>0</v>
      </c>
      <c r="R3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101380</v>
      </c>
      <c r="T3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101380</v>
      </c>
      <c r="U38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5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5.0875000000014552</v>
      </c>
      <c r="AE38" s="210">
        <f t="shared" si="16"/>
        <v>5.0875000000014552</v>
      </c>
      <c r="AF38" s="210">
        <f t="shared" si="17"/>
        <v>0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0"/>
        <v>C</v>
      </c>
      <c r="E39" s="199">
        <v>44390.125</v>
      </c>
      <c r="F39" s="200" t="s">
        <v>94</v>
      </c>
      <c r="G39" s="201">
        <v>7119.71</v>
      </c>
      <c r="H39" s="201">
        <v>7026.67</v>
      </c>
      <c r="I39" s="202">
        <f t="shared" si="1"/>
        <v>93.039999999999964</v>
      </c>
      <c r="J39" s="201">
        <v>7584.92</v>
      </c>
      <c r="K39" s="199">
        <v>44391.431250000001</v>
      </c>
      <c r="L39" s="201">
        <v>7074.96</v>
      </c>
      <c r="M39" s="203">
        <f t="shared" si="2"/>
        <v>-44.75</v>
      </c>
      <c r="N39" s="204">
        <f t="shared" si="3"/>
        <v>-0.48</v>
      </c>
      <c r="O39" s="205">
        <f t="shared" si="4"/>
        <v>0</v>
      </c>
      <c r="P39" s="206">
        <f t="shared" si="5"/>
        <v>0</v>
      </c>
      <c r="Q39" s="206">
        <f t="shared" si="6"/>
        <v>-0.48</v>
      </c>
      <c r="R3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96380</v>
      </c>
      <c r="T3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39" s="208">
        <f ca="1">IF(Tabla336106734823[[#This Row],[Equity]]&lt;Tabla336106734823[[#This Row],[Equity Peak]],(Tabla336106734823[[#This Row],[Equity Peak]]-Tabla336106734823[[#This Row],[Equity]])/Tabla336106734823[[#This Row],[Equity Peak]],"")</f>
        <v>3.6200000000000003E-2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-0.48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1.3062500000014552</v>
      </c>
      <c r="AE39" s="210">
        <f t="shared" si="16"/>
        <v>0</v>
      </c>
      <c r="AF39" s="210">
        <f t="shared" si="17"/>
        <v>1.3062500000014552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13</v>
      </c>
      <c r="D40" s="198" t="str">
        <f t="shared" si="0"/>
        <v>C</v>
      </c>
      <c r="E40" s="199">
        <v>44385.458333333336</v>
      </c>
      <c r="F40" s="200" t="s">
        <v>94</v>
      </c>
      <c r="G40" s="201">
        <v>7070.39</v>
      </c>
      <c r="H40" s="201">
        <v>7140.55</v>
      </c>
      <c r="I40" s="202">
        <f t="shared" si="1"/>
        <v>70.159999999999854</v>
      </c>
      <c r="J40" s="201">
        <v>6719.6</v>
      </c>
      <c r="K40" s="199">
        <v>44386.48541666667</v>
      </c>
      <c r="L40" s="201">
        <v>7079.29</v>
      </c>
      <c r="M40" s="203">
        <f t="shared" si="2"/>
        <v>-8.9</v>
      </c>
      <c r="N40" s="204">
        <f t="shared" si="3"/>
        <v>-0.13</v>
      </c>
      <c r="O40" s="205">
        <f t="shared" si="4"/>
        <v>0</v>
      </c>
      <c r="P40" s="206">
        <f t="shared" si="5"/>
        <v>0</v>
      </c>
      <c r="Q40" s="206">
        <f t="shared" si="6"/>
        <v>-0.13</v>
      </c>
      <c r="R4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96860</v>
      </c>
      <c r="T4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0" s="208">
        <f ca="1">IF(Tabla336106734823[[#This Row],[Equity]]&lt;Tabla336106734823[[#This Row],[Equity Peak]],(Tabla336106734823[[#This Row],[Equity Peak]]-Tabla336106734823[[#This Row],[Equity]])/Tabla336106734823[[#This Row],[Equity Peak]],"")</f>
        <v>3.1399999999999997E-2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-0.13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1.0270833333343035</v>
      </c>
      <c r="AE40" s="210">
        <f t="shared" si="16"/>
        <v>0</v>
      </c>
      <c r="AF40" s="210">
        <f t="shared" si="17"/>
        <v>1.0270833333343035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15</v>
      </c>
      <c r="D41" s="198" t="str">
        <f t="shared" si="0"/>
        <v>C</v>
      </c>
      <c r="E41" s="199">
        <v>44378.791666666664</v>
      </c>
      <c r="F41" s="200" t="s">
        <v>94</v>
      </c>
      <c r="G41" s="201">
        <v>7115.72</v>
      </c>
      <c r="H41" s="201">
        <v>7037.53</v>
      </c>
      <c r="I41" s="202">
        <f t="shared" si="1"/>
        <v>78.190000000000509</v>
      </c>
      <c r="J41" s="201">
        <v>7506.67</v>
      </c>
      <c r="K41" s="199">
        <v>44383.714583333334</v>
      </c>
      <c r="L41" s="201">
        <v>7114.02</v>
      </c>
      <c r="M41" s="203">
        <f t="shared" si="2"/>
        <v>-1.7</v>
      </c>
      <c r="N41" s="204">
        <f t="shared" si="3"/>
        <v>-0.02</v>
      </c>
      <c r="O41" s="205">
        <f t="shared" si="4"/>
        <v>0</v>
      </c>
      <c r="P41" s="206">
        <f t="shared" si="5"/>
        <v>0</v>
      </c>
      <c r="Q41" s="206">
        <f t="shared" si="6"/>
        <v>-0.02</v>
      </c>
      <c r="R4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96990</v>
      </c>
      <c r="T4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1" s="208">
        <f ca="1">IF(Tabla336106734823[[#This Row],[Equity]]&lt;Tabla336106734823[[#This Row],[Equity Peak]],(Tabla336106734823[[#This Row],[Equity Peak]]-Tabla336106734823[[#This Row],[Equity]])/Tabla336106734823[[#This Row],[Equity Peak]],"")</f>
        <v>3.0099999999999998E-2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-0.02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4.9229166666700621</v>
      </c>
      <c r="AE41" s="210">
        <f t="shared" si="16"/>
        <v>0</v>
      </c>
      <c r="AF41" s="210">
        <f t="shared" si="17"/>
        <v>4.9229166666700621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13</v>
      </c>
      <c r="D42" s="198" t="str">
        <f t="shared" si="0"/>
        <v>C</v>
      </c>
      <c r="E42" s="199">
        <v>44376.125</v>
      </c>
      <c r="F42" s="200" t="s">
        <v>94</v>
      </c>
      <c r="G42" s="201">
        <v>7076.47</v>
      </c>
      <c r="H42" s="201">
        <v>7125.41</v>
      </c>
      <c r="I42" s="202">
        <f t="shared" si="1"/>
        <v>48.9399999999996</v>
      </c>
      <c r="J42" s="201">
        <v>6831.78</v>
      </c>
      <c r="K42" s="199">
        <v>44376.42291666667</v>
      </c>
      <c r="L42" s="201">
        <v>7100.22</v>
      </c>
      <c r="M42" s="203">
        <f t="shared" si="2"/>
        <v>-23.75</v>
      </c>
      <c r="N42" s="204">
        <f t="shared" si="3"/>
        <v>-0.49</v>
      </c>
      <c r="O42" s="205">
        <f t="shared" si="4"/>
        <v>0</v>
      </c>
      <c r="P42" s="206">
        <f t="shared" si="5"/>
        <v>0</v>
      </c>
      <c r="Q42" s="206">
        <f t="shared" si="6"/>
        <v>-0.49</v>
      </c>
      <c r="R4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97010</v>
      </c>
      <c r="T4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2" s="208">
        <f ca="1">IF(Tabla336106734823[[#This Row],[Equity]]&lt;Tabla336106734823[[#This Row],[Equity Peak]],(Tabla336106734823[[#This Row],[Equity Peak]]-Tabla336106734823[[#This Row],[Equity]])/Tabla336106734823[[#This Row],[Equity Peak]],"")</f>
        <v>2.9899999999999999E-2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-0.49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0.29791666667006211</v>
      </c>
      <c r="AE42" s="210">
        <f t="shared" si="16"/>
        <v>0</v>
      </c>
      <c r="AF42" s="210">
        <f t="shared" si="17"/>
        <v>0.29791666667006211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15</v>
      </c>
      <c r="D43" s="198" t="str">
        <f t="shared" si="0"/>
        <v>C</v>
      </c>
      <c r="E43" s="199">
        <v>44371.791666666664</v>
      </c>
      <c r="F43" s="200" t="s">
        <v>94</v>
      </c>
      <c r="G43" s="201">
        <v>7110.87</v>
      </c>
      <c r="H43" s="201">
        <v>7052.55</v>
      </c>
      <c r="I43" s="202">
        <f t="shared" si="1"/>
        <v>58.319999999999709</v>
      </c>
      <c r="J43" s="201">
        <v>7402.49</v>
      </c>
      <c r="K43" s="199">
        <v>44375.418749999997</v>
      </c>
      <c r="L43" s="201">
        <v>7107.23</v>
      </c>
      <c r="M43" s="203">
        <f t="shared" si="2"/>
        <v>-3.64</v>
      </c>
      <c r="N43" s="204">
        <f t="shared" si="3"/>
        <v>-0.06</v>
      </c>
      <c r="O43" s="205">
        <f t="shared" si="4"/>
        <v>0</v>
      </c>
      <c r="P43" s="206">
        <f t="shared" si="5"/>
        <v>0</v>
      </c>
      <c r="Q43" s="206">
        <f t="shared" si="6"/>
        <v>-0.06</v>
      </c>
      <c r="R4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97500</v>
      </c>
      <c r="T4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3" s="208">
        <f ca="1">IF(Tabla336106734823[[#This Row],[Equity]]&lt;Tabla336106734823[[#This Row],[Equity Peak]],(Tabla336106734823[[#This Row],[Equity Peak]]-Tabla336106734823[[#This Row],[Equity]])/Tabla336106734823[[#This Row],[Equity Peak]],"")</f>
        <v>2.5000000000000001E-2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-0.06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3.6270833333328483</v>
      </c>
      <c r="AE43" s="210">
        <f t="shared" si="16"/>
        <v>0</v>
      </c>
      <c r="AF43" s="210">
        <f t="shared" si="17"/>
        <v>3.6270833333328483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13</v>
      </c>
      <c r="D44" s="198" t="str">
        <f t="shared" si="0"/>
        <v>C</v>
      </c>
      <c r="E44" s="199">
        <v>44365.625</v>
      </c>
      <c r="F44" s="200" t="s">
        <v>94</v>
      </c>
      <c r="G44" s="201">
        <v>7073.28</v>
      </c>
      <c r="H44" s="201">
        <v>7140.39</v>
      </c>
      <c r="I44" s="202">
        <f t="shared" si="1"/>
        <v>67.110000000000582</v>
      </c>
      <c r="J44" s="201">
        <v>6737.74</v>
      </c>
      <c r="K44" s="199">
        <v>44368.515277777777</v>
      </c>
      <c r="L44" s="201">
        <v>7038.53</v>
      </c>
      <c r="M44" s="203">
        <f t="shared" si="2"/>
        <v>34.75</v>
      </c>
      <c r="N44" s="204">
        <f t="shared" si="3"/>
        <v>0.52</v>
      </c>
      <c r="O44" s="205">
        <f t="shared" si="4"/>
        <v>0</v>
      </c>
      <c r="P44" s="206">
        <f t="shared" si="5"/>
        <v>0.52</v>
      </c>
      <c r="Q44" s="206">
        <f t="shared" si="6"/>
        <v>0</v>
      </c>
      <c r="R4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97560</v>
      </c>
      <c r="T4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4" s="208">
        <f ca="1">IF(Tabla336106734823[[#This Row],[Equity]]&lt;Tabla336106734823[[#This Row],[Equity Peak]],(Tabla336106734823[[#This Row],[Equity Peak]]-Tabla336106734823[[#This Row],[Equity]])/Tabla336106734823[[#This Row],[Equity Peak]],"")</f>
        <v>2.4400000000000002E-2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0.52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2.890277777776646</v>
      </c>
      <c r="AE44" s="210">
        <f t="shared" si="16"/>
        <v>2.890277777776646</v>
      </c>
      <c r="AF44" s="210">
        <f t="shared" si="17"/>
        <v>0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15</v>
      </c>
      <c r="D45" s="198" t="str">
        <f t="shared" si="0"/>
        <v>C</v>
      </c>
      <c r="E45" s="199">
        <v>44337.125</v>
      </c>
      <c r="F45" s="200" t="s">
        <v>94</v>
      </c>
      <c r="G45" s="201">
        <v>7028.33</v>
      </c>
      <c r="H45" s="201">
        <v>6943.88</v>
      </c>
      <c r="I45" s="202">
        <f t="shared" si="1"/>
        <v>84.449999999999818</v>
      </c>
      <c r="J45" s="201">
        <v>7450.6</v>
      </c>
      <c r="K45" s="199">
        <v>44341.920138888891</v>
      </c>
      <c r="L45" s="201">
        <v>7012.25</v>
      </c>
      <c r="M45" s="203">
        <f t="shared" si="2"/>
        <v>-16.079999999999998</v>
      </c>
      <c r="N45" s="204">
        <f t="shared" si="3"/>
        <v>-0.19</v>
      </c>
      <c r="O45" s="205">
        <f t="shared" si="4"/>
        <v>0</v>
      </c>
      <c r="P45" s="206">
        <f t="shared" si="5"/>
        <v>0</v>
      </c>
      <c r="Q45" s="206">
        <f t="shared" si="6"/>
        <v>-0.19</v>
      </c>
      <c r="R4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97040</v>
      </c>
      <c r="T4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5" s="208">
        <f ca="1">IF(Tabla336106734823[[#This Row],[Equity]]&lt;Tabla336106734823[[#This Row],[Equity Peak]],(Tabla336106734823[[#This Row],[Equity Peak]]-Tabla336106734823[[#This Row],[Equity]])/Tabla336106734823[[#This Row],[Equity Peak]],"")</f>
        <v>2.9600000000000001E-2</v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-0.19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4.7951388888905058</v>
      </c>
      <c r="AE45" s="210">
        <f t="shared" si="16"/>
        <v>0</v>
      </c>
      <c r="AF45" s="210">
        <f t="shared" si="17"/>
        <v>4.7951388888905058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13</v>
      </c>
      <c r="D46" s="198" t="str">
        <f t="shared" si="0"/>
        <v>C</v>
      </c>
      <c r="E46" s="199">
        <v>44335.458333333336</v>
      </c>
      <c r="F46" s="200" t="s">
        <v>94</v>
      </c>
      <c r="G46" s="201">
        <v>6959.9</v>
      </c>
      <c r="H46" s="201">
        <v>7037.8</v>
      </c>
      <c r="I46" s="202">
        <f t="shared" si="1"/>
        <v>77.900000000000546</v>
      </c>
      <c r="J46" s="201">
        <v>6570.4</v>
      </c>
      <c r="K46" s="199">
        <v>44335.844444444447</v>
      </c>
      <c r="L46" s="201">
        <v>6984.24</v>
      </c>
      <c r="M46" s="203">
        <f t="shared" si="2"/>
        <v>-24.34</v>
      </c>
      <c r="N46" s="204">
        <f t="shared" si="3"/>
        <v>-0.31</v>
      </c>
      <c r="O46" s="205">
        <f t="shared" si="4"/>
        <v>0</v>
      </c>
      <c r="P46" s="206">
        <f t="shared" si="5"/>
        <v>0</v>
      </c>
      <c r="Q46" s="206">
        <f t="shared" si="6"/>
        <v>-0.31</v>
      </c>
      <c r="R4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97230</v>
      </c>
      <c r="T4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6" s="208">
        <f ca="1">IF(Tabla336106734823[[#This Row],[Equity]]&lt;Tabla336106734823[[#This Row],[Equity Peak]],(Tabla336106734823[[#This Row],[Equity Peak]]-Tabla336106734823[[#This Row],[Equity]])/Tabla336106734823[[#This Row],[Equity Peak]],"")</f>
        <v>2.7699999999999999E-2</v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-0.31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0.38611111111094942</v>
      </c>
      <c r="AE46" s="210">
        <f t="shared" si="16"/>
        <v>0</v>
      </c>
      <c r="AF46" s="210">
        <f t="shared" si="17"/>
        <v>0.38611111111094942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15</v>
      </c>
      <c r="D47" s="198" t="str">
        <f t="shared" ref="D47:D68" si="19">IF(E47&lt;&gt;"",IF(K47&lt;&gt;"","C","O"),"")</f>
        <v>C</v>
      </c>
      <c r="E47" s="199">
        <v>44330.791666666664</v>
      </c>
      <c r="F47" s="200" t="s">
        <v>94</v>
      </c>
      <c r="G47" s="201">
        <v>7034.3</v>
      </c>
      <c r="H47" s="201">
        <v>6915.49</v>
      </c>
      <c r="I47" s="202">
        <f t="shared" ref="I47:I68" si="20">ABS(G47-H47)</f>
        <v>118.8100000000004</v>
      </c>
      <c r="J47" s="201">
        <v>7628.35</v>
      </c>
      <c r="K47" s="199">
        <v>44334.90625</v>
      </c>
      <c r="L47" s="201">
        <v>7012.73</v>
      </c>
      <c r="M47" s="203">
        <f t="shared" ref="M47:M68" si="21">ROUND(IF(C47="L",(L47-G47),(G47-L47)),4)</f>
        <v>-21.57</v>
      </c>
      <c r="N47" s="204">
        <f t="shared" ref="N47:N68" si="22">IFERROR(ROUND((M47/I47),2),"")</f>
        <v>-0.18</v>
      </c>
      <c r="O47" s="205">
        <f t="shared" ref="O47:O68" si="23">IF(D47="O",IF(N47&lt;0,N47,0),0)</f>
        <v>0</v>
      </c>
      <c r="P47" s="206">
        <f t="shared" ref="P47:P68" si="24">IF(N47&gt;= 0,N47,0)</f>
        <v>0</v>
      </c>
      <c r="Q47" s="206">
        <f t="shared" ref="Q47:Q68" si="25">IF(N47&lt;0,N47,0)</f>
        <v>-0.18</v>
      </c>
      <c r="R4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97540</v>
      </c>
      <c r="T4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7" s="208">
        <f ca="1">IF(Tabla336106734823[[#This Row],[Equity]]&lt;Tabla336106734823[[#This Row],[Equity Peak]],(Tabla336106734823[[#This Row],[Equity Peak]]-Tabla336106734823[[#This Row],[Equity]])/Tabla336106734823[[#This Row],[Equity Peak]],"")</f>
        <v>2.46E-2</v>
      </c>
      <c r="V47" s="209">
        <f t="shared" ref="V47:V68" si="26">IF(B47="FX",N47,0)</f>
        <v>0</v>
      </c>
      <c r="W47" s="209">
        <f t="shared" ref="W47:W68" si="27">IF(D47="O",IF(V47&lt;0,V47,0),0)</f>
        <v>0</v>
      </c>
      <c r="X47" s="209">
        <f t="shared" ref="X47:X68" si="28">IF(B47="COM",N47,0)</f>
        <v>0</v>
      </c>
      <c r="Y47" s="209">
        <f t="shared" ref="Y47:Y68" si="29">IF(D47="O",IF(X47&lt;0,X47,0),0)</f>
        <v>0</v>
      </c>
      <c r="Z47" s="209">
        <f t="shared" ref="Z47:Z68" si="30">IF(B47="IND",N47,0)</f>
        <v>-0.18</v>
      </c>
      <c r="AA47" s="205">
        <f t="shared" ref="AA47:AA68" si="31">IF(D47="O",IF(Z47&lt;0,Z47,0),0)</f>
        <v>0</v>
      </c>
      <c r="AB47" s="209">
        <f t="shared" ref="AB47:AB68" si="32">IF(B47="CRYPTO",N47,0)</f>
        <v>0</v>
      </c>
      <c r="AC47" s="205">
        <f t="shared" ref="AC47:AC68" si="33">IF(D47="O",IF(AB47&lt;0,AB47,0),0)</f>
        <v>0</v>
      </c>
      <c r="AD47" s="210">
        <f t="shared" ref="AD47:AD68" si="34">IF(K47&lt;&gt;"",K47-E47,0)</f>
        <v>4.1145833333357587</v>
      </c>
      <c r="AE47" s="210">
        <f t="shared" ref="AE47:AE68" si="35">IF(N47&gt;0,AD47,0)</f>
        <v>0</v>
      </c>
      <c r="AF47" s="210">
        <f t="shared" ref="AF47:AF68" si="36">IF(N47&lt;0,AD47,0)</f>
        <v>4.1145833333357587</v>
      </c>
      <c r="AG47" s="210">
        <f t="shared" ref="AG47:AG68" si="37">IF(N47=0,AD47,0)</f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19"/>
        <v>C</v>
      </c>
      <c r="E48" s="199">
        <v>44327.791666666664</v>
      </c>
      <c r="F48" s="200" t="s">
        <v>94</v>
      </c>
      <c r="G48" s="201">
        <v>6955.2</v>
      </c>
      <c r="H48" s="201">
        <v>7041.84</v>
      </c>
      <c r="I48" s="202">
        <f t="shared" si="20"/>
        <v>86.640000000000327</v>
      </c>
      <c r="J48" s="201">
        <v>6521.98</v>
      </c>
      <c r="K48" s="199">
        <v>44328.433333333334</v>
      </c>
      <c r="L48" s="201">
        <v>6984.1</v>
      </c>
      <c r="M48" s="203">
        <f t="shared" si="21"/>
        <v>-28.9</v>
      </c>
      <c r="N48" s="204">
        <f t="shared" si="22"/>
        <v>-0.33</v>
      </c>
      <c r="O48" s="205">
        <f t="shared" si="23"/>
        <v>0</v>
      </c>
      <c r="P48" s="206">
        <f t="shared" si="24"/>
        <v>0</v>
      </c>
      <c r="Q48" s="206">
        <f t="shared" si="25"/>
        <v>-0.33</v>
      </c>
      <c r="R4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97720</v>
      </c>
      <c r="T4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8" s="208">
        <f ca="1">IF(Tabla336106734823[[#This Row],[Equity]]&lt;Tabla336106734823[[#This Row],[Equity Peak]],(Tabla336106734823[[#This Row],[Equity Peak]]-Tabla336106734823[[#This Row],[Equity]])/Tabla336106734823[[#This Row],[Equity Peak]],"")</f>
        <v>2.2800000000000001E-2</v>
      </c>
      <c r="V48" s="209">
        <f t="shared" si="26"/>
        <v>0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-0.33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0.64166666667006211</v>
      </c>
      <c r="AE48" s="210">
        <f t="shared" si="35"/>
        <v>0</v>
      </c>
      <c r="AF48" s="210">
        <f t="shared" si="36"/>
        <v>0.64166666667006211</v>
      </c>
      <c r="AG48" s="210">
        <f t="shared" si="37"/>
        <v>0</v>
      </c>
    </row>
    <row r="49" spans="2:33" ht="15" customHeight="1" x14ac:dyDescent="0.3">
      <c r="B49" s="196" t="s">
        <v>5</v>
      </c>
      <c r="C49" s="197" t="s">
        <v>15</v>
      </c>
      <c r="D49" s="198" t="str">
        <f t="shared" si="19"/>
        <v>C</v>
      </c>
      <c r="E49" s="199">
        <v>44321.791666666664</v>
      </c>
      <c r="F49" s="200" t="s">
        <v>94</v>
      </c>
      <c r="G49" s="201">
        <v>7051.57</v>
      </c>
      <c r="H49" s="201">
        <v>6963.95</v>
      </c>
      <c r="I49" s="202">
        <f t="shared" si="20"/>
        <v>87.619999999999891</v>
      </c>
      <c r="J49" s="201">
        <v>7489.66</v>
      </c>
      <c r="K49" s="199">
        <v>44326.90625</v>
      </c>
      <c r="L49" s="201">
        <v>7087.1</v>
      </c>
      <c r="M49" s="203">
        <f t="shared" si="21"/>
        <v>35.53</v>
      </c>
      <c r="N49" s="204">
        <f t="shared" si="22"/>
        <v>0.41</v>
      </c>
      <c r="O49" s="205">
        <f t="shared" si="23"/>
        <v>0</v>
      </c>
      <c r="P49" s="206">
        <f t="shared" si="24"/>
        <v>0.41</v>
      </c>
      <c r="Q49" s="206">
        <f t="shared" si="25"/>
        <v>0</v>
      </c>
      <c r="R4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98050</v>
      </c>
      <c r="T4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49" s="208">
        <f ca="1">IF(Tabla336106734823[[#This Row],[Equity]]&lt;Tabla336106734823[[#This Row],[Equity Peak]],(Tabla336106734823[[#This Row],[Equity Peak]]-Tabla336106734823[[#This Row],[Equity]])/Tabla336106734823[[#This Row],[Equity Peak]],"")</f>
        <v>1.95E-2</v>
      </c>
      <c r="V49" s="209">
        <f t="shared" si="26"/>
        <v>0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0.41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5.1145833333357587</v>
      </c>
      <c r="AE49" s="210">
        <f t="shared" si="35"/>
        <v>5.1145833333357587</v>
      </c>
      <c r="AF49" s="210">
        <f t="shared" si="36"/>
        <v>0</v>
      </c>
      <c r="AG49" s="210">
        <f t="shared" si="37"/>
        <v>0</v>
      </c>
    </row>
    <row r="50" spans="2:33" ht="15" customHeight="1" x14ac:dyDescent="0.3">
      <c r="B50" s="196" t="s">
        <v>5</v>
      </c>
      <c r="C50" s="197" t="s">
        <v>15</v>
      </c>
      <c r="D50" s="198" t="str">
        <f t="shared" si="19"/>
        <v>C</v>
      </c>
      <c r="E50" s="199">
        <v>44308.125</v>
      </c>
      <c r="F50" s="200" t="s">
        <v>94</v>
      </c>
      <c r="G50" s="201">
        <v>6929.34</v>
      </c>
      <c r="H50" s="201">
        <v>6849.28</v>
      </c>
      <c r="I50" s="202">
        <f t="shared" si="20"/>
        <v>80.0600000000004</v>
      </c>
      <c r="J50" s="201">
        <v>7329.64</v>
      </c>
      <c r="K50" s="199">
        <v>44315.744444444441</v>
      </c>
      <c r="L50" s="201">
        <v>6961.71</v>
      </c>
      <c r="M50" s="203">
        <f t="shared" si="21"/>
        <v>32.369999999999997</v>
      </c>
      <c r="N50" s="204">
        <f t="shared" si="22"/>
        <v>0.4</v>
      </c>
      <c r="O50" s="205">
        <f t="shared" si="23"/>
        <v>0</v>
      </c>
      <c r="P50" s="206">
        <f t="shared" si="24"/>
        <v>0.4</v>
      </c>
      <c r="Q50" s="206">
        <f t="shared" si="25"/>
        <v>0</v>
      </c>
      <c r="R5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97640</v>
      </c>
      <c r="T5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0" s="208">
        <f ca="1">IF(Tabla336106734823[[#This Row],[Equity]]&lt;Tabla336106734823[[#This Row],[Equity Peak]],(Tabla336106734823[[#This Row],[Equity Peak]]-Tabla336106734823[[#This Row],[Equity]])/Tabla336106734823[[#This Row],[Equity Peak]],"")</f>
        <v>2.3599999999999999E-2</v>
      </c>
      <c r="V50" s="209">
        <f t="shared" si="26"/>
        <v>0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0.4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7.6194444444408873</v>
      </c>
      <c r="AE50" s="210">
        <f t="shared" si="35"/>
        <v>7.6194444444408873</v>
      </c>
      <c r="AF50" s="210">
        <f t="shared" si="36"/>
        <v>0</v>
      </c>
      <c r="AG50" s="210">
        <f t="shared" si="37"/>
        <v>0</v>
      </c>
    </row>
    <row r="51" spans="2:33" ht="15" customHeight="1" x14ac:dyDescent="0.3">
      <c r="B51" s="196" t="s">
        <v>5</v>
      </c>
      <c r="C51" s="197" t="s">
        <v>13</v>
      </c>
      <c r="D51" s="198" t="str">
        <f t="shared" si="19"/>
        <v>C</v>
      </c>
      <c r="E51" s="199">
        <v>44307.291666666664</v>
      </c>
      <c r="F51" s="200" t="s">
        <v>94</v>
      </c>
      <c r="G51" s="201">
        <v>6856.24</v>
      </c>
      <c r="H51" s="201">
        <v>6924.49</v>
      </c>
      <c r="I51" s="202">
        <f t="shared" si="20"/>
        <v>68.25</v>
      </c>
      <c r="J51" s="201">
        <v>6515</v>
      </c>
      <c r="K51" s="199">
        <v>44307.432638888888</v>
      </c>
      <c r="L51" s="201">
        <v>6906.93</v>
      </c>
      <c r="M51" s="203">
        <f t="shared" si="21"/>
        <v>-50.69</v>
      </c>
      <c r="N51" s="204">
        <f t="shared" si="22"/>
        <v>-0.74</v>
      </c>
      <c r="O51" s="205">
        <f t="shared" si="23"/>
        <v>0</v>
      </c>
      <c r="P51" s="206">
        <f t="shared" si="24"/>
        <v>0</v>
      </c>
      <c r="Q51" s="206">
        <f t="shared" si="25"/>
        <v>-0.74</v>
      </c>
      <c r="R5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97240</v>
      </c>
      <c r="T5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1" s="208">
        <f ca="1">IF(Tabla336106734823[[#This Row],[Equity]]&lt;Tabla336106734823[[#This Row],[Equity Peak]],(Tabla336106734823[[#This Row],[Equity Peak]]-Tabla336106734823[[#This Row],[Equity]])/Tabla336106734823[[#This Row],[Equity Peak]],"")</f>
        <v>2.76E-2</v>
      </c>
      <c r="V51" s="209">
        <f t="shared" si="26"/>
        <v>0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-0.74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0.14097222222335404</v>
      </c>
      <c r="AE51" s="210">
        <f t="shared" si="35"/>
        <v>0</v>
      </c>
      <c r="AF51" s="210">
        <f t="shared" si="36"/>
        <v>0.14097222222335404</v>
      </c>
      <c r="AG51" s="210">
        <f t="shared" si="37"/>
        <v>0</v>
      </c>
    </row>
    <row r="52" spans="2:33" ht="15" customHeight="1" x14ac:dyDescent="0.3">
      <c r="B52" s="196" t="s">
        <v>5</v>
      </c>
      <c r="C52" s="197" t="s">
        <v>15</v>
      </c>
      <c r="D52" s="198" t="str">
        <f t="shared" si="19"/>
        <v>C</v>
      </c>
      <c r="E52" s="199">
        <v>44301.458333333336</v>
      </c>
      <c r="F52" s="200" t="s">
        <v>94</v>
      </c>
      <c r="G52" s="201">
        <v>6970.81</v>
      </c>
      <c r="H52" s="201">
        <v>6924.17</v>
      </c>
      <c r="I52" s="202">
        <f t="shared" si="20"/>
        <v>46.640000000000327</v>
      </c>
      <c r="J52" s="201">
        <v>7204.02</v>
      </c>
      <c r="K52" s="199">
        <v>44306.42291666667</v>
      </c>
      <c r="L52" s="201">
        <v>6976.95</v>
      </c>
      <c r="M52" s="203">
        <f t="shared" si="21"/>
        <v>6.14</v>
      </c>
      <c r="N52" s="204">
        <f t="shared" si="22"/>
        <v>0.13</v>
      </c>
      <c r="O52" s="205">
        <f t="shared" si="23"/>
        <v>0</v>
      </c>
      <c r="P52" s="206">
        <f t="shared" si="24"/>
        <v>0.13</v>
      </c>
      <c r="Q52" s="206">
        <f t="shared" si="25"/>
        <v>0</v>
      </c>
      <c r="R5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97980</v>
      </c>
      <c r="T5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2" s="208">
        <f ca="1">IF(Tabla336106734823[[#This Row],[Equity]]&lt;Tabla336106734823[[#This Row],[Equity Peak]],(Tabla336106734823[[#This Row],[Equity Peak]]-Tabla336106734823[[#This Row],[Equity]])/Tabla336106734823[[#This Row],[Equity Peak]],"")</f>
        <v>2.0199999999999999E-2</v>
      </c>
      <c r="V52" s="209">
        <f t="shared" si="26"/>
        <v>0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0.13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4.9645833333343035</v>
      </c>
      <c r="AE52" s="210">
        <f t="shared" si="35"/>
        <v>4.9645833333343035</v>
      </c>
      <c r="AF52" s="210">
        <f t="shared" si="36"/>
        <v>0</v>
      </c>
      <c r="AG52" s="210">
        <f t="shared" si="37"/>
        <v>0</v>
      </c>
    </row>
    <row r="53" spans="2:33" ht="15" customHeight="1" x14ac:dyDescent="0.3">
      <c r="B53" s="196" t="s">
        <v>5</v>
      </c>
      <c r="C53" s="197" t="s">
        <v>15</v>
      </c>
      <c r="D53" s="198" t="str">
        <f t="shared" si="19"/>
        <v>C</v>
      </c>
      <c r="E53" s="199">
        <v>44281.833333333336</v>
      </c>
      <c r="F53" s="200" t="s">
        <v>94</v>
      </c>
      <c r="G53" s="201">
        <v>6748.74</v>
      </c>
      <c r="H53" s="201">
        <v>6669.91</v>
      </c>
      <c r="I53" s="202">
        <f t="shared" si="20"/>
        <v>78.829999999999927</v>
      </c>
      <c r="J53" s="201">
        <v>7142.9</v>
      </c>
      <c r="K53" s="199">
        <v>44284.481944444444</v>
      </c>
      <c r="L53" s="201">
        <v>6706.95</v>
      </c>
      <c r="M53" s="203">
        <f t="shared" si="21"/>
        <v>-41.79</v>
      </c>
      <c r="N53" s="204">
        <f t="shared" si="22"/>
        <v>-0.53</v>
      </c>
      <c r="O53" s="205">
        <f t="shared" si="23"/>
        <v>0</v>
      </c>
      <c r="P53" s="206">
        <f t="shared" si="24"/>
        <v>0</v>
      </c>
      <c r="Q53" s="206">
        <f t="shared" si="25"/>
        <v>-0.53</v>
      </c>
      <c r="R5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97850</v>
      </c>
      <c r="T5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3" s="208">
        <f ca="1">IF(Tabla336106734823[[#This Row],[Equity]]&lt;Tabla336106734823[[#This Row],[Equity Peak]],(Tabla336106734823[[#This Row],[Equity Peak]]-Tabla336106734823[[#This Row],[Equity]])/Tabla336106734823[[#This Row],[Equity Peak]],"")</f>
        <v>2.1499999999999998E-2</v>
      </c>
      <c r="V53" s="209">
        <f t="shared" si="26"/>
        <v>0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-0.53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2.648611111108039</v>
      </c>
      <c r="AE53" s="210">
        <f t="shared" si="35"/>
        <v>0</v>
      </c>
      <c r="AF53" s="210">
        <f t="shared" si="36"/>
        <v>2.648611111108039</v>
      </c>
      <c r="AG53" s="210">
        <f t="shared" si="37"/>
        <v>0</v>
      </c>
    </row>
    <row r="54" spans="2:33" ht="15" customHeight="1" x14ac:dyDescent="0.3">
      <c r="B54" s="196" t="s">
        <v>5</v>
      </c>
      <c r="C54" s="197" t="s">
        <v>13</v>
      </c>
      <c r="D54" s="198" t="str">
        <f t="shared" si="19"/>
        <v>C</v>
      </c>
      <c r="E54" s="199">
        <v>44277.333333333336</v>
      </c>
      <c r="F54" s="200" t="s">
        <v>94</v>
      </c>
      <c r="G54" s="201">
        <v>6710.63</v>
      </c>
      <c r="H54" s="201">
        <v>6795.09</v>
      </c>
      <c r="I54" s="202">
        <f t="shared" si="20"/>
        <v>84.460000000000036</v>
      </c>
      <c r="J54" s="201">
        <v>6288.33</v>
      </c>
      <c r="K54" s="199">
        <v>44280.491666666669</v>
      </c>
      <c r="L54" s="201">
        <v>6734.43</v>
      </c>
      <c r="M54" s="203">
        <f t="shared" si="21"/>
        <v>-23.8</v>
      </c>
      <c r="N54" s="204">
        <f t="shared" si="22"/>
        <v>-0.28000000000000003</v>
      </c>
      <c r="O54" s="205">
        <f t="shared" si="23"/>
        <v>0</v>
      </c>
      <c r="P54" s="206">
        <f t="shared" si="24"/>
        <v>0</v>
      </c>
      <c r="Q54" s="206">
        <f t="shared" si="25"/>
        <v>-0.28000000000000003</v>
      </c>
      <c r="R5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98380</v>
      </c>
      <c r="T5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4" s="208">
        <f ca="1">IF(Tabla336106734823[[#This Row],[Equity]]&lt;Tabla336106734823[[#This Row],[Equity Peak]],(Tabla336106734823[[#This Row],[Equity Peak]]-Tabla336106734823[[#This Row],[Equity]])/Tabla336106734823[[#This Row],[Equity Peak]],"")</f>
        <v>1.6199999999999999E-2</v>
      </c>
      <c r="V54" s="209">
        <f t="shared" si="26"/>
        <v>0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-0.28000000000000003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3.1583333333328483</v>
      </c>
      <c r="AE54" s="210">
        <f t="shared" si="35"/>
        <v>0</v>
      </c>
      <c r="AF54" s="210">
        <f t="shared" si="36"/>
        <v>3.1583333333328483</v>
      </c>
      <c r="AG54" s="210">
        <f t="shared" si="37"/>
        <v>0</v>
      </c>
    </row>
    <row r="55" spans="2:33" ht="15" customHeight="1" x14ac:dyDescent="0.3">
      <c r="B55" s="196" t="s">
        <v>5</v>
      </c>
      <c r="C55" s="197" t="s">
        <v>15</v>
      </c>
      <c r="D55" s="198" t="str">
        <f t="shared" si="19"/>
        <v>C</v>
      </c>
      <c r="E55" s="199">
        <v>44260.625</v>
      </c>
      <c r="F55" s="200" t="s">
        <v>94</v>
      </c>
      <c r="G55" s="201">
        <v>6672.47</v>
      </c>
      <c r="H55" s="201">
        <v>6561.69</v>
      </c>
      <c r="I55" s="202">
        <f t="shared" si="20"/>
        <v>110.78000000000065</v>
      </c>
      <c r="J55" s="201">
        <v>7226.38</v>
      </c>
      <c r="K55" s="199">
        <v>44270.773611111108</v>
      </c>
      <c r="L55" s="201">
        <v>6734.39</v>
      </c>
      <c r="M55" s="203">
        <f t="shared" si="21"/>
        <v>61.92</v>
      </c>
      <c r="N55" s="204">
        <f t="shared" si="22"/>
        <v>0.56000000000000005</v>
      </c>
      <c r="O55" s="205">
        <f t="shared" si="23"/>
        <v>0</v>
      </c>
      <c r="P55" s="206">
        <f t="shared" si="24"/>
        <v>0.56000000000000005</v>
      </c>
      <c r="Q55" s="206">
        <f t="shared" si="25"/>
        <v>0</v>
      </c>
      <c r="R5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98660</v>
      </c>
      <c r="T5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5" s="208">
        <f ca="1">IF(Tabla336106734823[[#This Row],[Equity]]&lt;Tabla336106734823[[#This Row],[Equity Peak]],(Tabla336106734823[[#This Row],[Equity Peak]]-Tabla336106734823[[#This Row],[Equity]])/Tabla336106734823[[#This Row],[Equity Peak]],"")</f>
        <v>1.34E-2</v>
      </c>
      <c r="V55" s="209">
        <f t="shared" si="26"/>
        <v>0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0.56000000000000005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10.148611111108039</v>
      </c>
      <c r="AE55" s="210">
        <f t="shared" si="35"/>
        <v>10.148611111108039</v>
      </c>
      <c r="AF55" s="210">
        <f t="shared" si="36"/>
        <v>0</v>
      </c>
      <c r="AG55" s="210">
        <f t="shared" si="37"/>
        <v>0</v>
      </c>
    </row>
    <row r="56" spans="2:33" ht="15" customHeight="1" x14ac:dyDescent="0.3">
      <c r="B56" s="196" t="s">
        <v>5</v>
      </c>
      <c r="C56" s="197" t="s">
        <v>13</v>
      </c>
      <c r="D56" s="198" t="str">
        <f t="shared" si="19"/>
        <v>C</v>
      </c>
      <c r="E56" s="199">
        <v>44260.291666666664</v>
      </c>
      <c r="F56" s="200" t="s">
        <v>94</v>
      </c>
      <c r="G56" s="201">
        <v>6583.07</v>
      </c>
      <c r="H56" s="201">
        <v>6689.14</v>
      </c>
      <c r="I56" s="202">
        <f t="shared" si="20"/>
        <v>106.07000000000062</v>
      </c>
      <c r="J56" s="201">
        <v>6052.73</v>
      </c>
      <c r="K56" s="199">
        <v>44260.525694444441</v>
      </c>
      <c r="L56" s="201">
        <v>6662.62</v>
      </c>
      <c r="M56" s="203">
        <f t="shared" si="21"/>
        <v>-79.55</v>
      </c>
      <c r="N56" s="204">
        <f t="shared" si="22"/>
        <v>-0.75</v>
      </c>
      <c r="O56" s="205">
        <f t="shared" si="23"/>
        <v>0</v>
      </c>
      <c r="P56" s="206">
        <f t="shared" si="24"/>
        <v>0</v>
      </c>
      <c r="Q56" s="206">
        <f t="shared" si="25"/>
        <v>-0.75</v>
      </c>
      <c r="R5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98100</v>
      </c>
      <c r="T5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6" s="208">
        <f ca="1">IF(Tabla336106734823[[#This Row],[Equity]]&lt;Tabla336106734823[[#This Row],[Equity Peak]],(Tabla336106734823[[#This Row],[Equity Peak]]-Tabla336106734823[[#This Row],[Equity]])/Tabla336106734823[[#This Row],[Equity Peak]],"")</f>
        <v>1.9E-2</v>
      </c>
      <c r="V56" s="209">
        <f t="shared" si="26"/>
        <v>0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-0.75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0.23402777777664596</v>
      </c>
      <c r="AE56" s="210">
        <f t="shared" si="35"/>
        <v>0</v>
      </c>
      <c r="AF56" s="210">
        <f t="shared" si="36"/>
        <v>0.23402777777664596</v>
      </c>
      <c r="AG56" s="210">
        <f t="shared" si="37"/>
        <v>0</v>
      </c>
    </row>
    <row r="57" spans="2:33" ht="15" customHeight="1" x14ac:dyDescent="0.3">
      <c r="B57" s="196" t="s">
        <v>5</v>
      </c>
      <c r="C57" s="197" t="s">
        <v>15</v>
      </c>
      <c r="D57" s="198" t="str">
        <f t="shared" si="19"/>
        <v>C</v>
      </c>
      <c r="E57" s="199">
        <v>44258.125</v>
      </c>
      <c r="F57" s="200" t="s">
        <v>94</v>
      </c>
      <c r="G57" s="201">
        <v>6633.71</v>
      </c>
      <c r="H57" s="201">
        <v>6505.11</v>
      </c>
      <c r="I57" s="202">
        <f t="shared" si="20"/>
        <v>128.60000000000036</v>
      </c>
      <c r="J57" s="201">
        <v>7276.7</v>
      </c>
      <c r="K57" s="199">
        <v>44259.181944444441</v>
      </c>
      <c r="L57" s="201">
        <v>6615.57</v>
      </c>
      <c r="M57" s="203">
        <f t="shared" si="21"/>
        <v>-18.14</v>
      </c>
      <c r="N57" s="204">
        <f t="shared" si="22"/>
        <v>-0.14000000000000001</v>
      </c>
      <c r="O57" s="205">
        <f t="shared" si="23"/>
        <v>0</v>
      </c>
      <c r="P57" s="206">
        <f t="shared" si="24"/>
        <v>0</v>
      </c>
      <c r="Q57" s="206">
        <f t="shared" si="25"/>
        <v>-0.14000000000000001</v>
      </c>
      <c r="R5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98850</v>
      </c>
      <c r="T5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7" s="208">
        <f ca="1">IF(Tabla336106734823[[#This Row],[Equity]]&lt;Tabla336106734823[[#This Row],[Equity Peak]],(Tabla336106734823[[#This Row],[Equity Peak]]-Tabla336106734823[[#This Row],[Equity]])/Tabla336106734823[[#This Row],[Equity Peak]],"")</f>
        <v>1.15E-2</v>
      </c>
      <c r="V57" s="209">
        <f t="shared" si="26"/>
        <v>0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-0.14000000000000001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1.0569444444408873</v>
      </c>
      <c r="AE57" s="210">
        <f t="shared" si="35"/>
        <v>0</v>
      </c>
      <c r="AF57" s="210">
        <f t="shared" si="36"/>
        <v>1.0569444444408873</v>
      </c>
      <c r="AG57" s="210">
        <f t="shared" si="37"/>
        <v>0</v>
      </c>
    </row>
    <row r="58" spans="2:33" ht="15" customHeight="1" x14ac:dyDescent="0.3">
      <c r="B58" s="196" t="s">
        <v>5</v>
      </c>
      <c r="C58" s="197" t="s">
        <v>13</v>
      </c>
      <c r="D58" s="198" t="str">
        <f t="shared" si="19"/>
        <v>C</v>
      </c>
      <c r="E58" s="199">
        <v>44253.291666666664</v>
      </c>
      <c r="F58" s="200" t="s">
        <v>94</v>
      </c>
      <c r="G58" s="201">
        <v>6579.93</v>
      </c>
      <c r="H58" s="201">
        <v>6681.43</v>
      </c>
      <c r="I58" s="202">
        <f t="shared" si="20"/>
        <v>101.5</v>
      </c>
      <c r="J58" s="201">
        <v>6072.45</v>
      </c>
      <c r="K58" s="199">
        <v>44256.42291666667</v>
      </c>
      <c r="L58" s="201">
        <v>6584.93</v>
      </c>
      <c r="M58" s="203">
        <f t="shared" si="21"/>
        <v>-5</v>
      </c>
      <c r="N58" s="204">
        <f t="shared" si="22"/>
        <v>-0.05</v>
      </c>
      <c r="O58" s="205">
        <f t="shared" si="23"/>
        <v>0</v>
      </c>
      <c r="P58" s="206">
        <f t="shared" si="24"/>
        <v>0</v>
      </c>
      <c r="Q58" s="206">
        <f t="shared" si="25"/>
        <v>-0.05</v>
      </c>
      <c r="R5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98990</v>
      </c>
      <c r="T5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8" s="208">
        <f ca="1">IF(Tabla336106734823[[#This Row],[Equity]]&lt;Tabla336106734823[[#This Row],[Equity Peak]],(Tabla336106734823[[#This Row],[Equity Peak]]-Tabla336106734823[[#This Row],[Equity]])/Tabla336106734823[[#This Row],[Equity Peak]],"")</f>
        <v>1.01E-2</v>
      </c>
      <c r="V58" s="209">
        <f t="shared" si="26"/>
        <v>0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-0.05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3.1312500000058208</v>
      </c>
      <c r="AE58" s="210">
        <f t="shared" si="35"/>
        <v>0</v>
      </c>
      <c r="AF58" s="210">
        <f t="shared" si="36"/>
        <v>3.1312500000058208</v>
      </c>
      <c r="AG58" s="210">
        <f t="shared" si="37"/>
        <v>0</v>
      </c>
    </row>
    <row r="59" spans="2:33" ht="15" customHeight="1" x14ac:dyDescent="0.3">
      <c r="B59" s="196" t="s">
        <v>5</v>
      </c>
      <c r="C59" s="197" t="s">
        <v>15</v>
      </c>
      <c r="D59" s="198" t="str">
        <f t="shared" si="19"/>
        <v>C</v>
      </c>
      <c r="E59" s="199">
        <v>44251.791666666664</v>
      </c>
      <c r="F59" s="200" t="s">
        <v>94</v>
      </c>
      <c r="G59" s="201">
        <v>6671.69</v>
      </c>
      <c r="H59" s="201">
        <v>6560.24</v>
      </c>
      <c r="I59" s="202">
        <f t="shared" si="20"/>
        <v>111.44999999999982</v>
      </c>
      <c r="J59" s="201">
        <v>7228.96</v>
      </c>
      <c r="K59" s="199">
        <v>44252.82708333333</v>
      </c>
      <c r="L59" s="201">
        <v>6617.82</v>
      </c>
      <c r="M59" s="203">
        <f t="shared" si="21"/>
        <v>-53.87</v>
      </c>
      <c r="N59" s="204">
        <f t="shared" si="22"/>
        <v>-0.48</v>
      </c>
      <c r="O59" s="205">
        <f t="shared" si="23"/>
        <v>0</v>
      </c>
      <c r="P59" s="206">
        <f t="shared" si="24"/>
        <v>0</v>
      </c>
      <c r="Q59" s="206">
        <f t="shared" si="25"/>
        <v>-0.48</v>
      </c>
      <c r="R5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99040</v>
      </c>
      <c r="T5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9" s="208">
        <f ca="1">IF(Tabla336106734823[[#This Row],[Equity]]&lt;Tabla336106734823[[#This Row],[Equity Peak]],(Tabla336106734823[[#This Row],[Equity Peak]]-Tabla336106734823[[#This Row],[Equity]])/Tabla336106734823[[#This Row],[Equity Peak]],"")</f>
        <v>9.5999999999999992E-3</v>
      </c>
      <c r="V59" s="209">
        <f t="shared" si="26"/>
        <v>0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-0.48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1.0354166666656965</v>
      </c>
      <c r="AE59" s="210">
        <f t="shared" si="35"/>
        <v>0</v>
      </c>
      <c r="AF59" s="210">
        <f t="shared" si="36"/>
        <v>1.0354166666656965</v>
      </c>
      <c r="AG59" s="210">
        <f t="shared" si="37"/>
        <v>0</v>
      </c>
    </row>
    <row r="60" spans="2:33" ht="15" customHeight="1" x14ac:dyDescent="0.3">
      <c r="B60" s="196" t="s">
        <v>5</v>
      </c>
      <c r="C60" s="197" t="s">
        <v>13</v>
      </c>
      <c r="D60" s="198" t="str">
        <f t="shared" si="19"/>
        <v>C</v>
      </c>
      <c r="E60" s="199">
        <v>44246.166666666664</v>
      </c>
      <c r="F60" s="200" t="s">
        <v>94</v>
      </c>
      <c r="G60" s="201">
        <v>6603.89</v>
      </c>
      <c r="H60" s="201">
        <v>6682.26</v>
      </c>
      <c r="I60" s="202">
        <f t="shared" si="20"/>
        <v>78.369999999999891</v>
      </c>
      <c r="J60" s="201">
        <v>6212.05</v>
      </c>
      <c r="K60" s="199">
        <v>44249.89166666667</v>
      </c>
      <c r="L60" s="201">
        <v>6627.59</v>
      </c>
      <c r="M60" s="203">
        <f t="shared" si="21"/>
        <v>-23.7</v>
      </c>
      <c r="N60" s="204">
        <f t="shared" si="22"/>
        <v>-0.3</v>
      </c>
      <c r="O60" s="205">
        <f t="shared" si="23"/>
        <v>0</v>
      </c>
      <c r="P60" s="206">
        <f t="shared" si="24"/>
        <v>0</v>
      </c>
      <c r="Q60" s="206">
        <f t="shared" si="25"/>
        <v>-0.3</v>
      </c>
      <c r="R6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99520</v>
      </c>
      <c r="T6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0" s="208">
        <f ca="1">IF(Tabla336106734823[[#This Row],[Equity]]&lt;Tabla336106734823[[#This Row],[Equity Peak]],(Tabla336106734823[[#This Row],[Equity Peak]]-Tabla336106734823[[#This Row],[Equity]])/Tabla336106734823[[#This Row],[Equity Peak]],"")</f>
        <v>4.7999999999999996E-3</v>
      </c>
      <c r="V60" s="209">
        <f t="shared" si="26"/>
        <v>0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-0.3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3.7250000000058208</v>
      </c>
      <c r="AE60" s="210">
        <f t="shared" si="35"/>
        <v>0</v>
      </c>
      <c r="AF60" s="210">
        <f t="shared" si="36"/>
        <v>3.7250000000058208</v>
      </c>
      <c r="AG60" s="210">
        <f t="shared" si="37"/>
        <v>0</v>
      </c>
    </row>
    <row r="61" spans="2:33" ht="15" customHeight="1" x14ac:dyDescent="0.3">
      <c r="B61" s="196" t="s">
        <v>5</v>
      </c>
      <c r="C61" s="197" t="s">
        <v>15</v>
      </c>
      <c r="D61" s="198" t="str">
        <f t="shared" si="19"/>
        <v>C</v>
      </c>
      <c r="E61" s="199">
        <v>44239.833333333336</v>
      </c>
      <c r="F61" s="200" t="s">
        <v>94</v>
      </c>
      <c r="G61" s="201">
        <v>6587.33</v>
      </c>
      <c r="H61" s="201">
        <v>6525.6</v>
      </c>
      <c r="I61" s="202">
        <f t="shared" si="20"/>
        <v>61.729999999999563</v>
      </c>
      <c r="J61" s="201">
        <v>6895.97</v>
      </c>
      <c r="K61" s="199">
        <v>44244.692361111112</v>
      </c>
      <c r="L61" s="201">
        <v>6703.84</v>
      </c>
      <c r="M61" s="203">
        <f t="shared" si="21"/>
        <v>116.51</v>
      </c>
      <c r="N61" s="204">
        <f t="shared" si="22"/>
        <v>1.89</v>
      </c>
      <c r="O61" s="205">
        <f t="shared" si="23"/>
        <v>0</v>
      </c>
      <c r="P61" s="206">
        <f t="shared" si="24"/>
        <v>1.89</v>
      </c>
      <c r="Q61" s="206">
        <f t="shared" si="25"/>
        <v>0</v>
      </c>
      <c r="R6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99820</v>
      </c>
      <c r="T6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1" s="208">
        <f ca="1">IF(Tabla336106734823[[#This Row],[Equity]]&lt;Tabla336106734823[[#This Row],[Equity Peak]],(Tabla336106734823[[#This Row],[Equity Peak]]-Tabla336106734823[[#This Row],[Equity]])/Tabla336106734823[[#This Row],[Equity Peak]],"")</f>
        <v>1.8E-3</v>
      </c>
      <c r="V61" s="209">
        <f t="shared" si="26"/>
        <v>0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1.89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4.859027777776646</v>
      </c>
      <c r="AE61" s="210">
        <f t="shared" si="35"/>
        <v>4.859027777776646</v>
      </c>
      <c r="AF61" s="210">
        <f t="shared" si="36"/>
        <v>0</v>
      </c>
      <c r="AG61" s="210">
        <f t="shared" si="37"/>
        <v>0</v>
      </c>
    </row>
    <row r="62" spans="2:33" ht="15" customHeight="1" x14ac:dyDescent="0.3">
      <c r="B62" s="196" t="s">
        <v>5</v>
      </c>
      <c r="C62" s="197" t="s">
        <v>13</v>
      </c>
      <c r="D62" s="198" t="str">
        <f t="shared" si="19"/>
        <v>C</v>
      </c>
      <c r="E62" s="199">
        <v>44237.833333333336</v>
      </c>
      <c r="F62" s="200" t="s">
        <v>94</v>
      </c>
      <c r="G62" s="201">
        <v>6516.43</v>
      </c>
      <c r="H62" s="201">
        <v>6579.41</v>
      </c>
      <c r="I62" s="202">
        <f t="shared" si="20"/>
        <v>62.979999999999563</v>
      </c>
      <c r="J62" s="201">
        <v>6201.52</v>
      </c>
      <c r="K62" s="199">
        <v>44238.450694444444</v>
      </c>
      <c r="L62" s="201">
        <v>6549.5</v>
      </c>
      <c r="M62" s="203">
        <f t="shared" si="21"/>
        <v>-33.07</v>
      </c>
      <c r="N62" s="204">
        <f t="shared" si="22"/>
        <v>-0.53</v>
      </c>
      <c r="O62" s="205">
        <f t="shared" si="23"/>
        <v>0</v>
      </c>
      <c r="P62" s="206">
        <f t="shared" si="24"/>
        <v>0</v>
      </c>
      <c r="Q62" s="206">
        <f t="shared" si="25"/>
        <v>-0.53</v>
      </c>
      <c r="R6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97930</v>
      </c>
      <c r="T6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2" s="208">
        <f ca="1">IF(Tabla336106734823[[#This Row],[Equity]]&lt;Tabla336106734823[[#This Row],[Equity Peak]],(Tabla336106734823[[#This Row],[Equity Peak]]-Tabla336106734823[[#This Row],[Equity]])/Tabla336106734823[[#This Row],[Equity Peak]],"")</f>
        <v>2.07E-2</v>
      </c>
      <c r="V62" s="209">
        <f t="shared" si="26"/>
        <v>0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-0.53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0.61736111110803904</v>
      </c>
      <c r="AE62" s="210">
        <f t="shared" si="35"/>
        <v>0</v>
      </c>
      <c r="AF62" s="210">
        <f t="shared" si="36"/>
        <v>0.61736111110803904</v>
      </c>
      <c r="AG62" s="210">
        <f t="shared" si="37"/>
        <v>0</v>
      </c>
    </row>
    <row r="63" spans="2:33" ht="15" customHeight="1" x14ac:dyDescent="0.3">
      <c r="B63" s="196" t="s">
        <v>5</v>
      </c>
      <c r="C63" s="197" t="s">
        <v>15</v>
      </c>
      <c r="D63" s="198" t="str">
        <f t="shared" si="19"/>
        <v>C</v>
      </c>
      <c r="E63" s="199">
        <v>44237.166666666664</v>
      </c>
      <c r="F63" s="200" t="s">
        <v>94</v>
      </c>
      <c r="G63" s="201">
        <v>6570.04</v>
      </c>
      <c r="H63" s="201">
        <v>6514.51</v>
      </c>
      <c r="I63" s="202">
        <f t="shared" si="20"/>
        <v>55.529999999999745</v>
      </c>
      <c r="J63" s="201">
        <v>6847.7</v>
      </c>
      <c r="K63" s="199">
        <v>44237.443749999999</v>
      </c>
      <c r="L63" s="201">
        <v>6529.42</v>
      </c>
      <c r="M63" s="203">
        <f t="shared" si="21"/>
        <v>-40.619999999999997</v>
      </c>
      <c r="N63" s="204">
        <f t="shared" si="22"/>
        <v>-0.73</v>
      </c>
      <c r="O63" s="205">
        <f t="shared" si="23"/>
        <v>0</v>
      </c>
      <c r="P63" s="206">
        <f t="shared" si="24"/>
        <v>0</v>
      </c>
      <c r="Q63" s="206">
        <f t="shared" si="25"/>
        <v>-0.73</v>
      </c>
      <c r="R6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98460</v>
      </c>
      <c r="T6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3" s="208">
        <f ca="1">IF(Tabla336106734823[[#This Row],[Equity]]&lt;Tabla336106734823[[#This Row],[Equity Peak]],(Tabla336106734823[[#This Row],[Equity Peak]]-Tabla336106734823[[#This Row],[Equity]])/Tabla336106734823[[#This Row],[Equity Peak]],"")</f>
        <v>1.54E-2</v>
      </c>
      <c r="V63" s="209">
        <f t="shared" si="26"/>
        <v>0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-0.73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0.27708333333430346</v>
      </c>
      <c r="AE63" s="210">
        <f t="shared" si="35"/>
        <v>0</v>
      </c>
      <c r="AF63" s="210">
        <f t="shared" si="36"/>
        <v>0.27708333333430346</v>
      </c>
      <c r="AG63" s="210">
        <f t="shared" si="37"/>
        <v>0</v>
      </c>
    </row>
    <row r="64" spans="2:33" ht="15" customHeight="1" x14ac:dyDescent="0.3">
      <c r="B64" s="196" t="s">
        <v>5</v>
      </c>
      <c r="C64" s="197" t="s">
        <v>13</v>
      </c>
      <c r="D64" s="198" t="str">
        <f t="shared" si="19"/>
        <v>C</v>
      </c>
      <c r="E64" s="199">
        <v>44218.017361111109</v>
      </c>
      <c r="F64" s="200" t="s">
        <v>94</v>
      </c>
      <c r="G64" s="201">
        <v>6727.04</v>
      </c>
      <c r="H64" s="201">
        <v>6788.95</v>
      </c>
      <c r="I64" s="202">
        <f t="shared" si="20"/>
        <v>61.909999999999854</v>
      </c>
      <c r="J64" s="201">
        <v>6417.48</v>
      </c>
      <c r="K64" s="199">
        <v>44222.589583333334</v>
      </c>
      <c r="L64" s="201">
        <v>6697.89</v>
      </c>
      <c r="M64" s="203">
        <f t="shared" si="21"/>
        <v>29.15</v>
      </c>
      <c r="N64" s="204">
        <f t="shared" si="22"/>
        <v>0.47</v>
      </c>
      <c r="O64" s="205">
        <f t="shared" si="23"/>
        <v>0</v>
      </c>
      <c r="P64" s="206">
        <f t="shared" si="24"/>
        <v>0.47</v>
      </c>
      <c r="Q64" s="206">
        <f t="shared" si="25"/>
        <v>0</v>
      </c>
      <c r="R6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99190</v>
      </c>
      <c r="T6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4" s="208">
        <f ca="1">IF(Tabla336106734823[[#This Row],[Equity]]&lt;Tabla336106734823[[#This Row],[Equity Peak]],(Tabla336106734823[[#This Row],[Equity Peak]]-Tabla336106734823[[#This Row],[Equity]])/Tabla336106734823[[#This Row],[Equity Peak]],"")</f>
        <v>8.0999999999999996E-3</v>
      </c>
      <c r="V64" s="209">
        <f t="shared" si="26"/>
        <v>0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0.47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4.5722222222248092</v>
      </c>
      <c r="AE64" s="210">
        <f t="shared" si="35"/>
        <v>4.5722222222248092</v>
      </c>
      <c r="AF64" s="210">
        <f t="shared" si="36"/>
        <v>0</v>
      </c>
      <c r="AG64" s="210">
        <f t="shared" si="37"/>
        <v>0</v>
      </c>
    </row>
    <row r="65" spans="2:33" ht="15" customHeight="1" x14ac:dyDescent="0.3">
      <c r="B65" s="196" t="s">
        <v>5</v>
      </c>
      <c r="C65" s="197" t="s">
        <v>13</v>
      </c>
      <c r="D65" s="198" t="str">
        <f t="shared" si="19"/>
        <v>C</v>
      </c>
      <c r="E65" s="199">
        <v>44214.208333333336</v>
      </c>
      <c r="F65" s="200" t="s">
        <v>94</v>
      </c>
      <c r="G65" s="201">
        <v>6723.49</v>
      </c>
      <c r="H65" s="201">
        <v>6794.69</v>
      </c>
      <c r="I65" s="202">
        <f t="shared" si="20"/>
        <v>71.199999999999818</v>
      </c>
      <c r="J65" s="201">
        <v>6367.48</v>
      </c>
      <c r="K65" s="199">
        <v>44216.948611111111</v>
      </c>
      <c r="L65" s="201">
        <v>6760.94</v>
      </c>
      <c r="M65" s="203">
        <f t="shared" si="21"/>
        <v>-37.450000000000003</v>
      </c>
      <c r="N65" s="204">
        <f t="shared" si="22"/>
        <v>-0.53</v>
      </c>
      <c r="O65" s="205">
        <f t="shared" si="23"/>
        <v>0</v>
      </c>
      <c r="P65" s="206">
        <f t="shared" si="24"/>
        <v>0</v>
      </c>
      <c r="Q65" s="206">
        <f t="shared" si="25"/>
        <v>-0.53</v>
      </c>
      <c r="R6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98720</v>
      </c>
      <c r="T6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5" s="208">
        <f ca="1">IF(Tabla336106734823[[#This Row],[Equity]]&lt;Tabla336106734823[[#This Row],[Equity Peak]],(Tabla336106734823[[#This Row],[Equity Peak]]-Tabla336106734823[[#This Row],[Equity]])/Tabla336106734823[[#This Row],[Equity Peak]],"")</f>
        <v>1.2800000000000001E-2</v>
      </c>
      <c r="V65" s="209">
        <f t="shared" si="26"/>
        <v>0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-0.53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2.7402777777751908</v>
      </c>
      <c r="AE65" s="210">
        <f t="shared" si="35"/>
        <v>0</v>
      </c>
      <c r="AF65" s="210">
        <f t="shared" si="36"/>
        <v>2.7402777777751908</v>
      </c>
      <c r="AG65" s="210">
        <f t="shared" si="37"/>
        <v>0</v>
      </c>
    </row>
    <row r="66" spans="2:33" ht="15" customHeight="1" x14ac:dyDescent="0.3">
      <c r="B66" s="196" t="s">
        <v>5</v>
      </c>
      <c r="C66" s="197" t="s">
        <v>15</v>
      </c>
      <c r="D66" s="198" t="str">
        <f t="shared" si="19"/>
        <v>C</v>
      </c>
      <c r="E66" s="199">
        <v>44202.5</v>
      </c>
      <c r="F66" s="200" t="s">
        <v>94</v>
      </c>
      <c r="G66" s="201">
        <v>6701.84</v>
      </c>
      <c r="H66" s="201">
        <v>6579.02</v>
      </c>
      <c r="I66" s="202">
        <f t="shared" si="20"/>
        <v>122.81999999999971</v>
      </c>
      <c r="J66" s="201">
        <v>7315.93</v>
      </c>
      <c r="K66" s="199">
        <v>44207.67291666667</v>
      </c>
      <c r="L66" s="201">
        <v>6782.79</v>
      </c>
      <c r="M66" s="203">
        <f t="shared" si="21"/>
        <v>80.95</v>
      </c>
      <c r="N66" s="204">
        <f t="shared" si="22"/>
        <v>0.66</v>
      </c>
      <c r="O66" s="205">
        <f t="shared" si="23"/>
        <v>0</v>
      </c>
      <c r="P66" s="206">
        <f t="shared" si="24"/>
        <v>0.66</v>
      </c>
      <c r="Q66" s="206">
        <f t="shared" si="25"/>
        <v>0</v>
      </c>
      <c r="R6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99250</v>
      </c>
      <c r="T6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6" s="208">
        <f ca="1">IF(Tabla336106734823[[#This Row],[Equity]]&lt;Tabla336106734823[[#This Row],[Equity Peak]],(Tabla336106734823[[#This Row],[Equity Peak]]-Tabla336106734823[[#This Row],[Equity]])/Tabla336106734823[[#This Row],[Equity Peak]],"")</f>
        <v>7.4999999999999997E-3</v>
      </c>
      <c r="V66" s="209">
        <f t="shared" si="26"/>
        <v>0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0.66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5.1729166666700621</v>
      </c>
      <c r="AE66" s="210">
        <f t="shared" si="35"/>
        <v>5.1729166666700621</v>
      </c>
      <c r="AF66" s="210">
        <f t="shared" si="36"/>
        <v>0</v>
      </c>
      <c r="AG66" s="210">
        <f t="shared" si="37"/>
        <v>0</v>
      </c>
    </row>
    <row r="67" spans="2:33" ht="15" customHeight="1" x14ac:dyDescent="0.3">
      <c r="B67" s="196" t="s">
        <v>5</v>
      </c>
      <c r="C67" s="197" t="s">
        <v>15</v>
      </c>
      <c r="D67" s="198" t="str">
        <f t="shared" si="19"/>
        <v>C</v>
      </c>
      <c r="E67" s="199">
        <v>44200.541666666664</v>
      </c>
      <c r="F67" s="200" t="s">
        <v>94</v>
      </c>
      <c r="G67" s="201">
        <v>6628.2</v>
      </c>
      <c r="H67" s="201">
        <v>6533.76</v>
      </c>
      <c r="I67" s="202">
        <f t="shared" si="20"/>
        <v>94.4399999999996</v>
      </c>
      <c r="J67" s="201">
        <v>7100.39</v>
      </c>
      <c r="K67" s="199">
        <v>44200.75</v>
      </c>
      <c r="L67" s="201">
        <v>6565.66</v>
      </c>
      <c r="M67" s="203">
        <f t="shared" si="21"/>
        <v>-62.54</v>
      </c>
      <c r="N67" s="204">
        <f t="shared" si="22"/>
        <v>-0.66</v>
      </c>
      <c r="O67" s="205">
        <f t="shared" si="23"/>
        <v>0</v>
      </c>
      <c r="P67" s="206">
        <f t="shared" si="24"/>
        <v>0</v>
      </c>
      <c r="Q67" s="206">
        <f t="shared" si="25"/>
        <v>-0.66</v>
      </c>
      <c r="R6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6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98590</v>
      </c>
      <c r="T6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7" s="208">
        <f ca="1">IF(Tabla336106734823[[#This Row],[Equity]]&lt;Tabla336106734823[[#This Row],[Equity Peak]],(Tabla336106734823[[#This Row],[Equity Peak]]-Tabla336106734823[[#This Row],[Equity]])/Tabla336106734823[[#This Row],[Equity Peak]],"")</f>
        <v>1.41E-2</v>
      </c>
      <c r="V67" s="209">
        <f t="shared" si="26"/>
        <v>0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-0.66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0.20833333333575865</v>
      </c>
      <c r="AE67" s="210">
        <f t="shared" si="35"/>
        <v>0</v>
      </c>
      <c r="AF67" s="210">
        <f t="shared" si="36"/>
        <v>0.20833333333575865</v>
      </c>
      <c r="AG67" s="210">
        <f t="shared" si="37"/>
        <v>0</v>
      </c>
    </row>
    <row r="68" spans="2:33" ht="15" customHeight="1" x14ac:dyDescent="0.3">
      <c r="B68" s="196" t="s">
        <v>5</v>
      </c>
      <c r="C68" s="197" t="s">
        <v>13</v>
      </c>
      <c r="D68" s="198" t="str">
        <f t="shared" si="19"/>
        <v>C</v>
      </c>
      <c r="E68" s="199">
        <v>44196.5</v>
      </c>
      <c r="F68" s="200" t="s">
        <v>94</v>
      </c>
      <c r="G68" s="201">
        <v>6453.55</v>
      </c>
      <c r="H68" s="201">
        <v>6537.56</v>
      </c>
      <c r="I68" s="202">
        <f t="shared" si="20"/>
        <v>84.010000000000218</v>
      </c>
      <c r="J68" s="201">
        <v>6033.49</v>
      </c>
      <c r="K68" s="199">
        <v>44200.370833333334</v>
      </c>
      <c r="L68" s="201">
        <v>6516.26</v>
      </c>
      <c r="M68" s="203">
        <f t="shared" si="21"/>
        <v>-62.71</v>
      </c>
      <c r="N68" s="204">
        <f t="shared" si="22"/>
        <v>-0.75</v>
      </c>
      <c r="O68" s="205">
        <f t="shared" si="23"/>
        <v>0</v>
      </c>
      <c r="P68" s="206">
        <f t="shared" si="24"/>
        <v>0</v>
      </c>
      <c r="Q68" s="206">
        <f t="shared" si="25"/>
        <v>-0.75</v>
      </c>
      <c r="R6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6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99250</v>
      </c>
      <c r="T6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68" s="208">
        <f ca="1">IF(Tabla336106734823[[#This Row],[Equity]]&lt;Tabla336106734823[[#This Row],[Equity Peak]],(Tabla336106734823[[#This Row],[Equity Peak]]-Tabla336106734823[[#This Row],[Equity]])/Tabla336106734823[[#This Row],[Equity Peak]],"")</f>
        <v>7.4999999999999997E-3</v>
      </c>
      <c r="V68" s="209">
        <f t="shared" si="26"/>
        <v>0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-0.75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3.8708333333343035</v>
      </c>
      <c r="AE68" s="210">
        <f t="shared" si="35"/>
        <v>0</v>
      </c>
      <c r="AF68" s="210">
        <f t="shared" si="36"/>
        <v>3.8708333333343035</v>
      </c>
      <c r="AG68" s="210">
        <f t="shared" si="37"/>
        <v>0</v>
      </c>
    </row>
  </sheetData>
  <sheetProtection algorithmName="SHA-512" hashValue="kXv4USn+nWr4y9eTPtn3eaJUn1gQSaYcM8rXm7Wopa9S1yRVKNgFB1DAwB02mpMIvWsa9+T/SyxZnN2n7RLiBQ==" saltValue="+ICMV/NyZ8nVXlBE/QVgQ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67" priority="3" operator="equal">
      <formula>"OK"</formula>
    </cfRule>
    <cfRule type="cellIs" dxfId="166" priority="4" operator="equal">
      <formula>"warning"</formula>
    </cfRule>
  </conditionalFormatting>
  <conditionalFormatting sqref="F13">
    <cfRule type="cellIs" dxfId="165" priority="1" operator="equal">
      <formula>"OK"</formula>
    </cfRule>
    <cfRule type="cellIs" dxfId="164" priority="2" operator="equal">
      <formula>"Error!!"</formula>
    </cfRule>
  </conditionalFormatting>
  <conditionalFormatting sqref="E15:H15 K15:L15">
    <cfRule type="expression" dxfId="163" priority="5">
      <formula>+$D15=#REF!</formula>
    </cfRule>
    <cfRule type="expression" dxfId="162" priority="6">
      <formula>+$D15=#REF!</formula>
    </cfRule>
  </conditionalFormatting>
  <conditionalFormatting sqref="D15 K16:L16 D16:H68 J17:L68">
    <cfRule type="expression" dxfId="161" priority="7">
      <formula>+$D15=$AG$8</formula>
    </cfRule>
    <cfRule type="expression" dxfId="16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9D062520-5218-4730-83B2-42F95CA6CC5C}">
      <formula1>$AE$4:$AE$6</formula1>
    </dataValidation>
    <dataValidation type="list" allowBlank="1" showInputMessage="1" showErrorMessage="1" promptTitle="Trade Direction" prompt="Select from List" sqref="C15:C16" xr:uid="{74BAACA8-1128-4B6D-BE0D-868414672862}">
      <formula1>$AG$4:$AG$5</formula1>
    </dataValidation>
    <dataValidation type="list" allowBlank="1" showInputMessage="1" showErrorMessage="1" promptTitle="Instrument Type" prompt="Select Type from List_x000a_" sqref="B17:B68" xr:uid="{2709CD1F-C64E-49DE-A224-7E4561AB56E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F3E8-5CAE-4D3B-BE12-713A63494BB2}">
  <sheetPr codeName="Hoja30">
    <pageSetUpPr fitToPage="1"/>
  </sheetPr>
  <dimension ref="A1:AX42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COUNTA(Tabla336106734824[Inst])</f>
        <v>26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6.9700000000000006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6.9700000000000006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COUNTIF(Tabla336106734824[No. of Rs],"&gt;0")</f>
        <v>6</v>
      </c>
      <c r="G7" s="24">
        <f>IFERROR((F7/$F$6),"")</f>
        <v>0.23076923076923078</v>
      </c>
      <c r="H7" s="78">
        <f>IFERROR((+P13/F7),"")</f>
        <v>4</v>
      </c>
      <c r="I7" s="227">
        <f>H7/H9</f>
        <v>4.4627128596594243</v>
      </c>
      <c r="J7" s="227">
        <f>AVERAGE(Tabla336106734824[No. of Rs])</f>
        <v>0.2680769230769231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COUNTIF(Tabla336106734824[No. of Rs],"=0")</f>
        <v>1</v>
      </c>
      <c r="G8" s="24">
        <f>IFERROR((F8/$F$6),"")</f>
        <v>3.8461538461538464E-2</v>
      </c>
      <c r="H8" s="78"/>
      <c r="I8" s="228"/>
      <c r="J8" s="228"/>
      <c r="K8" s="163"/>
      <c r="L8" s="212" t="s">
        <v>112</v>
      </c>
      <c r="M8" s="213"/>
      <c r="N8" s="195">
        <f ca="1">OFFSET(Tabla336106734824[[#Headers],[Equity]],1,0)</f>
        <v>106970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COUNTIF(Tabla336106734824[No. of Rs],"&lt;0")</f>
        <v>19</v>
      </c>
      <c r="G9" s="32">
        <f>IFERROR((F9/$F$6),"")</f>
        <v>0.73076923076923073</v>
      </c>
      <c r="H9" s="79">
        <f>IFERROR((-Q13/F9),"")</f>
        <v>0.89631578947368429</v>
      </c>
      <c r="I9" s="229"/>
      <c r="J9" s="229"/>
      <c r="K9" s="149"/>
      <c r="L9" s="230" t="s">
        <v>106</v>
      </c>
      <c r="M9" s="231"/>
      <c r="N9" s="125">
        <f ca="1">MAX(Tabla336106734824[Drawdown])</f>
        <v>4.7462154942119326E-2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OFFSET(Tabla336106734824[[#Headers],[Drawdown]],1,0)</f>
        <v>4.7462154942119326E-2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IF(COUNTIFS(Tabla336106734824[O/C],"O")&lt;1,"None",COUNTIFS(Tabla336106734824[O/C],"O"))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SUM(Tabla336106734824[No. of Rs])</f>
        <v>6.9700000000000006</v>
      </c>
      <c r="O13" s="42">
        <f>SUM(Tabla336106734824[Heat])</f>
        <v>0</v>
      </c>
      <c r="P13" s="43">
        <f>SUM(Tabla336106734824[[ TR WIN]])</f>
        <v>24</v>
      </c>
      <c r="Q13" s="43">
        <f>SUM(Tabla336106734824[[ TR LOSS]])</f>
        <v>-17.03</v>
      </c>
      <c r="R13" s="114"/>
      <c r="S13" s="115"/>
      <c r="T13" s="115"/>
      <c r="U13" s="121"/>
      <c r="V13" s="44">
        <f>SUM(Tabla336106734824[Currency])</f>
        <v>0</v>
      </c>
      <c r="W13" s="44">
        <f>SUM(Tabla336106734824[Heat3])</f>
        <v>0</v>
      </c>
      <c r="X13" s="44">
        <f>SUM(Tabla336106734824[Commodities])</f>
        <v>0</v>
      </c>
      <c r="Y13" s="44">
        <f>SUM(Tabla336106734824[Heat4])</f>
        <v>0</v>
      </c>
      <c r="Z13" s="44">
        <f>SUM(Tabla336106734824[Index])</f>
        <v>6.9700000000000006</v>
      </c>
      <c r="AA13" s="44">
        <f>SUM(Tabla336106734824[Heat5])</f>
        <v>0</v>
      </c>
      <c r="AB13" s="44">
        <f>SUM(Tabla336106734824[Cryptocurrency])</f>
        <v>0</v>
      </c>
      <c r="AC13" s="44">
        <f>SUM(Tabla336106734824[Heat6])</f>
        <v>0</v>
      </c>
      <c r="AD13" s="75">
        <f>AVERAGEIF(Tabla336106734824[Length of 
Trade],"&lt;&gt;0")</f>
        <v>6.930208333332792</v>
      </c>
      <c r="AE13" s="75">
        <f>AVERAGEIF(Tabla336106734824[Win],"&lt;&gt;0")</f>
        <v>14.437615740738693</v>
      </c>
      <c r="AF13" s="75">
        <f>AVERAGEIF(Tabla336106734824[Loss],"&lt;&gt;0")</f>
        <v>3.5396564327483677</v>
      </c>
      <c r="AG13" s="76">
        <f>AVERAGEIF(Tabla336106734824[Breakeven],"&lt;&gt;0")</f>
        <v>26.306250000001455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13</v>
      </c>
      <c r="D17" s="198" t="str">
        <f t="shared" ref="D17:D19" si="0">IF(E17&lt;&gt;"",IF(K17&lt;&gt;"","C","O"),"")</f>
        <v>C</v>
      </c>
      <c r="E17" s="199">
        <v>44550.208333333336</v>
      </c>
      <c r="F17" s="200" t="s">
        <v>95</v>
      </c>
      <c r="G17" s="201">
        <v>35057.839999999997</v>
      </c>
      <c r="H17" s="201">
        <v>35317.86</v>
      </c>
      <c r="I17" s="202">
        <f t="shared" ref="I17:I19" si="1">ABS(G17-H17)</f>
        <v>260.02000000000407</v>
      </c>
      <c r="J17" s="201">
        <v>34017.74</v>
      </c>
      <c r="K17" s="199">
        <v>44551.693055555559</v>
      </c>
      <c r="L17" s="201">
        <v>35317.86</v>
      </c>
      <c r="M17" s="203">
        <f t="shared" ref="M17:M19" si="2">ROUND(IF(C17="L",(L17-G17),(G17-L17)),4)</f>
        <v>-260.02</v>
      </c>
      <c r="N17" s="204">
        <f t="shared" ref="N17:N19" si="3">IFERROR(ROUND((M17/I17),2),"")</f>
        <v>-1</v>
      </c>
      <c r="O17" s="205">
        <f t="shared" ref="O17:O19" si="4">IF(D17="O",IF(N17&lt;0,N17,0),0)</f>
        <v>0</v>
      </c>
      <c r="P17" s="206">
        <f t="shared" ref="P17:P19" si="5">IF(N17&gt;= 0,N17,0)</f>
        <v>0</v>
      </c>
      <c r="Q17" s="206">
        <f t="shared" ref="Q17:Q19" si="6">IF(N17&lt;0,N17,0)</f>
        <v>-1</v>
      </c>
      <c r="R1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106970</v>
      </c>
      <c r="T1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17" s="208">
        <f ca="1">IF(Tabla336106734824[[#This Row],[Equity]]&lt;Tabla336106734824[[#This Row],[Equity Peak]],(Tabla336106734824[[#This Row],[Equity Peak]]-Tabla336106734824[[#This Row],[Equity]])/Tabla336106734824[[#This Row],[Equity Peak]],"")</f>
        <v>4.7462154942119326E-2</v>
      </c>
      <c r="V17" s="209">
        <f t="shared" ref="V17:V19" si="7">IF(B17="FX",N17,0)</f>
        <v>0</v>
      </c>
      <c r="W17" s="209">
        <f t="shared" ref="W17:W19" si="8">IF(D17="O",IF(V17&lt;0,V17,0),0)</f>
        <v>0</v>
      </c>
      <c r="X17" s="209">
        <f t="shared" ref="X17:X19" si="9">IF(B17="COM",N17,0)</f>
        <v>0</v>
      </c>
      <c r="Y17" s="209">
        <f t="shared" ref="Y17:Y19" si="10">IF(D17="O",IF(X17&lt;0,X17,0),0)</f>
        <v>0</v>
      </c>
      <c r="Z17" s="209">
        <f t="shared" ref="Z17:Z19" si="11">IF(B17="IND",N17,0)</f>
        <v>-1</v>
      </c>
      <c r="AA17" s="205">
        <f t="shared" ref="AA17:AA19" si="12">IF(D17="O",IF(Z17&lt;0,Z17,0),0)</f>
        <v>0</v>
      </c>
      <c r="AB17" s="209">
        <f t="shared" ref="AB17:AB19" si="13">IF(B17="CRYPTO",N17,0)</f>
        <v>0</v>
      </c>
      <c r="AC17" s="205">
        <f t="shared" ref="AC17:AC19" si="14">IF(D17="O",IF(AB17&lt;0,AB17,0),0)</f>
        <v>0</v>
      </c>
      <c r="AD17" s="210">
        <f t="shared" ref="AD17:AD19" si="15">IF(K17&lt;&gt;"",K17-E17,0)</f>
        <v>1.484722222223354</v>
      </c>
      <c r="AE17" s="210">
        <f t="shared" ref="AE17:AE19" si="16">IF(N17&gt;0,AD17,0)</f>
        <v>0</v>
      </c>
      <c r="AF17" s="210">
        <f t="shared" ref="AF17:AF19" si="17">IF(N17&lt;0,AD17,0)</f>
        <v>1.484722222223354</v>
      </c>
      <c r="AG17" s="210">
        <f t="shared" ref="AG17:AG19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44546.541666666664</v>
      </c>
      <c r="F18" s="200" t="s">
        <v>95</v>
      </c>
      <c r="G18" s="201">
        <v>36142.43</v>
      </c>
      <c r="H18" s="201">
        <v>35887.54</v>
      </c>
      <c r="I18" s="202">
        <f t="shared" si="1"/>
        <v>254.88999999999942</v>
      </c>
      <c r="J18" s="201">
        <v>37162</v>
      </c>
      <c r="K18" s="199">
        <v>44546.90625</v>
      </c>
      <c r="L18" s="201">
        <v>35887.54</v>
      </c>
      <c r="M18" s="203">
        <f t="shared" si="2"/>
        <v>-254.89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107970</v>
      </c>
      <c r="T1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18" s="208">
        <f ca="1">IF(Tabla336106734824[[#This Row],[Equity]]&lt;Tabla336106734824[[#This Row],[Equity Peak]],(Tabla336106734824[[#This Row],[Equity Peak]]-Tabla336106734824[[#This Row],[Equity]])/Tabla336106734824[[#This Row],[Equity Peak]],"")</f>
        <v>3.8557435440783612E-2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0.36458333333575865</v>
      </c>
      <c r="AE18" s="210">
        <f t="shared" si="16"/>
        <v>0</v>
      </c>
      <c r="AF18" s="210">
        <f t="shared" si="17"/>
        <v>0.36458333333575865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44537.541666666664</v>
      </c>
      <c r="F19" s="200" t="s">
        <v>95</v>
      </c>
      <c r="G19" s="201">
        <v>35588.28</v>
      </c>
      <c r="H19" s="201">
        <v>35334.74</v>
      </c>
      <c r="I19" s="202">
        <f t="shared" si="1"/>
        <v>253.54000000000087</v>
      </c>
      <c r="J19" s="201">
        <v>36602.42</v>
      </c>
      <c r="K19" s="199">
        <v>44544.745833333334</v>
      </c>
      <c r="L19" s="201">
        <v>35505.58</v>
      </c>
      <c r="M19" s="203">
        <f t="shared" si="2"/>
        <v>-82.7</v>
      </c>
      <c r="N19" s="204">
        <f t="shared" si="3"/>
        <v>-0.33</v>
      </c>
      <c r="O19" s="205">
        <f t="shared" si="4"/>
        <v>0</v>
      </c>
      <c r="P19" s="206">
        <f t="shared" si="5"/>
        <v>0</v>
      </c>
      <c r="Q19" s="206">
        <f t="shared" si="6"/>
        <v>-0.33</v>
      </c>
      <c r="R1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108970</v>
      </c>
      <c r="T1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19" s="208">
        <f ca="1">IF(Tabla336106734824[[#This Row],[Equity]]&lt;Tabla336106734824[[#This Row],[Equity Peak]],(Tabla336106734824[[#This Row],[Equity Peak]]-Tabla336106734824[[#This Row],[Equity]])/Tabla336106734824[[#This Row],[Equity Peak]],"")</f>
        <v>2.9652715939447908E-2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-0.33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7.2041666666700621</v>
      </c>
      <c r="AE19" s="210">
        <f t="shared" si="16"/>
        <v>0</v>
      </c>
      <c r="AF19" s="210">
        <f t="shared" si="17"/>
        <v>7.2041666666700621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ref="D20:D42" si="19">IF(E20&lt;&gt;"",IF(K20&lt;&gt;"","C","O"),"")</f>
        <v>C</v>
      </c>
      <c r="E20" s="199">
        <v>44532.041666666664</v>
      </c>
      <c r="F20" s="200" t="s">
        <v>95</v>
      </c>
      <c r="G20" s="201">
        <v>34058.39</v>
      </c>
      <c r="H20" s="201">
        <v>34299.15</v>
      </c>
      <c r="I20" s="202">
        <f t="shared" ref="I20:I42" si="20">ABS(G20-H20)</f>
        <v>240.76000000000204</v>
      </c>
      <c r="J20" s="201">
        <v>33095.35</v>
      </c>
      <c r="K20" s="199">
        <v>44532.37222222222</v>
      </c>
      <c r="L20" s="201">
        <v>34299.15</v>
      </c>
      <c r="M20" s="203">
        <f t="shared" ref="M20:M42" si="21">ROUND(IF(C20="L",(L20-G20),(G20-L20)),4)</f>
        <v>-240.76</v>
      </c>
      <c r="N20" s="204">
        <f t="shared" ref="N20:N42" si="22">IFERROR(ROUND((M20/I20),2),"")</f>
        <v>-1</v>
      </c>
      <c r="O20" s="205">
        <f t="shared" ref="O20:O42" si="23">IF(D20="O",IF(N20&lt;0,N20,0),0)</f>
        <v>0</v>
      </c>
      <c r="P20" s="206">
        <f t="shared" ref="P20:P42" si="24">IF(N20&gt;= 0,N20,0)</f>
        <v>0</v>
      </c>
      <c r="Q20" s="206">
        <f t="shared" ref="Q20:Q42" si="25">IF(N20&lt;0,N20,0)</f>
        <v>-1</v>
      </c>
      <c r="R2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109300</v>
      </c>
      <c r="T2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20" s="208">
        <f ca="1">IF(Tabla336106734824[[#This Row],[Equity]]&lt;Tabla336106734824[[#This Row],[Equity Peak]],(Tabla336106734824[[#This Row],[Equity Peak]]-Tabla336106734824[[#This Row],[Equity]])/Tabla336106734824[[#This Row],[Equity Peak]],"")</f>
        <v>2.6714158504007122E-2</v>
      </c>
      <c r="V20" s="209">
        <f t="shared" ref="V20:V42" si="26">IF(B20="FX",N20,0)</f>
        <v>0</v>
      </c>
      <c r="W20" s="209">
        <f t="shared" ref="W20:W42" si="27">IF(D20="O",IF(V20&lt;0,V20,0),0)</f>
        <v>0</v>
      </c>
      <c r="X20" s="209">
        <f t="shared" ref="X20:X42" si="28">IF(B20="COM",N20,0)</f>
        <v>0</v>
      </c>
      <c r="Y20" s="209">
        <f t="shared" ref="Y20:Y42" si="29">IF(D20="O",IF(X20&lt;0,X20,0),0)</f>
        <v>0</v>
      </c>
      <c r="Z20" s="209">
        <f t="shared" ref="Z20:Z42" si="30">IF(B20="IND",N20,0)</f>
        <v>-1</v>
      </c>
      <c r="AA20" s="205">
        <f t="shared" ref="AA20:AA42" si="31">IF(D20="O",IF(Z20&lt;0,Z20,0),0)</f>
        <v>0</v>
      </c>
      <c r="AB20" s="209">
        <f t="shared" ref="AB20:AB42" si="32">IF(B20="CRYPTO",N20,0)</f>
        <v>0</v>
      </c>
      <c r="AC20" s="205">
        <f t="shared" ref="AC20:AC42" si="33">IF(D20="O",IF(AB20&lt;0,AB20,0),0)</f>
        <v>0</v>
      </c>
      <c r="AD20" s="210">
        <f t="shared" ref="AD20:AD42" si="34">IF(K20&lt;&gt;"",K20-E20,0)</f>
        <v>0.33055555555620231</v>
      </c>
      <c r="AE20" s="210">
        <f t="shared" ref="AE20:AE42" si="35">IF(N20&gt;0,AD20,0)</f>
        <v>0</v>
      </c>
      <c r="AF20" s="210">
        <f t="shared" ref="AF20:AF42" si="36">IF(N20&lt;0,AD20,0)</f>
        <v>0.33055555555620231</v>
      </c>
      <c r="AG20" s="210">
        <f t="shared" ref="AG20:AG42" si="37">IF(N20=0,AD20,0)</f>
        <v>0</v>
      </c>
    </row>
    <row r="21" spans="2:33" ht="15" customHeight="1" x14ac:dyDescent="0.3">
      <c r="B21" s="196" t="s">
        <v>5</v>
      </c>
      <c r="C21" s="197" t="s">
        <v>13</v>
      </c>
      <c r="D21" s="198" t="str">
        <f t="shared" si="19"/>
        <v>C</v>
      </c>
      <c r="E21" s="199">
        <v>44526.541666666664</v>
      </c>
      <c r="F21" s="200" t="s">
        <v>95</v>
      </c>
      <c r="G21" s="201">
        <v>35000.14</v>
      </c>
      <c r="H21" s="201">
        <v>35222.79</v>
      </c>
      <c r="I21" s="202">
        <f t="shared" si="20"/>
        <v>222.65000000000146</v>
      </c>
      <c r="J21" s="201">
        <v>34109.550000000003</v>
      </c>
      <c r="K21" s="199">
        <v>44529.657638888886</v>
      </c>
      <c r="L21" s="201">
        <v>35222.79</v>
      </c>
      <c r="M21" s="203">
        <f t="shared" si="21"/>
        <v>-222.65</v>
      </c>
      <c r="N21" s="204">
        <f t="shared" si="22"/>
        <v>-1</v>
      </c>
      <c r="O21" s="205">
        <f t="shared" si="23"/>
        <v>0</v>
      </c>
      <c r="P21" s="206">
        <f t="shared" si="24"/>
        <v>0</v>
      </c>
      <c r="Q21" s="206">
        <f t="shared" si="25"/>
        <v>-1</v>
      </c>
      <c r="R2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110300</v>
      </c>
      <c r="T2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21" s="208">
        <f ca="1">IF(Tabla336106734824[[#This Row],[Equity]]&lt;Tabla336106734824[[#This Row],[Equity Peak]],(Tabla336106734824[[#This Row],[Equity Peak]]-Tabla336106734824[[#This Row],[Equity]])/Tabla336106734824[[#This Row],[Equity Peak]],"")</f>
        <v>1.7809439002671415E-2</v>
      </c>
      <c r="V21" s="209">
        <f t="shared" si="26"/>
        <v>0</v>
      </c>
      <c r="W21" s="209">
        <f t="shared" si="27"/>
        <v>0</v>
      </c>
      <c r="X21" s="209">
        <f t="shared" si="28"/>
        <v>0</v>
      </c>
      <c r="Y21" s="209">
        <f t="shared" si="29"/>
        <v>0</v>
      </c>
      <c r="Z21" s="209">
        <f t="shared" si="30"/>
        <v>-1</v>
      </c>
      <c r="AA21" s="205">
        <f t="shared" si="31"/>
        <v>0</v>
      </c>
      <c r="AB21" s="209">
        <f t="shared" si="32"/>
        <v>0</v>
      </c>
      <c r="AC21" s="205">
        <f t="shared" si="33"/>
        <v>0</v>
      </c>
      <c r="AD21" s="210">
        <f t="shared" si="34"/>
        <v>3.1159722222218988</v>
      </c>
      <c r="AE21" s="210">
        <f t="shared" si="35"/>
        <v>0</v>
      </c>
      <c r="AF21" s="210">
        <f t="shared" si="36"/>
        <v>3.1159722222218988</v>
      </c>
      <c r="AG21" s="210">
        <f t="shared" si="37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19"/>
        <v>C</v>
      </c>
      <c r="E22" s="199">
        <v>44525.375</v>
      </c>
      <c r="F22" s="200" t="s">
        <v>95</v>
      </c>
      <c r="G22" s="201">
        <v>35950.550000000003</v>
      </c>
      <c r="H22" s="201">
        <v>35730.65</v>
      </c>
      <c r="I22" s="202">
        <f t="shared" si="20"/>
        <v>219.90000000000146</v>
      </c>
      <c r="J22" s="201">
        <v>36830.14</v>
      </c>
      <c r="K22" s="199">
        <v>44526.064583333333</v>
      </c>
      <c r="L22" s="201">
        <v>35730.65</v>
      </c>
      <c r="M22" s="203">
        <f t="shared" si="21"/>
        <v>-219.9</v>
      </c>
      <c r="N22" s="204">
        <f t="shared" si="22"/>
        <v>-1</v>
      </c>
      <c r="O22" s="205">
        <f t="shared" si="23"/>
        <v>0</v>
      </c>
      <c r="P22" s="206">
        <f t="shared" si="24"/>
        <v>0</v>
      </c>
      <c r="Q22" s="206">
        <f t="shared" si="25"/>
        <v>-1</v>
      </c>
      <c r="R2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111300</v>
      </c>
      <c r="T2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22" s="208">
        <f ca="1">IF(Tabla336106734824[[#This Row],[Equity]]&lt;Tabla336106734824[[#This Row],[Equity Peak]],(Tabla336106734824[[#This Row],[Equity Peak]]-Tabla336106734824[[#This Row],[Equity]])/Tabla336106734824[[#This Row],[Equity Peak]],"")</f>
        <v>8.9047195013357075E-3</v>
      </c>
      <c r="V22" s="209">
        <f t="shared" si="26"/>
        <v>0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-1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0.68958333333284827</v>
      </c>
      <c r="AE22" s="210">
        <f t="shared" si="35"/>
        <v>0</v>
      </c>
      <c r="AF22" s="210">
        <f t="shared" si="36"/>
        <v>0.68958333333284827</v>
      </c>
      <c r="AG22" s="210">
        <f t="shared" si="37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19"/>
        <v>C</v>
      </c>
      <c r="E23" s="199">
        <v>44483.708333333336</v>
      </c>
      <c r="F23" s="200" t="s">
        <v>95</v>
      </c>
      <c r="G23" s="201">
        <v>34709.449999999997</v>
      </c>
      <c r="H23" s="201">
        <v>34481.82</v>
      </c>
      <c r="I23" s="202">
        <f t="shared" si="20"/>
        <v>227.62999999999738</v>
      </c>
      <c r="J23" s="201">
        <v>35619.980000000003</v>
      </c>
      <c r="K23" s="199">
        <v>44489.80972222222</v>
      </c>
      <c r="L23" s="201">
        <v>35619.980000000003</v>
      </c>
      <c r="M23" s="203">
        <f t="shared" si="21"/>
        <v>910.53</v>
      </c>
      <c r="N23" s="204">
        <f t="shared" si="22"/>
        <v>4</v>
      </c>
      <c r="O23" s="205">
        <f t="shared" si="23"/>
        <v>0</v>
      </c>
      <c r="P23" s="206">
        <f t="shared" si="24"/>
        <v>4</v>
      </c>
      <c r="Q23" s="206">
        <f t="shared" si="25"/>
        <v>0</v>
      </c>
      <c r="R23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3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112300</v>
      </c>
      <c r="T23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112300</v>
      </c>
      <c r="U23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3" s="209">
        <f t="shared" si="26"/>
        <v>0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4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6.101388888884685</v>
      </c>
      <c r="AE23" s="210">
        <f t="shared" si="35"/>
        <v>6.101388888884685</v>
      </c>
      <c r="AF23" s="210">
        <f t="shared" si="36"/>
        <v>0</v>
      </c>
      <c r="AG23" s="210">
        <f t="shared" si="37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19"/>
        <v>C</v>
      </c>
      <c r="E24" s="199">
        <v>44481.208333333336</v>
      </c>
      <c r="F24" s="200" t="s">
        <v>95</v>
      </c>
      <c r="G24" s="201">
        <v>34360.559999999998</v>
      </c>
      <c r="H24" s="201">
        <v>34583.96</v>
      </c>
      <c r="I24" s="202">
        <f t="shared" si="20"/>
        <v>223.40000000000146</v>
      </c>
      <c r="J24" s="201">
        <v>33466.949999999997</v>
      </c>
      <c r="K24" s="199">
        <v>44481.644444444442</v>
      </c>
      <c r="L24" s="201">
        <v>34583.96</v>
      </c>
      <c r="M24" s="203">
        <f t="shared" si="21"/>
        <v>-223.4</v>
      </c>
      <c r="N24" s="204">
        <f t="shared" si="22"/>
        <v>-1</v>
      </c>
      <c r="O24" s="205">
        <f t="shared" si="23"/>
        <v>0</v>
      </c>
      <c r="P24" s="206">
        <f t="shared" si="24"/>
        <v>0</v>
      </c>
      <c r="Q24" s="206">
        <f t="shared" si="25"/>
        <v>-1</v>
      </c>
      <c r="R24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4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108300</v>
      </c>
      <c r="T24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111300</v>
      </c>
      <c r="U24" s="208">
        <f ca="1">IF(Tabla336106734824[[#This Row],[Equity]]&lt;Tabla336106734824[[#This Row],[Equity Peak]],(Tabla336106734824[[#This Row],[Equity Peak]]-Tabla336106734824[[#This Row],[Equity]])/Tabla336106734824[[#This Row],[Equity Peak]],"")</f>
        <v>2.6954177897574125E-2</v>
      </c>
      <c r="V24" s="209">
        <f t="shared" si="26"/>
        <v>0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-1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0.43611111110658385</v>
      </c>
      <c r="AE24" s="210">
        <f t="shared" si="35"/>
        <v>0</v>
      </c>
      <c r="AF24" s="210">
        <f t="shared" si="36"/>
        <v>0.43611111110658385</v>
      </c>
      <c r="AG24" s="210">
        <f t="shared" si="37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19"/>
        <v>C</v>
      </c>
      <c r="E25" s="199">
        <v>44476.708333333336</v>
      </c>
      <c r="F25" s="200" t="s">
        <v>95</v>
      </c>
      <c r="G25" s="201">
        <v>34879.26</v>
      </c>
      <c r="H25" s="201">
        <v>34656.949999999997</v>
      </c>
      <c r="I25" s="202">
        <f t="shared" si="20"/>
        <v>222.31000000000495</v>
      </c>
      <c r="J25" s="201">
        <v>35768.49</v>
      </c>
      <c r="K25" s="199">
        <v>44477.647916666669</v>
      </c>
      <c r="L25" s="201">
        <v>34656.949999999997</v>
      </c>
      <c r="M25" s="203">
        <f t="shared" si="21"/>
        <v>-222.31</v>
      </c>
      <c r="N25" s="204">
        <f t="shared" si="22"/>
        <v>-1</v>
      </c>
      <c r="O25" s="205">
        <f t="shared" si="23"/>
        <v>0</v>
      </c>
      <c r="P25" s="206">
        <f t="shared" si="24"/>
        <v>0</v>
      </c>
      <c r="Q25" s="206">
        <f t="shared" si="25"/>
        <v>-1</v>
      </c>
      <c r="R25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5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109300</v>
      </c>
      <c r="T25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111300</v>
      </c>
      <c r="U25" s="208">
        <f ca="1">IF(Tabla336106734824[[#This Row],[Equity]]&lt;Tabla336106734824[[#This Row],[Equity Peak]],(Tabla336106734824[[#This Row],[Equity Peak]]-Tabla336106734824[[#This Row],[Equity]])/Tabla336106734824[[#This Row],[Equity Peak]],"")</f>
        <v>1.7969451931716084E-2</v>
      </c>
      <c r="V25" s="209">
        <f t="shared" si="26"/>
        <v>0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-1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0.93958333333284827</v>
      </c>
      <c r="AE25" s="210">
        <f t="shared" si="35"/>
        <v>0</v>
      </c>
      <c r="AF25" s="210">
        <f t="shared" si="36"/>
        <v>0.93958333333284827</v>
      </c>
      <c r="AG25" s="210">
        <f t="shared" si="37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19"/>
        <v>C</v>
      </c>
      <c r="E26" s="199">
        <v>44466.208333333336</v>
      </c>
      <c r="F26" s="200" t="s">
        <v>95</v>
      </c>
      <c r="G26" s="201">
        <v>34972.69</v>
      </c>
      <c r="H26" s="201">
        <v>34773.9</v>
      </c>
      <c r="I26" s="202">
        <f t="shared" si="20"/>
        <v>198.79000000000087</v>
      </c>
      <c r="J26" s="201">
        <v>35767.839999999997</v>
      </c>
      <c r="K26" s="199">
        <v>44467.433333333334</v>
      </c>
      <c r="L26" s="201">
        <v>34773.9</v>
      </c>
      <c r="M26" s="203">
        <f t="shared" si="21"/>
        <v>-198.79</v>
      </c>
      <c r="N26" s="204">
        <f t="shared" si="22"/>
        <v>-1</v>
      </c>
      <c r="O26" s="205">
        <f t="shared" si="23"/>
        <v>0</v>
      </c>
      <c r="P26" s="206">
        <f t="shared" si="24"/>
        <v>0</v>
      </c>
      <c r="Q26" s="206">
        <f t="shared" si="25"/>
        <v>-1</v>
      </c>
      <c r="R26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6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110300</v>
      </c>
      <c r="T26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111300</v>
      </c>
      <c r="U26" s="208">
        <f ca="1">IF(Tabla336106734824[[#This Row],[Equity]]&lt;Tabla336106734824[[#This Row],[Equity Peak]],(Tabla336106734824[[#This Row],[Equity Peak]]-Tabla336106734824[[#This Row],[Equity]])/Tabla336106734824[[#This Row],[Equity Peak]],"")</f>
        <v>8.9847259658580418E-3</v>
      </c>
      <c r="V26" s="209">
        <f t="shared" si="26"/>
        <v>0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-1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1.2249999999985448</v>
      </c>
      <c r="AE26" s="210">
        <f t="shared" si="35"/>
        <v>0</v>
      </c>
      <c r="AF26" s="210">
        <f t="shared" si="36"/>
        <v>1.2249999999985448</v>
      </c>
      <c r="AG26" s="210">
        <f t="shared" si="37"/>
        <v>0</v>
      </c>
    </row>
    <row r="27" spans="2:33" ht="15" customHeight="1" x14ac:dyDescent="0.3">
      <c r="B27" s="196" t="s">
        <v>5</v>
      </c>
      <c r="C27" s="197" t="s">
        <v>13</v>
      </c>
      <c r="D27" s="198" t="str">
        <f t="shared" si="19"/>
        <v>C</v>
      </c>
      <c r="E27" s="199">
        <v>44459.041666666664</v>
      </c>
      <c r="F27" s="200" t="s">
        <v>95</v>
      </c>
      <c r="G27" s="201">
        <v>34508.129999999997</v>
      </c>
      <c r="H27" s="201">
        <v>34697.86</v>
      </c>
      <c r="I27" s="202">
        <f t="shared" si="20"/>
        <v>189.7300000000032</v>
      </c>
      <c r="J27" s="201">
        <v>33749.199999999997</v>
      </c>
      <c r="K27" s="199">
        <v>44459.839583333334</v>
      </c>
      <c r="L27" s="201">
        <v>33749.199999999997</v>
      </c>
      <c r="M27" s="203">
        <f t="shared" si="21"/>
        <v>758.93</v>
      </c>
      <c r="N27" s="204">
        <f t="shared" si="22"/>
        <v>4</v>
      </c>
      <c r="O27" s="205">
        <f t="shared" si="23"/>
        <v>0</v>
      </c>
      <c r="P27" s="206">
        <f t="shared" si="24"/>
        <v>4</v>
      </c>
      <c r="Q27" s="206">
        <f t="shared" si="25"/>
        <v>0</v>
      </c>
      <c r="R2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111300</v>
      </c>
      <c r="T2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111300</v>
      </c>
      <c r="U27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4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0.79791666667006211</v>
      </c>
      <c r="AE27" s="210">
        <f t="shared" si="35"/>
        <v>0.79791666667006211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19"/>
        <v>C</v>
      </c>
      <c r="E28" s="199">
        <v>44431.375</v>
      </c>
      <c r="F28" s="200" t="s">
        <v>95</v>
      </c>
      <c r="G28" s="201">
        <v>35240.129999999997</v>
      </c>
      <c r="H28" s="201">
        <v>35052.79</v>
      </c>
      <c r="I28" s="202">
        <f t="shared" si="20"/>
        <v>187.33999999999651</v>
      </c>
      <c r="J28" s="201">
        <v>35989.49</v>
      </c>
      <c r="K28" s="199">
        <v>44446.724999999999</v>
      </c>
      <c r="L28" s="201">
        <v>35082.839999999997</v>
      </c>
      <c r="M28" s="203">
        <f t="shared" si="21"/>
        <v>-157.29</v>
      </c>
      <c r="N28" s="204">
        <f t="shared" si="22"/>
        <v>-0.84</v>
      </c>
      <c r="O28" s="205">
        <f t="shared" si="23"/>
        <v>0</v>
      </c>
      <c r="P28" s="206">
        <f t="shared" si="24"/>
        <v>0</v>
      </c>
      <c r="Q28" s="206">
        <f t="shared" si="25"/>
        <v>-0.84</v>
      </c>
      <c r="R2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107300</v>
      </c>
      <c r="T2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108140</v>
      </c>
      <c r="U28" s="208">
        <f ca="1">IF(Tabla336106734824[[#This Row],[Equity]]&lt;Tabla336106734824[[#This Row],[Equity Peak]],(Tabla336106734824[[#This Row],[Equity Peak]]-Tabla336106734824[[#This Row],[Equity]])/Tabla336106734824[[#This Row],[Equity Peak]],"")</f>
        <v>7.7677085259848346E-3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-0.84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15.349999999998545</v>
      </c>
      <c r="AE28" s="210">
        <f t="shared" si="35"/>
        <v>0</v>
      </c>
      <c r="AF28" s="210">
        <f t="shared" si="36"/>
        <v>15.349999999998545</v>
      </c>
      <c r="AG28" s="210">
        <f t="shared" si="37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19"/>
        <v>C</v>
      </c>
      <c r="E29" s="199">
        <v>44398.708333333336</v>
      </c>
      <c r="F29" s="200" t="s">
        <v>95</v>
      </c>
      <c r="G29" s="201">
        <v>34769.160000000003</v>
      </c>
      <c r="H29" s="201">
        <v>34566.47</v>
      </c>
      <c r="I29" s="202">
        <f t="shared" si="20"/>
        <v>202.69000000000233</v>
      </c>
      <c r="J29" s="201">
        <v>35579.919999999998</v>
      </c>
      <c r="K29" s="199">
        <v>44421.693749999999</v>
      </c>
      <c r="L29" s="201">
        <v>35579.919999999998</v>
      </c>
      <c r="M29" s="203">
        <f t="shared" si="21"/>
        <v>810.76</v>
      </c>
      <c r="N29" s="204">
        <f t="shared" si="22"/>
        <v>4</v>
      </c>
      <c r="O29" s="205">
        <f t="shared" si="23"/>
        <v>0</v>
      </c>
      <c r="P29" s="206">
        <f t="shared" si="24"/>
        <v>4</v>
      </c>
      <c r="Q29" s="206">
        <f t="shared" si="25"/>
        <v>0</v>
      </c>
      <c r="R2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108140</v>
      </c>
      <c r="T2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108140</v>
      </c>
      <c r="U29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9" s="209">
        <f t="shared" si="26"/>
        <v>0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4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22.985416666662786</v>
      </c>
      <c r="AE29" s="210">
        <f t="shared" si="35"/>
        <v>22.985416666662786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19"/>
        <v>C</v>
      </c>
      <c r="E30" s="199">
        <v>44386.541666666664</v>
      </c>
      <c r="F30" s="200" t="s">
        <v>95</v>
      </c>
      <c r="G30" s="201">
        <v>34550.36</v>
      </c>
      <c r="H30" s="201">
        <v>34356.410000000003</v>
      </c>
      <c r="I30" s="202">
        <f t="shared" si="20"/>
        <v>193.94999999999709</v>
      </c>
      <c r="J30" s="201">
        <v>35326.15</v>
      </c>
      <c r="K30" s="199">
        <v>44396.109027777777</v>
      </c>
      <c r="L30" s="201">
        <v>34543.160000000003</v>
      </c>
      <c r="M30" s="203">
        <f t="shared" si="21"/>
        <v>-7.2</v>
      </c>
      <c r="N30" s="204">
        <f t="shared" si="22"/>
        <v>-0.04</v>
      </c>
      <c r="O30" s="205">
        <f t="shared" si="23"/>
        <v>0</v>
      </c>
      <c r="P30" s="206">
        <f t="shared" si="24"/>
        <v>0</v>
      </c>
      <c r="Q30" s="206">
        <f t="shared" si="25"/>
        <v>-0.04</v>
      </c>
      <c r="R3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104140</v>
      </c>
      <c r="T3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0" s="208">
        <f ca="1">IF(Tabla336106734824[[#This Row],[Equity]]&lt;Tabla336106734824[[#This Row],[Equity Peak]],(Tabla336106734824[[#This Row],[Equity Peak]]-Tabla336106734824[[#This Row],[Equity]])/Tabla336106734824[[#This Row],[Equity Peak]],"")</f>
        <v>3.574074074074074E-2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-0.04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9.5673611111124046</v>
      </c>
      <c r="AE30" s="210">
        <f t="shared" si="35"/>
        <v>0</v>
      </c>
      <c r="AF30" s="210">
        <f t="shared" si="36"/>
        <v>9.5673611111124046</v>
      </c>
      <c r="AG30" s="210">
        <f t="shared" si="37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19"/>
        <v>C</v>
      </c>
      <c r="E31" s="199">
        <v>44378.041666666664</v>
      </c>
      <c r="F31" s="200" t="s">
        <v>95</v>
      </c>
      <c r="G31" s="201">
        <v>34567.94</v>
      </c>
      <c r="H31" s="201">
        <v>34377.22</v>
      </c>
      <c r="I31" s="202">
        <f t="shared" si="20"/>
        <v>190.72000000000116</v>
      </c>
      <c r="J31" s="201">
        <v>35330.83</v>
      </c>
      <c r="K31" s="199">
        <v>44383.745833333334</v>
      </c>
      <c r="L31" s="201">
        <v>34411.339999999997</v>
      </c>
      <c r="M31" s="203">
        <f t="shared" si="21"/>
        <v>-156.6</v>
      </c>
      <c r="N31" s="204">
        <f t="shared" si="22"/>
        <v>-0.82</v>
      </c>
      <c r="O31" s="205">
        <f t="shared" si="23"/>
        <v>0</v>
      </c>
      <c r="P31" s="206">
        <f t="shared" si="24"/>
        <v>0</v>
      </c>
      <c r="Q31" s="206">
        <f t="shared" si="25"/>
        <v>-0.82</v>
      </c>
      <c r="R3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104180</v>
      </c>
      <c r="T3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1" s="208">
        <f ca="1">IF(Tabla336106734824[[#This Row],[Equity]]&lt;Tabla336106734824[[#This Row],[Equity Peak]],(Tabla336106734824[[#This Row],[Equity Peak]]-Tabla336106734824[[#This Row],[Equity]])/Tabla336106734824[[#This Row],[Equity Peak]],"")</f>
        <v>3.5370370370370371E-2</v>
      </c>
      <c r="V31" s="209">
        <f t="shared" si="26"/>
        <v>0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-0.82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5.7041666666700621</v>
      </c>
      <c r="AE31" s="210">
        <f t="shared" si="35"/>
        <v>0</v>
      </c>
      <c r="AF31" s="210">
        <f t="shared" si="36"/>
        <v>5.7041666666700621</v>
      </c>
      <c r="AG31" s="210">
        <f t="shared" si="37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19"/>
        <v>C</v>
      </c>
      <c r="E32" s="199">
        <v>44372.208333333336</v>
      </c>
      <c r="F32" s="200" t="s">
        <v>95</v>
      </c>
      <c r="G32" s="201">
        <v>34326.769999999997</v>
      </c>
      <c r="H32" s="201">
        <v>34130.74</v>
      </c>
      <c r="I32" s="202">
        <f t="shared" si="20"/>
        <v>196.02999999999884</v>
      </c>
      <c r="J32" s="201">
        <v>35110.9</v>
      </c>
      <c r="K32" s="199">
        <v>44377.504861111112</v>
      </c>
      <c r="L32" s="201">
        <v>34130.74</v>
      </c>
      <c r="M32" s="203">
        <f t="shared" si="21"/>
        <v>-196.03</v>
      </c>
      <c r="N32" s="204">
        <f t="shared" si="22"/>
        <v>-1</v>
      </c>
      <c r="O32" s="205">
        <f t="shared" si="23"/>
        <v>0</v>
      </c>
      <c r="P32" s="206">
        <f t="shared" si="24"/>
        <v>0</v>
      </c>
      <c r="Q32" s="206">
        <f t="shared" si="25"/>
        <v>-1</v>
      </c>
      <c r="R3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105000</v>
      </c>
      <c r="T3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2" s="208">
        <f ca="1">IF(Tabla336106734824[[#This Row],[Equity]]&lt;Tabla336106734824[[#This Row],[Equity Peak]],(Tabla336106734824[[#This Row],[Equity Peak]]-Tabla336106734824[[#This Row],[Equity]])/Tabla336106734824[[#This Row],[Equity Peak]],"")</f>
        <v>2.7777777777777776E-2</v>
      </c>
      <c r="V32" s="209">
        <f t="shared" si="26"/>
        <v>0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-1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5.296527777776646</v>
      </c>
      <c r="AE32" s="210">
        <f t="shared" si="35"/>
        <v>0</v>
      </c>
      <c r="AF32" s="210">
        <f t="shared" si="36"/>
        <v>5.296527777776646</v>
      </c>
      <c r="AG32" s="210">
        <f t="shared" si="37"/>
        <v>0</v>
      </c>
    </row>
    <row r="33" spans="2:33" ht="15" customHeight="1" x14ac:dyDescent="0.3">
      <c r="B33" s="196" t="s">
        <v>5</v>
      </c>
      <c r="C33" s="197" t="s">
        <v>13</v>
      </c>
      <c r="D33" s="198" t="str">
        <f t="shared" si="19"/>
        <v>C</v>
      </c>
      <c r="E33" s="199">
        <v>44368.208333333336</v>
      </c>
      <c r="F33" s="200" t="s">
        <v>95</v>
      </c>
      <c r="G33" s="201">
        <v>33113.85</v>
      </c>
      <c r="H33" s="201">
        <v>33311.72</v>
      </c>
      <c r="I33" s="202">
        <f t="shared" si="20"/>
        <v>197.87000000000262</v>
      </c>
      <c r="J33" s="201">
        <v>32322.39</v>
      </c>
      <c r="K33" s="199">
        <v>44368.443749999999</v>
      </c>
      <c r="L33" s="201">
        <v>33311.72</v>
      </c>
      <c r="M33" s="203">
        <f t="shared" si="21"/>
        <v>-197.87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3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106000</v>
      </c>
      <c r="T33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3" s="208">
        <f ca="1">IF(Tabla336106734824[[#This Row],[Equity]]&lt;Tabla336106734824[[#This Row],[Equity Peak]],(Tabla336106734824[[#This Row],[Equity Peak]]-Tabla336106734824[[#This Row],[Equity]])/Tabla336106734824[[#This Row],[Equity Peak]],"")</f>
        <v>1.8518518518518517E-2</v>
      </c>
      <c r="V33" s="209">
        <f t="shared" si="26"/>
        <v>0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-1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0.23541666666278616</v>
      </c>
      <c r="AE33" s="210">
        <f t="shared" si="35"/>
        <v>0</v>
      </c>
      <c r="AF33" s="210">
        <f t="shared" si="36"/>
        <v>0.23541666666278616</v>
      </c>
      <c r="AG33" s="210">
        <f t="shared" si="37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19"/>
        <v>C</v>
      </c>
      <c r="E34" s="199">
        <v>44337.541666666664</v>
      </c>
      <c r="F34" s="200" t="s">
        <v>95</v>
      </c>
      <c r="G34" s="201">
        <v>34179.160000000003</v>
      </c>
      <c r="H34" s="201">
        <v>33942.44</v>
      </c>
      <c r="I34" s="202">
        <f t="shared" si="20"/>
        <v>236.72000000000116</v>
      </c>
      <c r="J34" s="201">
        <v>35126.019999999997</v>
      </c>
      <c r="K34" s="199">
        <v>44363.847916666666</v>
      </c>
      <c r="L34" s="201">
        <v>34178.620000000003</v>
      </c>
      <c r="M34" s="203">
        <f t="shared" si="21"/>
        <v>-0.54</v>
      </c>
      <c r="N34" s="204">
        <f t="shared" si="22"/>
        <v>0</v>
      </c>
      <c r="O34" s="205">
        <f t="shared" si="23"/>
        <v>0</v>
      </c>
      <c r="P34" s="206">
        <f t="shared" si="24"/>
        <v>0</v>
      </c>
      <c r="Q34" s="206">
        <f t="shared" si="25"/>
        <v>0</v>
      </c>
      <c r="R34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4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107000</v>
      </c>
      <c r="T34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4" s="208">
        <f ca="1">IF(Tabla336106734824[[#This Row],[Equity]]&lt;Tabla336106734824[[#This Row],[Equity Peak]],(Tabla336106734824[[#This Row],[Equity Peak]]-Tabla336106734824[[#This Row],[Equity]])/Tabla336106734824[[#This Row],[Equity Peak]],"")</f>
        <v>9.2592592592592587E-3</v>
      </c>
      <c r="V34" s="209">
        <f t="shared" si="26"/>
        <v>0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26.306250000001455</v>
      </c>
      <c r="AE34" s="210">
        <f t="shared" si="35"/>
        <v>0</v>
      </c>
      <c r="AF34" s="210">
        <f t="shared" si="36"/>
        <v>0</v>
      </c>
      <c r="AG34" s="210">
        <f t="shared" si="37"/>
        <v>26.306250000001455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19"/>
        <v>C</v>
      </c>
      <c r="E35" s="199">
        <v>44330.541666666664</v>
      </c>
      <c r="F35" s="200" t="s">
        <v>95</v>
      </c>
      <c r="G35" s="201">
        <v>34174.589999999997</v>
      </c>
      <c r="H35" s="201">
        <v>33945.21</v>
      </c>
      <c r="I35" s="202">
        <f t="shared" si="20"/>
        <v>229.37999999999738</v>
      </c>
      <c r="J35" s="201">
        <v>35092.120000000003</v>
      </c>
      <c r="K35" s="199">
        <v>44335.125</v>
      </c>
      <c r="L35" s="201">
        <v>33945.21</v>
      </c>
      <c r="M35" s="203">
        <f t="shared" si="21"/>
        <v>-229.38</v>
      </c>
      <c r="N35" s="204">
        <f t="shared" si="22"/>
        <v>-1</v>
      </c>
      <c r="O35" s="205">
        <f t="shared" si="23"/>
        <v>0</v>
      </c>
      <c r="P35" s="206">
        <f t="shared" si="24"/>
        <v>0</v>
      </c>
      <c r="Q35" s="206">
        <f t="shared" si="25"/>
        <v>-1</v>
      </c>
      <c r="R35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5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107000</v>
      </c>
      <c r="T35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5" s="208">
        <f ca="1">IF(Tabla336106734824[[#This Row],[Equity]]&lt;Tabla336106734824[[#This Row],[Equity Peak]],(Tabla336106734824[[#This Row],[Equity Peak]]-Tabla336106734824[[#This Row],[Equity]])/Tabla336106734824[[#This Row],[Equity Peak]],"")</f>
        <v>9.2592592592592587E-3</v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-1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4.5833333333357587</v>
      </c>
      <c r="AE35" s="210">
        <f t="shared" si="35"/>
        <v>0</v>
      </c>
      <c r="AF35" s="210">
        <f t="shared" si="36"/>
        <v>4.5833333333357587</v>
      </c>
      <c r="AG35" s="210">
        <f t="shared" si="37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19"/>
        <v>C</v>
      </c>
      <c r="E36" s="199">
        <v>44291.041666666664</v>
      </c>
      <c r="F36" s="200" t="s">
        <v>95</v>
      </c>
      <c r="G36" s="201">
        <v>33366.71</v>
      </c>
      <c r="H36" s="201">
        <v>33114.199999999997</v>
      </c>
      <c r="I36" s="202">
        <f t="shared" si="20"/>
        <v>252.51000000000204</v>
      </c>
      <c r="J36" s="201">
        <v>34376.76</v>
      </c>
      <c r="K36" s="199">
        <v>44322.773611111108</v>
      </c>
      <c r="L36" s="201">
        <v>34376.76</v>
      </c>
      <c r="M36" s="203">
        <f t="shared" si="21"/>
        <v>1010.05</v>
      </c>
      <c r="N36" s="204">
        <f t="shared" si="22"/>
        <v>4</v>
      </c>
      <c r="O36" s="205">
        <f t="shared" si="23"/>
        <v>0</v>
      </c>
      <c r="P36" s="206">
        <f t="shared" si="24"/>
        <v>4</v>
      </c>
      <c r="Q36" s="206">
        <f t="shared" si="25"/>
        <v>0</v>
      </c>
      <c r="R36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6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108000</v>
      </c>
      <c r="T36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108000</v>
      </c>
      <c r="U36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4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31.731944444443798</v>
      </c>
      <c r="AE36" s="210">
        <f t="shared" si="35"/>
        <v>31.731944444443798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19"/>
        <v>C</v>
      </c>
      <c r="E37" s="199">
        <v>44263.208333333336</v>
      </c>
      <c r="F37" s="200" t="s">
        <v>95</v>
      </c>
      <c r="G37" s="201">
        <v>31555.95</v>
      </c>
      <c r="H37" s="201">
        <v>31310.04</v>
      </c>
      <c r="I37" s="202">
        <f t="shared" si="20"/>
        <v>245.90999999999985</v>
      </c>
      <c r="J37" s="201">
        <v>32539.59</v>
      </c>
      <c r="K37" s="199">
        <v>44266.734027777777</v>
      </c>
      <c r="L37" s="201">
        <v>32539.59</v>
      </c>
      <c r="M37" s="203">
        <f t="shared" si="21"/>
        <v>983.64</v>
      </c>
      <c r="N37" s="204">
        <f t="shared" si="22"/>
        <v>4</v>
      </c>
      <c r="O37" s="205">
        <f t="shared" si="23"/>
        <v>0</v>
      </c>
      <c r="P37" s="206">
        <f t="shared" si="24"/>
        <v>4</v>
      </c>
      <c r="Q37" s="206">
        <f t="shared" si="25"/>
        <v>0</v>
      </c>
      <c r="R3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104000</v>
      </c>
      <c r="T3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104000</v>
      </c>
      <c r="U37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4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3.5256944444408873</v>
      </c>
      <c r="AE37" s="210">
        <f t="shared" si="35"/>
        <v>3.5256944444408873</v>
      </c>
      <c r="AF37" s="210">
        <f t="shared" si="36"/>
        <v>0</v>
      </c>
      <c r="AG37" s="210">
        <f t="shared" si="37"/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19"/>
        <v>C</v>
      </c>
      <c r="E38" s="199">
        <v>44256.875</v>
      </c>
      <c r="F38" s="200" t="s">
        <v>95</v>
      </c>
      <c r="G38" s="201">
        <v>31578.11</v>
      </c>
      <c r="H38" s="201">
        <v>31343.32</v>
      </c>
      <c r="I38" s="202">
        <f t="shared" si="20"/>
        <v>234.79000000000087</v>
      </c>
      <c r="J38" s="201">
        <v>32517.279999999999</v>
      </c>
      <c r="K38" s="199">
        <v>44257.461111111108</v>
      </c>
      <c r="L38" s="201">
        <v>31343.32</v>
      </c>
      <c r="M38" s="203">
        <f t="shared" si="21"/>
        <v>-234.79</v>
      </c>
      <c r="N38" s="204">
        <f t="shared" si="22"/>
        <v>-1</v>
      </c>
      <c r="O38" s="205">
        <f t="shared" si="23"/>
        <v>0</v>
      </c>
      <c r="P38" s="206">
        <f t="shared" si="24"/>
        <v>0</v>
      </c>
      <c r="Q38" s="206">
        <f t="shared" si="25"/>
        <v>-1</v>
      </c>
      <c r="R3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100000</v>
      </c>
      <c r="T3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101000</v>
      </c>
      <c r="U38" s="208">
        <f ca="1">IF(Tabla336106734824[[#This Row],[Equity]]&lt;Tabla336106734824[[#This Row],[Equity Peak]],(Tabla336106734824[[#This Row],[Equity Peak]]-Tabla336106734824[[#This Row],[Equity]])/Tabla336106734824[[#This Row],[Equity Peak]],"")</f>
        <v>9.9009900990099011E-3</v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-1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0.58611111110803904</v>
      </c>
      <c r="AE38" s="210">
        <f t="shared" si="35"/>
        <v>0</v>
      </c>
      <c r="AF38" s="210">
        <f t="shared" si="36"/>
        <v>0.58611111110803904</v>
      </c>
      <c r="AG38" s="210">
        <f t="shared" si="37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19"/>
        <v>C</v>
      </c>
      <c r="E39" s="199">
        <v>44230.333333333336</v>
      </c>
      <c r="F39" s="200" t="s">
        <v>95</v>
      </c>
      <c r="G39" s="201">
        <v>30771.1</v>
      </c>
      <c r="H39" s="201">
        <v>30497.97</v>
      </c>
      <c r="I39" s="202">
        <f t="shared" si="20"/>
        <v>273.12999999999738</v>
      </c>
      <c r="J39" s="201">
        <v>31863.599999999999</v>
      </c>
      <c r="K39" s="199">
        <v>44251.816666666666</v>
      </c>
      <c r="L39" s="201">
        <v>31863.599999999999</v>
      </c>
      <c r="M39" s="203">
        <f t="shared" si="21"/>
        <v>1092.5</v>
      </c>
      <c r="N39" s="204">
        <f t="shared" si="22"/>
        <v>4</v>
      </c>
      <c r="O39" s="205">
        <f t="shared" si="23"/>
        <v>0</v>
      </c>
      <c r="P39" s="206">
        <f t="shared" si="24"/>
        <v>4</v>
      </c>
      <c r="Q39" s="206">
        <f t="shared" si="25"/>
        <v>0</v>
      </c>
      <c r="R3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101000</v>
      </c>
      <c r="T3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101000</v>
      </c>
      <c r="U39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9" s="209">
        <f t="shared" si="26"/>
        <v>0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4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21.483333333329938</v>
      </c>
      <c r="AE39" s="210">
        <f t="shared" si="35"/>
        <v>21.483333333329938</v>
      </c>
      <c r="AF39" s="210">
        <f t="shared" si="36"/>
        <v>0</v>
      </c>
      <c r="AG39" s="210">
        <f t="shared" si="37"/>
        <v>0</v>
      </c>
    </row>
    <row r="40" spans="2:33" ht="15" customHeight="1" x14ac:dyDescent="0.3">
      <c r="B40" s="196" t="s">
        <v>5</v>
      </c>
      <c r="C40" s="197" t="s">
        <v>15</v>
      </c>
      <c r="D40" s="198" t="str">
        <f t="shared" si="19"/>
        <v>C</v>
      </c>
      <c r="E40" s="199">
        <v>44217.333333333336</v>
      </c>
      <c r="F40" s="200" t="s">
        <v>95</v>
      </c>
      <c r="G40" s="201">
        <v>31261.599999999999</v>
      </c>
      <c r="H40" s="201">
        <v>30983.3</v>
      </c>
      <c r="I40" s="202">
        <f t="shared" si="20"/>
        <v>278.29999999999927</v>
      </c>
      <c r="J40" s="201">
        <v>32374.79</v>
      </c>
      <c r="K40" s="199">
        <v>44218.429861111108</v>
      </c>
      <c r="L40" s="201">
        <v>30983.3</v>
      </c>
      <c r="M40" s="203">
        <f t="shared" si="21"/>
        <v>-278.3</v>
      </c>
      <c r="N40" s="204">
        <f t="shared" si="22"/>
        <v>-1</v>
      </c>
      <c r="O40" s="205">
        <f t="shared" si="23"/>
        <v>0</v>
      </c>
      <c r="P40" s="206">
        <f t="shared" si="24"/>
        <v>0</v>
      </c>
      <c r="Q40" s="206">
        <f t="shared" si="25"/>
        <v>-1</v>
      </c>
      <c r="R4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Yes</v>
      </c>
      <c r="S4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97000</v>
      </c>
      <c r="T4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100000</v>
      </c>
      <c r="U40" s="208">
        <f ca="1">IF(Tabla336106734824[[#This Row],[Equity]]&lt;Tabla336106734824[[#This Row],[Equity Peak]],(Tabla336106734824[[#This Row],[Equity Peak]]-Tabla336106734824[[#This Row],[Equity]])/Tabla336106734824[[#This Row],[Equity Peak]],"")</f>
        <v>0.03</v>
      </c>
      <c r="V40" s="209">
        <f t="shared" si="26"/>
        <v>0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-1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1.0965277777722804</v>
      </c>
      <c r="AE40" s="210">
        <f t="shared" si="35"/>
        <v>0</v>
      </c>
      <c r="AF40" s="210">
        <f t="shared" si="36"/>
        <v>1.0965277777722804</v>
      </c>
      <c r="AG40" s="210">
        <f t="shared" si="37"/>
        <v>0</v>
      </c>
    </row>
    <row r="41" spans="2:33" ht="15" customHeight="1" x14ac:dyDescent="0.3">
      <c r="B41" s="196" t="s">
        <v>5</v>
      </c>
      <c r="C41" s="197" t="s">
        <v>15</v>
      </c>
      <c r="D41" s="198" t="str">
        <f t="shared" si="19"/>
        <v>C</v>
      </c>
      <c r="E41" s="199">
        <v>44202.833333333336</v>
      </c>
      <c r="F41" s="200" t="s">
        <v>95</v>
      </c>
      <c r="G41" s="201">
        <v>30987.9</v>
      </c>
      <c r="H41" s="201">
        <v>30701.91</v>
      </c>
      <c r="I41" s="202">
        <f t="shared" si="20"/>
        <v>285.9900000000016</v>
      </c>
      <c r="J41" s="201">
        <v>32131.86</v>
      </c>
      <c r="K41" s="199">
        <v>44211.714583333334</v>
      </c>
      <c r="L41" s="201">
        <v>30701.91</v>
      </c>
      <c r="M41" s="203">
        <f t="shared" si="21"/>
        <v>-285.99</v>
      </c>
      <c r="N41" s="204">
        <f t="shared" si="22"/>
        <v>-1</v>
      </c>
      <c r="O41" s="205">
        <f t="shared" si="23"/>
        <v>0</v>
      </c>
      <c r="P41" s="206">
        <f t="shared" si="24"/>
        <v>0</v>
      </c>
      <c r="Q41" s="206">
        <f t="shared" si="25"/>
        <v>-1</v>
      </c>
      <c r="R4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Yes</v>
      </c>
      <c r="S4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98000</v>
      </c>
      <c r="T4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100000</v>
      </c>
      <c r="U41" s="208">
        <f ca="1">IF(Tabla336106734824[[#This Row],[Equity]]&lt;Tabla336106734824[[#This Row],[Equity Peak]],(Tabla336106734824[[#This Row],[Equity Peak]]-Tabla336106734824[[#This Row],[Equity]])/Tabla336106734824[[#This Row],[Equity Peak]],"")</f>
        <v>0.02</v>
      </c>
      <c r="V41" s="209">
        <f t="shared" si="26"/>
        <v>0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-1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8.8812499999985448</v>
      </c>
      <c r="AE41" s="210">
        <f t="shared" si="35"/>
        <v>0</v>
      </c>
      <c r="AF41" s="210">
        <f t="shared" si="36"/>
        <v>8.8812499999985448</v>
      </c>
      <c r="AG41" s="210">
        <f t="shared" si="37"/>
        <v>0</v>
      </c>
    </row>
    <row r="42" spans="2:33" ht="15" customHeight="1" x14ac:dyDescent="0.3">
      <c r="B42" s="196" t="s">
        <v>5</v>
      </c>
      <c r="C42" s="197" t="s">
        <v>15</v>
      </c>
      <c r="D42" s="198" t="str">
        <f t="shared" si="19"/>
        <v>C</v>
      </c>
      <c r="E42" s="199">
        <v>44200.541666666664</v>
      </c>
      <c r="F42" s="200" t="s">
        <v>95</v>
      </c>
      <c r="G42" s="201">
        <v>30770.6</v>
      </c>
      <c r="H42" s="201">
        <v>30487.38</v>
      </c>
      <c r="I42" s="202">
        <f t="shared" si="20"/>
        <v>283.21999999999753</v>
      </c>
      <c r="J42" s="201">
        <v>31903.49</v>
      </c>
      <c r="K42" s="199">
        <v>44200.70416666667</v>
      </c>
      <c r="L42" s="201">
        <v>30487.38</v>
      </c>
      <c r="M42" s="203">
        <f t="shared" si="21"/>
        <v>-283.22000000000003</v>
      </c>
      <c r="N42" s="204">
        <f t="shared" si="22"/>
        <v>-1</v>
      </c>
      <c r="O42" s="205">
        <f t="shared" si="23"/>
        <v>0</v>
      </c>
      <c r="P42" s="206">
        <f t="shared" si="24"/>
        <v>0</v>
      </c>
      <c r="Q42" s="206">
        <f t="shared" si="25"/>
        <v>-1</v>
      </c>
      <c r="R4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Yes</v>
      </c>
      <c r="S4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99000</v>
      </c>
      <c r="T4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100000</v>
      </c>
      <c r="U42" s="208">
        <f ca="1">IF(Tabla336106734824[[#This Row],[Equity]]&lt;Tabla336106734824[[#This Row],[Equity Peak]],(Tabla336106734824[[#This Row],[Equity Peak]]-Tabla336106734824[[#This Row],[Equity]])/Tabla336106734824[[#This Row],[Equity Peak]],"")</f>
        <v>0.01</v>
      </c>
      <c r="V42" s="209">
        <f t="shared" si="26"/>
        <v>0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-1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0.16250000000582077</v>
      </c>
      <c r="AE42" s="210">
        <f t="shared" si="35"/>
        <v>0</v>
      </c>
      <c r="AF42" s="210">
        <f t="shared" si="36"/>
        <v>0.16250000000582077</v>
      </c>
      <c r="AG42" s="210">
        <f t="shared" si="37"/>
        <v>0</v>
      </c>
    </row>
  </sheetData>
  <sheetProtection algorithmName="SHA-512" hashValue="0PBYVLD/WZS8NtumF5eGQF6TS5b4s6FIrXyOCZT7Iv14gy+w32RtfR2Cd+iOjSHCqDOJT2HiUOH2DZqBKY5FTQ==" saltValue="Ruluq/9+NUyAlqNNvIylY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25" priority="3" operator="equal">
      <formula>"OK"</formula>
    </cfRule>
    <cfRule type="cellIs" dxfId="124" priority="4" operator="equal">
      <formula>"warning"</formula>
    </cfRule>
  </conditionalFormatting>
  <conditionalFormatting sqref="F13">
    <cfRule type="cellIs" dxfId="123" priority="1" operator="equal">
      <formula>"OK"</formula>
    </cfRule>
    <cfRule type="cellIs" dxfId="122" priority="2" operator="equal">
      <formula>"Error!!"</formula>
    </cfRule>
  </conditionalFormatting>
  <conditionalFormatting sqref="E15:H15 K15:L15">
    <cfRule type="expression" dxfId="121" priority="5">
      <formula>+$D15=#REF!</formula>
    </cfRule>
    <cfRule type="expression" dxfId="120" priority="6">
      <formula>+$D15=#REF!</formula>
    </cfRule>
  </conditionalFormatting>
  <conditionalFormatting sqref="D15 K16:L16 D16:H42 J17:L42">
    <cfRule type="expression" dxfId="119" priority="7">
      <formula>+$D15=$AG$8</formula>
    </cfRule>
    <cfRule type="expression" dxfId="11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E25D7CDA-EF69-4605-99C8-C87A2D6333B8}">
      <formula1>$AE$4:$AE$6</formula1>
    </dataValidation>
    <dataValidation type="list" allowBlank="1" showInputMessage="1" showErrorMessage="1" promptTitle="Trade Direction" prompt="Select from List" sqref="C15:C16" xr:uid="{6ABBF9F4-9C81-4156-9C31-366B506AED0D}">
      <formula1>$AG$4:$AG$5</formula1>
    </dataValidation>
    <dataValidation type="list" allowBlank="1" showInputMessage="1" showErrorMessage="1" promptTitle="Instrument Type" prompt="Select Type from List_x000a_" sqref="B17:B42" xr:uid="{51B6CBC4-22B7-4C58-89D9-F581C76A6F9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853B-4B43-4ADA-A9E7-EEC366D19109}">
  <sheetPr codeName="Hoja31">
    <pageSetUpPr fitToPage="1"/>
  </sheetPr>
  <dimension ref="A1:AX70"/>
  <sheetViews>
    <sheetView showGridLines="0" showZeros="0" zoomScale="115" zoomScaleNormal="115" zoomScalePageLayoutView="99" workbookViewId="0">
      <pane ySplit="16" topLeftCell="A18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COUNTA(Tabla336106734825[Inst])</f>
        <v>54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39.47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39.47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COUNTIF(Tabla336106734825[No. of Rs],"&gt;0")</f>
        <v>15</v>
      </c>
      <c r="G7" s="24">
        <f>IFERROR((F7/$F$6),"")</f>
        <v>0.27777777777777779</v>
      </c>
      <c r="H7" s="78">
        <f>IFERROR((+P13/F7),"")</f>
        <v>3.7246666666666663</v>
      </c>
      <c r="I7" s="227">
        <f>H7/H9</f>
        <v>8.8574390243902439</v>
      </c>
      <c r="J7" s="227">
        <f>AVERAGE(Tabla336106734825[No. of Rs])</f>
        <v>0.73092592592592587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COUNTIF(Tabla336106734825[No.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OFFSET(Tabla336106734825[[#Headers],[Equity]],1,0)</f>
        <v>139470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COUNTIF(Tabla336106734825[No. of Rs],"&lt;0")</f>
        <v>39</v>
      </c>
      <c r="G9" s="32">
        <f>IFERROR((F9/$F$6),"")</f>
        <v>0.72222222222222221</v>
      </c>
      <c r="H9" s="79">
        <f>IFERROR((-Q13/F9),"")</f>
        <v>0.42051282051282046</v>
      </c>
      <c r="I9" s="229"/>
      <c r="J9" s="229"/>
      <c r="K9" s="149"/>
      <c r="L9" s="230" t="s">
        <v>106</v>
      </c>
      <c r="M9" s="231"/>
      <c r="N9" s="125">
        <f ca="1">MAX(Tabla336106734825[Drawdown])</f>
        <v>3.2258064516129031E-2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OFFSET(Tabla336106734825[[#Headers],[Drawdown]],1,0)</f>
        <v>2.4318718260496388E-3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COUNTIF(Tabla336106734825[Heat],"&lt;0")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IF(COUNTIFS(Tabla336106734825[O/C],"O")&lt;1,"None",COUNTIFS(Tabla336106734825[O/C],"O"))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SUM(Tabla336106734825[No. of Rs])</f>
        <v>39.47</v>
      </c>
      <c r="O13" s="42">
        <f>SUM(Tabla336106734825[Heat])</f>
        <v>0</v>
      </c>
      <c r="P13" s="43">
        <f>SUM(Tabla336106734825[[ TR WIN]])</f>
        <v>55.87</v>
      </c>
      <c r="Q13" s="43">
        <f>SUM(Tabla336106734825[[ TR LOSS]])</f>
        <v>-16.399999999999999</v>
      </c>
      <c r="R13" s="114"/>
      <c r="S13" s="115"/>
      <c r="T13" s="115"/>
      <c r="U13" s="121"/>
      <c r="V13" s="44">
        <f>SUM(Tabla336106734825[Currency])</f>
        <v>0</v>
      </c>
      <c r="W13" s="44">
        <f>SUM(Tabla336106734825[Heat3])</f>
        <v>0</v>
      </c>
      <c r="X13" s="44">
        <f>SUM(Tabla336106734825[Commodities])</f>
        <v>0</v>
      </c>
      <c r="Y13" s="44">
        <f>SUM(Tabla336106734825[Heat4])</f>
        <v>0</v>
      </c>
      <c r="Z13" s="44">
        <f>SUM(Tabla336106734825[Index])</f>
        <v>0</v>
      </c>
      <c r="AA13" s="44">
        <f>SUM(Tabla336106734825[Heat5])</f>
        <v>0</v>
      </c>
      <c r="AB13" s="44">
        <f>SUM(Tabla336106734825[Cryptocurrency])</f>
        <v>39.47</v>
      </c>
      <c r="AC13" s="44">
        <f>SUM(Tabla336106734825[Heat6])</f>
        <v>0</v>
      </c>
      <c r="AD13" s="75">
        <f>AVERAGEIF(Tabla336106734825[Length of 
Trade],"&lt;&gt;0")</f>
        <v>4.4248199588477695</v>
      </c>
      <c r="AE13" s="75">
        <f>AVERAGEIF(Tabla336106734825[Win],"&lt;&gt;0")</f>
        <v>12.31726851851854</v>
      </c>
      <c r="AF13" s="75">
        <f>AVERAGEIF(Tabla336106734825[Loss],"&lt;&gt;0")</f>
        <v>1.3892628205128579</v>
      </c>
      <c r="AG13" s="76" t="e">
        <f>AVERAGEIF(Tabla336106734825[Breakeven],"&lt;&gt;0")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84</v>
      </c>
      <c r="C17" s="197" t="s">
        <v>15</v>
      </c>
      <c r="D17" s="198" t="str">
        <f t="shared" ref="D17:D23" si="0">IF(E17&lt;&gt;"",IF(K17&lt;&gt;"","C","O"),"")</f>
        <v>C</v>
      </c>
      <c r="E17" s="199">
        <v>44551.666666666664</v>
      </c>
      <c r="F17" s="200" t="s">
        <v>80</v>
      </c>
      <c r="G17" s="201">
        <v>48989.5</v>
      </c>
      <c r="H17" s="201">
        <v>47070.66</v>
      </c>
      <c r="I17" s="202">
        <f t="shared" ref="I17:I23" si="1">ABS(G17-H17)</f>
        <v>1918.8399999999965</v>
      </c>
      <c r="J17" s="201">
        <v>77772.100000000006</v>
      </c>
      <c r="K17" s="199">
        <v>44558.150694444441</v>
      </c>
      <c r="L17" s="201">
        <v>49806.48</v>
      </c>
      <c r="M17" s="203">
        <f t="shared" ref="M17:M23" si="2">ROUND(IF(C17="L",(L17-G17),(G17-L17)),4)</f>
        <v>816.98</v>
      </c>
      <c r="N17" s="204">
        <f t="shared" ref="N17:N23" si="3">IFERROR(ROUND((M17/I17),2),"")</f>
        <v>0.43</v>
      </c>
      <c r="O17" s="205">
        <f t="shared" ref="O17:O23" si="4">IF(D17="O",IF(N17&lt;0,N17,0),0)</f>
        <v>0</v>
      </c>
      <c r="P17" s="206">
        <f t="shared" ref="P17:P23" si="5">IF(N17&gt;= 0,N17,0)</f>
        <v>0.43</v>
      </c>
      <c r="Q17" s="206">
        <f t="shared" ref="Q17:Q23" si="6">IF(N17&lt;0,N17,0)</f>
        <v>0</v>
      </c>
      <c r="R1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139470</v>
      </c>
      <c r="T1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17" s="208">
        <f ca="1">IF(Tabla336106734825[[#This Row],[Equity]]&lt;Tabla336106734825[[#This Row],[Equity Peak]],(Tabla336106734825[[#This Row],[Equity Peak]]-Tabla336106734825[[#This Row],[Equity]])/Tabla336106734825[[#This Row],[Equity Peak]],"")</f>
        <v>2.4318718260496388E-3</v>
      </c>
      <c r="V17" s="209">
        <f t="shared" ref="V17:V23" si="7">IF(B17="FX",N17,0)</f>
        <v>0</v>
      </c>
      <c r="W17" s="209">
        <f t="shared" ref="W17:W23" si="8">IF(D17="O",IF(V17&lt;0,V17,0),0)</f>
        <v>0</v>
      </c>
      <c r="X17" s="209">
        <f t="shared" ref="X17:X23" si="9">IF(B17="COM",N17,0)</f>
        <v>0</v>
      </c>
      <c r="Y17" s="209">
        <f t="shared" ref="Y17:Y23" si="10">IF(D17="O",IF(X17&lt;0,X17,0),0)</f>
        <v>0</v>
      </c>
      <c r="Z17" s="209">
        <f t="shared" ref="Z17:Z23" si="11">IF(B17="IND",N17,0)</f>
        <v>0</v>
      </c>
      <c r="AA17" s="205">
        <f t="shared" ref="AA17:AA23" si="12">IF(D17="O",IF(Z17&lt;0,Z17,0),0)</f>
        <v>0</v>
      </c>
      <c r="AB17" s="209">
        <f t="shared" ref="AB17:AB23" si="13">IF(B17="CRYPTO",N17,0)</f>
        <v>0.43</v>
      </c>
      <c r="AC17" s="205">
        <f t="shared" ref="AC17:AC23" si="14">IF(D17="O",IF(AB17&lt;0,AB17,0),0)</f>
        <v>0</v>
      </c>
      <c r="AD17" s="210">
        <f t="shared" ref="AD17:AD23" si="15">IF(K17&lt;&gt;"",K17-E17,0)</f>
        <v>6.484027777776646</v>
      </c>
      <c r="AE17" s="210">
        <f t="shared" ref="AE17:AE23" si="16">IF(N17&gt;0,AD17,0)</f>
        <v>6.484027777776646</v>
      </c>
      <c r="AF17" s="210">
        <f t="shared" ref="AF17:AF23" si="17">IF(N17&lt;0,AD17,0)</f>
        <v>0</v>
      </c>
      <c r="AG17" s="210">
        <f t="shared" ref="AG17:AG23" si="18">IF(N17=0,AD17,0)</f>
        <v>0</v>
      </c>
    </row>
    <row r="18" spans="2:33" ht="15" customHeight="1" x14ac:dyDescent="0.3">
      <c r="B18" s="196" t="s">
        <v>84</v>
      </c>
      <c r="C18" s="197" t="s">
        <v>13</v>
      </c>
      <c r="D18" s="198" t="str">
        <f t="shared" si="0"/>
        <v>C</v>
      </c>
      <c r="E18" s="199">
        <v>44532.333333333336</v>
      </c>
      <c r="F18" s="200" t="s">
        <v>80</v>
      </c>
      <c r="G18" s="201">
        <v>56941</v>
      </c>
      <c r="H18" s="201">
        <v>59712.74</v>
      </c>
      <c r="I18" s="202">
        <f t="shared" si="1"/>
        <v>2771.739999999998</v>
      </c>
      <c r="J18" s="201">
        <v>15364.96</v>
      </c>
      <c r="K18" s="199">
        <v>44551.256249999999</v>
      </c>
      <c r="L18" s="201">
        <v>48325.599999999999</v>
      </c>
      <c r="M18" s="203">
        <f t="shared" si="2"/>
        <v>8615.4</v>
      </c>
      <c r="N18" s="204">
        <f t="shared" si="3"/>
        <v>3.11</v>
      </c>
      <c r="O18" s="205">
        <f t="shared" si="4"/>
        <v>0</v>
      </c>
      <c r="P18" s="206">
        <f t="shared" si="5"/>
        <v>3.11</v>
      </c>
      <c r="Q18" s="206">
        <f t="shared" si="6"/>
        <v>0</v>
      </c>
      <c r="R1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139040</v>
      </c>
      <c r="T1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18" s="208">
        <f ca="1">IF(Tabla336106734825[[#This Row],[Equity]]&lt;Tabla336106734825[[#This Row],[Equity Peak]],(Tabla336106734825[[#This Row],[Equity Peak]]-Tabla336106734825[[#This Row],[Equity]])/Tabla336106734825[[#This Row],[Equity Peak]],"")</f>
        <v>5.5074744295830055E-3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3.11</v>
      </c>
      <c r="AC18" s="205">
        <f t="shared" si="14"/>
        <v>0</v>
      </c>
      <c r="AD18" s="210">
        <f t="shared" si="15"/>
        <v>18.922916666662786</v>
      </c>
      <c r="AE18" s="210">
        <f t="shared" si="16"/>
        <v>18.922916666662786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84</v>
      </c>
      <c r="C19" s="197" t="s">
        <v>15</v>
      </c>
      <c r="D19" s="198" t="str">
        <f t="shared" si="0"/>
        <v>C</v>
      </c>
      <c r="E19" s="199">
        <v>44531.666666666664</v>
      </c>
      <c r="F19" s="200" t="s">
        <v>80</v>
      </c>
      <c r="G19" s="201">
        <v>57703.6</v>
      </c>
      <c r="H19" s="201">
        <v>55008.28</v>
      </c>
      <c r="I19" s="202">
        <f t="shared" si="1"/>
        <v>2695.3199999999997</v>
      </c>
      <c r="J19" s="201">
        <v>98133.34</v>
      </c>
      <c r="K19" s="199">
        <v>44532.223611111112</v>
      </c>
      <c r="L19" s="201">
        <v>55992.45</v>
      </c>
      <c r="M19" s="203">
        <f t="shared" si="2"/>
        <v>-1711.15</v>
      </c>
      <c r="N19" s="204">
        <f t="shared" si="3"/>
        <v>-0.63</v>
      </c>
      <c r="O19" s="205">
        <f t="shared" si="4"/>
        <v>0</v>
      </c>
      <c r="P19" s="206">
        <f t="shared" si="5"/>
        <v>0</v>
      </c>
      <c r="Q19" s="206">
        <f t="shared" si="6"/>
        <v>-0.63</v>
      </c>
      <c r="R1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135930</v>
      </c>
      <c r="T1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19" s="208">
        <f ca="1">IF(Tabla336106734825[[#This Row],[Equity]]&lt;Tabla336106734825[[#This Row],[Equity Peak]],(Tabla336106734825[[#This Row],[Equity Peak]]-Tabla336106734825[[#This Row],[Equity]])/Tabla336106734825[[#This Row],[Equity Peak]],"")</f>
        <v>2.7751949073742937E-2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-0.63</v>
      </c>
      <c r="AC19" s="205">
        <f t="shared" si="14"/>
        <v>0</v>
      </c>
      <c r="AD19" s="210">
        <f t="shared" si="15"/>
        <v>0.55694444444816327</v>
      </c>
      <c r="AE19" s="210">
        <f t="shared" si="16"/>
        <v>0</v>
      </c>
      <c r="AF19" s="210">
        <f t="shared" si="17"/>
        <v>0.55694444444816327</v>
      </c>
      <c r="AG19" s="210">
        <f t="shared" si="18"/>
        <v>0</v>
      </c>
    </row>
    <row r="20" spans="2:33" ht="15" customHeight="1" x14ac:dyDescent="0.3">
      <c r="B20" s="196" t="s">
        <v>84</v>
      </c>
      <c r="C20" s="197" t="s">
        <v>13</v>
      </c>
      <c r="D20" s="198" t="str">
        <f t="shared" si="0"/>
        <v>C</v>
      </c>
      <c r="E20" s="199">
        <v>44531.333333333336</v>
      </c>
      <c r="F20" s="200" t="s">
        <v>80</v>
      </c>
      <c r="G20" s="201">
        <v>56826.77</v>
      </c>
      <c r="H20" s="201">
        <v>59599.1</v>
      </c>
      <c r="I20" s="202">
        <f t="shared" si="1"/>
        <v>2772.3300000000017</v>
      </c>
      <c r="J20" s="201">
        <v>15241.86</v>
      </c>
      <c r="K20" s="199">
        <v>44531.666666666664</v>
      </c>
      <c r="L20" s="201">
        <v>57703.6</v>
      </c>
      <c r="M20" s="203">
        <f t="shared" si="2"/>
        <v>-876.83</v>
      </c>
      <c r="N20" s="204">
        <f t="shared" si="3"/>
        <v>-0.32</v>
      </c>
      <c r="O20" s="205">
        <f t="shared" si="4"/>
        <v>0</v>
      </c>
      <c r="P20" s="206">
        <f t="shared" si="5"/>
        <v>0</v>
      </c>
      <c r="Q20" s="206">
        <f t="shared" si="6"/>
        <v>-0.32</v>
      </c>
      <c r="R2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136560</v>
      </c>
      <c r="T2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0" s="208">
        <f ca="1">IF(Tabla336106734825[[#This Row],[Equity]]&lt;Tabla336106734825[[#This Row],[Equity Peak]],(Tabla336106734825[[#This Row],[Equity Peak]]-Tabla336106734825[[#This Row],[Equity]])/Tabla336106734825[[#This Row],[Equity Peak]],"")</f>
        <v>2.3245833631356842E-2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-0.32</v>
      </c>
      <c r="AC20" s="205">
        <f t="shared" si="14"/>
        <v>0</v>
      </c>
      <c r="AD20" s="210">
        <f t="shared" si="15"/>
        <v>0.33333333332848269</v>
      </c>
      <c r="AE20" s="210">
        <f t="shared" si="16"/>
        <v>0</v>
      </c>
      <c r="AF20" s="210">
        <f t="shared" si="17"/>
        <v>0.33333333332848269</v>
      </c>
      <c r="AG20" s="210">
        <f t="shared" si="18"/>
        <v>0</v>
      </c>
    </row>
    <row r="21" spans="2:33" ht="15" customHeight="1" x14ac:dyDescent="0.3">
      <c r="B21" s="196" t="s">
        <v>84</v>
      </c>
      <c r="C21" s="197" t="s">
        <v>15</v>
      </c>
      <c r="D21" s="198" t="str">
        <f t="shared" si="0"/>
        <v>C</v>
      </c>
      <c r="E21" s="199">
        <v>44530.666666666664</v>
      </c>
      <c r="F21" s="200" t="s">
        <v>80</v>
      </c>
      <c r="G21" s="201">
        <v>58410.58</v>
      </c>
      <c r="H21" s="201">
        <v>55751.71</v>
      </c>
      <c r="I21" s="202">
        <f t="shared" si="1"/>
        <v>2658.8700000000026</v>
      </c>
      <c r="J21" s="201">
        <v>98293.59</v>
      </c>
      <c r="K21" s="199">
        <v>44531.333333333336</v>
      </c>
      <c r="L21" s="201">
        <v>56826.77</v>
      </c>
      <c r="M21" s="203">
        <f t="shared" si="2"/>
        <v>-1583.81</v>
      </c>
      <c r="N21" s="204">
        <f t="shared" si="3"/>
        <v>-0.6</v>
      </c>
      <c r="O21" s="205">
        <f t="shared" si="4"/>
        <v>0</v>
      </c>
      <c r="P21" s="206">
        <f t="shared" si="5"/>
        <v>0</v>
      </c>
      <c r="Q21" s="206">
        <f t="shared" si="6"/>
        <v>-0.6</v>
      </c>
      <c r="R2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136880</v>
      </c>
      <c r="T2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1" s="208">
        <f ca="1">IF(Tabla336106734825[[#This Row],[Equity]]&lt;Tabla336106734825[[#This Row],[Equity Peak]],(Tabla336106734825[[#This Row],[Equity Peak]]-Tabla336106734825[[#This Row],[Equity]])/Tabla336106734825[[#This Row],[Equity Peak]],"")</f>
        <v>2.0957013089192476E-2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-0.6</v>
      </c>
      <c r="AC21" s="205">
        <f t="shared" si="14"/>
        <v>0</v>
      </c>
      <c r="AD21" s="210">
        <f t="shared" si="15"/>
        <v>0.66666666667151731</v>
      </c>
      <c r="AE21" s="210">
        <f t="shared" si="16"/>
        <v>0</v>
      </c>
      <c r="AF21" s="210">
        <f t="shared" si="17"/>
        <v>0.66666666667151731</v>
      </c>
      <c r="AG21" s="210">
        <f t="shared" si="18"/>
        <v>0</v>
      </c>
    </row>
    <row r="22" spans="2:33" ht="15" customHeight="1" x14ac:dyDescent="0.3">
      <c r="B22" s="196" t="s">
        <v>84</v>
      </c>
      <c r="C22" s="197" t="s">
        <v>13</v>
      </c>
      <c r="D22" s="198" t="str">
        <f t="shared" si="0"/>
        <v>C</v>
      </c>
      <c r="E22" s="199">
        <v>44530.333333333336</v>
      </c>
      <c r="F22" s="200" t="s">
        <v>80</v>
      </c>
      <c r="G22" s="201">
        <v>56355.5</v>
      </c>
      <c r="H22" s="201">
        <v>58717.279999999999</v>
      </c>
      <c r="I22" s="202">
        <f t="shared" si="1"/>
        <v>2361.7799999999988</v>
      </c>
      <c r="J22" s="201">
        <v>20928.86</v>
      </c>
      <c r="K22" s="199">
        <v>44530.588194444441</v>
      </c>
      <c r="L22" s="201">
        <v>58127.88</v>
      </c>
      <c r="M22" s="203">
        <f t="shared" si="2"/>
        <v>-1772.38</v>
      </c>
      <c r="N22" s="204">
        <f t="shared" si="3"/>
        <v>-0.75</v>
      </c>
      <c r="O22" s="205">
        <f t="shared" si="4"/>
        <v>0</v>
      </c>
      <c r="P22" s="206">
        <f t="shared" si="5"/>
        <v>0</v>
      </c>
      <c r="Q22" s="206">
        <f t="shared" si="6"/>
        <v>-0.75</v>
      </c>
      <c r="R2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137480</v>
      </c>
      <c r="T2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2" s="208">
        <f ca="1">IF(Tabla336106734825[[#This Row],[Equity]]&lt;Tabla336106734825[[#This Row],[Equity Peak]],(Tabla336106734825[[#This Row],[Equity Peak]]-Tabla336106734825[[#This Row],[Equity]])/Tabla336106734825[[#This Row],[Equity Peak]],"")</f>
        <v>1.666547457263429E-2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-0.75</v>
      </c>
      <c r="AC22" s="205">
        <f t="shared" si="14"/>
        <v>0</v>
      </c>
      <c r="AD22" s="210">
        <f t="shared" si="15"/>
        <v>0.25486111110512866</v>
      </c>
      <c r="AE22" s="210">
        <f t="shared" si="16"/>
        <v>0</v>
      </c>
      <c r="AF22" s="210">
        <f t="shared" si="17"/>
        <v>0.25486111110512866</v>
      </c>
      <c r="AG22" s="210">
        <f t="shared" si="18"/>
        <v>0</v>
      </c>
    </row>
    <row r="23" spans="2:33" ht="15" customHeight="1" x14ac:dyDescent="0.3">
      <c r="B23" s="196" t="s">
        <v>84</v>
      </c>
      <c r="C23" s="197" t="s">
        <v>15</v>
      </c>
      <c r="D23" s="198" t="str">
        <f t="shared" si="0"/>
        <v>C</v>
      </c>
      <c r="E23" s="199">
        <v>44529.833333333336</v>
      </c>
      <c r="F23" s="200" t="s">
        <v>80</v>
      </c>
      <c r="G23" s="201">
        <v>58693</v>
      </c>
      <c r="H23" s="201">
        <v>56491.95</v>
      </c>
      <c r="I23" s="202">
        <f t="shared" si="1"/>
        <v>2201.0500000000029</v>
      </c>
      <c r="J23" s="201">
        <v>91708.69</v>
      </c>
      <c r="K23" s="199">
        <v>44530.234027777777</v>
      </c>
      <c r="L23" s="201">
        <v>57027.72</v>
      </c>
      <c r="M23" s="203">
        <f t="shared" si="2"/>
        <v>-1665.28</v>
      </c>
      <c r="N23" s="204">
        <f t="shared" si="3"/>
        <v>-0.76</v>
      </c>
      <c r="O23" s="205">
        <f t="shared" si="4"/>
        <v>0</v>
      </c>
      <c r="P23" s="206">
        <f t="shared" si="5"/>
        <v>0</v>
      </c>
      <c r="Q23" s="206">
        <f t="shared" si="6"/>
        <v>-0.76</v>
      </c>
      <c r="R2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138230</v>
      </c>
      <c r="T2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3" s="208">
        <f ca="1">IF(Tabla336106734825[[#This Row],[Equity]]&lt;Tabla336106734825[[#This Row],[Equity Peak]],(Tabla336106734825[[#This Row],[Equity Peak]]-Tabla336106734825[[#This Row],[Equity]])/Tabla336106734825[[#This Row],[Equity Peak]],"")</f>
        <v>1.1301051426936557E-2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-0.76</v>
      </c>
      <c r="AC23" s="205">
        <f t="shared" si="14"/>
        <v>0</v>
      </c>
      <c r="AD23" s="210">
        <f t="shared" si="15"/>
        <v>0.40069444444088731</v>
      </c>
      <c r="AE23" s="210">
        <f t="shared" si="16"/>
        <v>0</v>
      </c>
      <c r="AF23" s="210">
        <f t="shared" si="17"/>
        <v>0.40069444444088731</v>
      </c>
      <c r="AG23" s="210">
        <f t="shared" si="18"/>
        <v>0</v>
      </c>
    </row>
    <row r="24" spans="2:33" ht="15" customHeight="1" x14ac:dyDescent="0.3">
      <c r="B24" s="196" t="s">
        <v>84</v>
      </c>
      <c r="C24" s="197" t="s">
        <v>13</v>
      </c>
      <c r="D24" s="198" t="str">
        <f t="shared" ref="D24:D55" si="19">IF(E24&lt;&gt;"",IF(K24&lt;&gt;"","C","O"),"")</f>
        <v>C</v>
      </c>
      <c r="E24" s="199">
        <v>44516.166666666664</v>
      </c>
      <c r="F24" s="200" t="s">
        <v>80</v>
      </c>
      <c r="G24" s="201">
        <v>62129.79</v>
      </c>
      <c r="H24" s="201">
        <v>64369.01</v>
      </c>
      <c r="I24" s="202">
        <f t="shared" ref="I24:I55" si="20">ABS(G24-H24)</f>
        <v>2239.2200000000012</v>
      </c>
      <c r="J24" s="201">
        <v>28541.45</v>
      </c>
      <c r="K24" s="199">
        <v>44528.995833333334</v>
      </c>
      <c r="L24" s="201">
        <v>56399.44</v>
      </c>
      <c r="M24" s="203">
        <f t="shared" ref="M24:M55" si="21">ROUND(IF(C24="L",(L24-G24),(G24-L24)),4)</f>
        <v>5730.35</v>
      </c>
      <c r="N24" s="204">
        <f t="shared" ref="N24:N55" si="22">IFERROR(ROUND((M24/I24),2),"")</f>
        <v>2.56</v>
      </c>
      <c r="O24" s="205">
        <f t="shared" ref="O24:O55" si="23">IF(D24="O",IF(N24&lt;0,N24,0),0)</f>
        <v>0</v>
      </c>
      <c r="P24" s="206">
        <f t="shared" ref="P24:P55" si="24">IF(N24&gt;= 0,N24,0)</f>
        <v>2.56</v>
      </c>
      <c r="Q24" s="206">
        <f t="shared" ref="Q24:Q55" si="25">IF(N24&lt;0,N24,0)</f>
        <v>0</v>
      </c>
      <c r="R2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138990</v>
      </c>
      <c r="T2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4" s="208">
        <f ca="1">IF(Tabla336106734825[[#This Row],[Equity]]&lt;Tabla336106734825[[#This Row],[Equity Peak]],(Tabla336106734825[[#This Row],[Equity Peak]]-Tabla336106734825[[#This Row],[Equity]])/Tabla336106734825[[#This Row],[Equity Peak]],"")</f>
        <v>5.8651026392961877E-3</v>
      </c>
      <c r="V24" s="209">
        <f t="shared" ref="V24:V55" si="26">IF(B24="FX",N24,0)</f>
        <v>0</v>
      </c>
      <c r="W24" s="209">
        <f t="shared" ref="W24:W55" si="27">IF(D24="O",IF(V24&lt;0,V24,0),0)</f>
        <v>0</v>
      </c>
      <c r="X24" s="209">
        <f t="shared" ref="X24:X55" si="28">IF(B24="COM",N24,0)</f>
        <v>0</v>
      </c>
      <c r="Y24" s="209">
        <f t="shared" ref="Y24:Y55" si="29">IF(D24="O",IF(X24&lt;0,X24,0),0)</f>
        <v>0</v>
      </c>
      <c r="Z24" s="209">
        <f t="shared" ref="Z24:Z55" si="30">IF(B24="IND",N24,0)</f>
        <v>0</v>
      </c>
      <c r="AA24" s="205">
        <f t="shared" ref="AA24:AA55" si="31">IF(D24="O",IF(Z24&lt;0,Z24,0),0)</f>
        <v>0</v>
      </c>
      <c r="AB24" s="209">
        <f t="shared" ref="AB24:AB55" si="32">IF(B24="CRYPTO",N24,0)</f>
        <v>2.56</v>
      </c>
      <c r="AC24" s="205">
        <f t="shared" ref="AC24:AC55" si="33">IF(D24="O",IF(AB24&lt;0,AB24,0),0)</f>
        <v>0</v>
      </c>
      <c r="AD24" s="210">
        <f t="shared" ref="AD24:AD55" si="34">IF(K24&lt;&gt;"",K24-E24,0)</f>
        <v>12.829166666670062</v>
      </c>
      <c r="AE24" s="210">
        <f t="shared" ref="AE24:AE55" si="35">IF(N24&gt;0,AD24,0)</f>
        <v>12.829166666670062</v>
      </c>
      <c r="AF24" s="210">
        <f t="shared" ref="AF24:AF55" si="36">IF(N24&lt;0,AD24,0)</f>
        <v>0</v>
      </c>
      <c r="AG24" s="210">
        <f t="shared" ref="AG24:AG55" si="37">IF(N24=0,AD24,0)</f>
        <v>0</v>
      </c>
    </row>
    <row r="25" spans="2:33" ht="15" customHeight="1" x14ac:dyDescent="0.3">
      <c r="B25" s="196" t="s">
        <v>84</v>
      </c>
      <c r="C25" s="197" t="s">
        <v>15</v>
      </c>
      <c r="D25" s="198" t="str">
        <f t="shared" si="19"/>
        <v>C</v>
      </c>
      <c r="E25" s="199">
        <v>44514.166666666664</v>
      </c>
      <c r="F25" s="200" t="s">
        <v>80</v>
      </c>
      <c r="G25" s="201">
        <v>64808.5</v>
      </c>
      <c r="H25" s="201">
        <v>62839.74</v>
      </c>
      <c r="I25" s="202">
        <f t="shared" si="20"/>
        <v>1968.760000000002</v>
      </c>
      <c r="J25" s="201">
        <v>94339.86</v>
      </c>
      <c r="K25" s="199">
        <v>44515.712500000001</v>
      </c>
      <c r="L25" s="201">
        <v>64674.32</v>
      </c>
      <c r="M25" s="203">
        <f t="shared" si="21"/>
        <v>-134.18</v>
      </c>
      <c r="N25" s="204">
        <f t="shared" si="22"/>
        <v>-7.0000000000000007E-2</v>
      </c>
      <c r="O25" s="205">
        <f t="shared" si="23"/>
        <v>0</v>
      </c>
      <c r="P25" s="206">
        <f t="shared" si="24"/>
        <v>0</v>
      </c>
      <c r="Q25" s="206">
        <f t="shared" si="25"/>
        <v>-7.0000000000000007E-2</v>
      </c>
      <c r="R2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136430</v>
      </c>
      <c r="T2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5" s="208">
        <f ca="1">IF(Tabla336106734825[[#This Row],[Equity]]&lt;Tabla336106734825[[#This Row],[Equity Peak]],(Tabla336106734825[[#This Row],[Equity Peak]]-Tabla336106734825[[#This Row],[Equity]])/Tabla336106734825[[#This Row],[Equity Peak]],"")</f>
        <v>2.4175666976611117E-2</v>
      </c>
      <c r="V25" s="209">
        <f t="shared" si="26"/>
        <v>0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-7.0000000000000007E-2</v>
      </c>
      <c r="AC25" s="205">
        <f t="shared" si="33"/>
        <v>0</v>
      </c>
      <c r="AD25" s="210">
        <f t="shared" si="34"/>
        <v>1.5458333333372138</v>
      </c>
      <c r="AE25" s="210">
        <f t="shared" si="35"/>
        <v>0</v>
      </c>
      <c r="AF25" s="210">
        <f t="shared" si="36"/>
        <v>1.5458333333372138</v>
      </c>
      <c r="AG25" s="210">
        <f t="shared" si="37"/>
        <v>0</v>
      </c>
    </row>
    <row r="26" spans="2:33" ht="15" customHeight="1" x14ac:dyDescent="0.3">
      <c r="B26" s="196" t="s">
        <v>84</v>
      </c>
      <c r="C26" s="197" t="s">
        <v>13</v>
      </c>
      <c r="D26" s="198" t="str">
        <f t="shared" si="19"/>
        <v>C</v>
      </c>
      <c r="E26" s="199">
        <v>44512.833333333336</v>
      </c>
      <c r="F26" s="200" t="s">
        <v>80</v>
      </c>
      <c r="G26" s="201">
        <v>63611.02</v>
      </c>
      <c r="H26" s="201">
        <v>66660.2</v>
      </c>
      <c r="I26" s="202">
        <f t="shared" si="20"/>
        <v>3049.1800000000003</v>
      </c>
      <c r="J26" s="201">
        <v>17873.38</v>
      </c>
      <c r="K26" s="199">
        <v>44513.754861111112</v>
      </c>
      <c r="L26" s="201">
        <v>64935.12</v>
      </c>
      <c r="M26" s="203">
        <f t="shared" si="21"/>
        <v>-1324.1</v>
      </c>
      <c r="N26" s="204">
        <f t="shared" si="22"/>
        <v>-0.43</v>
      </c>
      <c r="O26" s="205">
        <f t="shared" si="23"/>
        <v>0</v>
      </c>
      <c r="P26" s="206">
        <f t="shared" si="24"/>
        <v>0</v>
      </c>
      <c r="Q26" s="206">
        <f t="shared" si="25"/>
        <v>-0.43</v>
      </c>
      <c r="R2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136500</v>
      </c>
      <c r="T2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6" s="208">
        <f ca="1">IF(Tabla336106734825[[#This Row],[Equity]]&lt;Tabla336106734825[[#This Row],[Equity Peak]],(Tabla336106734825[[#This Row],[Equity Peak]]-Tabla336106734825[[#This Row],[Equity]])/Tabla336106734825[[#This Row],[Equity Peak]],"")</f>
        <v>2.3674987483012659E-2</v>
      </c>
      <c r="V26" s="209">
        <f t="shared" si="26"/>
        <v>0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-0.43</v>
      </c>
      <c r="AC26" s="205">
        <f t="shared" si="33"/>
        <v>0</v>
      </c>
      <c r="AD26" s="210">
        <f t="shared" si="34"/>
        <v>0.92152777777664596</v>
      </c>
      <c r="AE26" s="210">
        <f t="shared" si="35"/>
        <v>0</v>
      </c>
      <c r="AF26" s="210">
        <f t="shared" si="36"/>
        <v>0.92152777777664596</v>
      </c>
      <c r="AG26" s="210">
        <f t="shared" si="37"/>
        <v>0</v>
      </c>
    </row>
    <row r="27" spans="2:33" ht="15" customHeight="1" x14ac:dyDescent="0.3">
      <c r="B27" s="196" t="s">
        <v>84</v>
      </c>
      <c r="C27" s="197" t="s">
        <v>15</v>
      </c>
      <c r="D27" s="198" t="str">
        <f t="shared" si="19"/>
        <v>C</v>
      </c>
      <c r="E27" s="199">
        <v>44507.333333333336</v>
      </c>
      <c r="F27" s="200" t="s">
        <v>80</v>
      </c>
      <c r="G27" s="201">
        <v>62274.5</v>
      </c>
      <c r="H27" s="201">
        <v>60588.33</v>
      </c>
      <c r="I27" s="202">
        <f t="shared" si="20"/>
        <v>1686.1699999999983</v>
      </c>
      <c r="J27" s="201">
        <v>87567.07</v>
      </c>
      <c r="K27" s="199">
        <v>44510.969444444447</v>
      </c>
      <c r="L27" s="201">
        <v>65018.15</v>
      </c>
      <c r="M27" s="203">
        <f t="shared" si="21"/>
        <v>2743.65</v>
      </c>
      <c r="N27" s="204">
        <f t="shared" si="22"/>
        <v>1.63</v>
      </c>
      <c r="O27" s="205">
        <f t="shared" si="23"/>
        <v>0</v>
      </c>
      <c r="P27" s="206">
        <f t="shared" si="24"/>
        <v>1.63</v>
      </c>
      <c r="Q27" s="206">
        <f t="shared" si="25"/>
        <v>0</v>
      </c>
      <c r="R2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136930</v>
      </c>
      <c r="T2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7" s="208">
        <f ca="1">IF(Tabla336106734825[[#This Row],[Equity]]&lt;Tabla336106734825[[#This Row],[Equity Peak]],(Tabla336106734825[[#This Row],[Equity Peak]]-Tabla336106734825[[#This Row],[Equity]])/Tabla336106734825[[#This Row],[Equity Peak]],"")</f>
        <v>2.0599384879479293E-2</v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1.63</v>
      </c>
      <c r="AC27" s="205">
        <f t="shared" si="33"/>
        <v>0</v>
      </c>
      <c r="AD27" s="210">
        <f t="shared" si="34"/>
        <v>3.6361111111109494</v>
      </c>
      <c r="AE27" s="210">
        <f t="shared" si="35"/>
        <v>3.6361111111109494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84</v>
      </c>
      <c r="C28" s="197" t="s">
        <v>13</v>
      </c>
      <c r="D28" s="198" t="str">
        <f t="shared" si="19"/>
        <v>C</v>
      </c>
      <c r="E28" s="199">
        <v>44505.833333333336</v>
      </c>
      <c r="F28" s="200" t="s">
        <v>80</v>
      </c>
      <c r="G28" s="201">
        <v>60950.5</v>
      </c>
      <c r="H28" s="201">
        <v>63177.08</v>
      </c>
      <c r="I28" s="202">
        <f t="shared" si="20"/>
        <v>2226.5800000000017</v>
      </c>
      <c r="J28" s="201">
        <v>27551.78</v>
      </c>
      <c r="K28" s="199">
        <v>44507.160416666666</v>
      </c>
      <c r="L28" s="201">
        <v>61749.71</v>
      </c>
      <c r="M28" s="203">
        <f t="shared" si="21"/>
        <v>-799.21</v>
      </c>
      <c r="N28" s="204">
        <f t="shared" si="22"/>
        <v>-0.36</v>
      </c>
      <c r="O28" s="205">
        <f t="shared" si="23"/>
        <v>0</v>
      </c>
      <c r="P28" s="206">
        <f t="shared" si="24"/>
        <v>0</v>
      </c>
      <c r="Q28" s="206">
        <f t="shared" si="25"/>
        <v>-0.36</v>
      </c>
      <c r="R2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135300</v>
      </c>
      <c r="T2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8" s="208">
        <f ca="1">IF(Tabla336106734825[[#This Row],[Equity]]&lt;Tabla336106734825[[#This Row],[Equity Peak]],(Tabla336106734825[[#This Row],[Equity Peak]]-Tabla336106734825[[#This Row],[Equity]])/Tabla336106734825[[#This Row],[Equity Peak]],"")</f>
        <v>3.2258064516129031E-2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-0.36</v>
      </c>
      <c r="AC28" s="205">
        <f t="shared" si="33"/>
        <v>0</v>
      </c>
      <c r="AD28" s="210">
        <f t="shared" si="34"/>
        <v>1.3270833333299379</v>
      </c>
      <c r="AE28" s="210">
        <f t="shared" si="35"/>
        <v>0</v>
      </c>
      <c r="AF28" s="210">
        <f t="shared" si="36"/>
        <v>1.3270833333299379</v>
      </c>
      <c r="AG28" s="210">
        <f t="shared" si="37"/>
        <v>0</v>
      </c>
    </row>
    <row r="29" spans="2:33" ht="15" customHeight="1" x14ac:dyDescent="0.3">
      <c r="B29" s="196" t="s">
        <v>84</v>
      </c>
      <c r="C29" s="197" t="s">
        <v>15</v>
      </c>
      <c r="D29" s="198" t="str">
        <f t="shared" si="19"/>
        <v>C</v>
      </c>
      <c r="E29" s="199">
        <v>44505.5</v>
      </c>
      <c r="F29" s="200" t="s">
        <v>80</v>
      </c>
      <c r="G29" s="201">
        <v>62285.5</v>
      </c>
      <c r="H29" s="201">
        <v>60163.59</v>
      </c>
      <c r="I29" s="202">
        <f t="shared" si="20"/>
        <v>2121.9100000000035</v>
      </c>
      <c r="J29" s="201">
        <v>94114.19</v>
      </c>
      <c r="K29" s="199">
        <v>44505.833333333336</v>
      </c>
      <c r="L29" s="201">
        <v>60950.5</v>
      </c>
      <c r="M29" s="203">
        <f t="shared" si="21"/>
        <v>-1335</v>
      </c>
      <c r="N29" s="204">
        <f t="shared" si="22"/>
        <v>-0.63</v>
      </c>
      <c r="O29" s="205">
        <f t="shared" si="23"/>
        <v>0</v>
      </c>
      <c r="P29" s="206">
        <f t="shared" si="24"/>
        <v>0</v>
      </c>
      <c r="Q29" s="206">
        <f t="shared" si="25"/>
        <v>-0.63</v>
      </c>
      <c r="R2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135660</v>
      </c>
      <c r="T2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29" s="208">
        <f ca="1">IF(Tabla336106734825[[#This Row],[Equity]]&lt;Tabla336106734825[[#This Row],[Equity Peak]],(Tabla336106734825[[#This Row],[Equity Peak]]-Tabla336106734825[[#This Row],[Equity]])/Tabla336106734825[[#This Row],[Equity Peak]],"")</f>
        <v>2.968314140619412E-2</v>
      </c>
      <c r="V29" s="209">
        <f t="shared" si="26"/>
        <v>0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-0.63</v>
      </c>
      <c r="AC29" s="205">
        <f t="shared" si="33"/>
        <v>0</v>
      </c>
      <c r="AD29" s="210">
        <f t="shared" si="34"/>
        <v>0.33333333333575865</v>
      </c>
      <c r="AE29" s="210">
        <f t="shared" si="35"/>
        <v>0</v>
      </c>
      <c r="AF29" s="210">
        <f t="shared" si="36"/>
        <v>0.33333333333575865</v>
      </c>
      <c r="AG29" s="210">
        <f t="shared" si="37"/>
        <v>0</v>
      </c>
    </row>
    <row r="30" spans="2:33" ht="15" customHeight="1" x14ac:dyDescent="0.3">
      <c r="B30" s="196" t="s">
        <v>84</v>
      </c>
      <c r="C30" s="197" t="s">
        <v>13</v>
      </c>
      <c r="D30" s="198" t="str">
        <f t="shared" si="19"/>
        <v>C</v>
      </c>
      <c r="E30" s="199">
        <v>44505.017361111109</v>
      </c>
      <c r="F30" s="200" t="s">
        <v>80</v>
      </c>
      <c r="G30" s="201">
        <v>61439</v>
      </c>
      <c r="H30" s="201">
        <v>63556.06</v>
      </c>
      <c r="I30" s="202">
        <f t="shared" si="20"/>
        <v>2117.0599999999977</v>
      </c>
      <c r="J30" s="201">
        <v>29683.119999999999</v>
      </c>
      <c r="K30" s="199">
        <v>44505.381249999999</v>
      </c>
      <c r="L30" s="201">
        <v>62450.87</v>
      </c>
      <c r="M30" s="203">
        <f t="shared" si="21"/>
        <v>-1011.87</v>
      </c>
      <c r="N30" s="204">
        <f t="shared" si="22"/>
        <v>-0.48</v>
      </c>
      <c r="O30" s="205">
        <f t="shared" si="23"/>
        <v>0</v>
      </c>
      <c r="P30" s="206">
        <f t="shared" si="24"/>
        <v>0</v>
      </c>
      <c r="Q30" s="206">
        <f t="shared" si="25"/>
        <v>-0.48</v>
      </c>
      <c r="R3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136290</v>
      </c>
      <c r="T3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0" s="208">
        <f ca="1">IF(Tabla336106734825[[#This Row],[Equity]]&lt;Tabla336106734825[[#This Row],[Equity Peak]],(Tabla336106734825[[#This Row],[Equity Peak]]-Tabla336106734825[[#This Row],[Equity]])/Tabla336106734825[[#This Row],[Equity Peak]],"")</f>
        <v>2.5177025963808025E-2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-0.48</v>
      </c>
      <c r="AC30" s="205">
        <f t="shared" si="33"/>
        <v>0</v>
      </c>
      <c r="AD30" s="210">
        <f t="shared" si="34"/>
        <v>0.36388888888905058</v>
      </c>
      <c r="AE30" s="210">
        <f t="shared" si="35"/>
        <v>0</v>
      </c>
      <c r="AF30" s="210">
        <f t="shared" si="36"/>
        <v>0.36388888888905058</v>
      </c>
      <c r="AG30" s="210">
        <f t="shared" si="37"/>
        <v>0</v>
      </c>
    </row>
    <row r="31" spans="2:33" ht="15" customHeight="1" x14ac:dyDescent="0.3">
      <c r="B31" s="196" t="s">
        <v>84</v>
      </c>
      <c r="C31" s="197" t="s">
        <v>15</v>
      </c>
      <c r="D31" s="198" t="str">
        <f t="shared" si="19"/>
        <v>C</v>
      </c>
      <c r="E31" s="199">
        <v>44502.333333333336</v>
      </c>
      <c r="F31" s="200" t="s">
        <v>80</v>
      </c>
      <c r="G31" s="201">
        <v>61509</v>
      </c>
      <c r="H31" s="201">
        <v>59296.11</v>
      </c>
      <c r="I31" s="202">
        <f t="shared" si="20"/>
        <v>2212.8899999999994</v>
      </c>
      <c r="J31" s="201">
        <v>94702.31</v>
      </c>
      <c r="K31" s="199">
        <v>44503.875</v>
      </c>
      <c r="L31" s="201">
        <v>61398.400000000001</v>
      </c>
      <c r="M31" s="203">
        <f t="shared" si="21"/>
        <v>-110.6</v>
      </c>
      <c r="N31" s="204">
        <f t="shared" si="22"/>
        <v>-0.05</v>
      </c>
      <c r="O31" s="205">
        <f t="shared" si="23"/>
        <v>0</v>
      </c>
      <c r="P31" s="206">
        <f t="shared" si="24"/>
        <v>0</v>
      </c>
      <c r="Q31" s="206">
        <f t="shared" si="25"/>
        <v>-0.05</v>
      </c>
      <c r="R3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136770</v>
      </c>
      <c r="T3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1" s="208">
        <f ca="1">IF(Tabla336106734825[[#This Row],[Equity]]&lt;Tabla336106734825[[#This Row],[Equity Peak]],(Tabla336106734825[[#This Row],[Equity Peak]]-Tabla336106734825[[#This Row],[Equity]])/Tabla336106734825[[#This Row],[Equity Peak]],"")</f>
        <v>2.1743795150561476E-2</v>
      </c>
      <c r="V31" s="209">
        <f t="shared" si="26"/>
        <v>0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-0.05</v>
      </c>
      <c r="AC31" s="205">
        <f t="shared" si="33"/>
        <v>0</v>
      </c>
      <c r="AD31" s="210">
        <f t="shared" si="34"/>
        <v>1.5416666666642413</v>
      </c>
      <c r="AE31" s="210">
        <f t="shared" si="35"/>
        <v>0</v>
      </c>
      <c r="AF31" s="210">
        <f t="shared" si="36"/>
        <v>1.5416666666642413</v>
      </c>
      <c r="AG31" s="210">
        <f t="shared" si="37"/>
        <v>0</v>
      </c>
    </row>
    <row r="32" spans="2:33" ht="15" customHeight="1" x14ac:dyDescent="0.3">
      <c r="B32" s="196" t="s">
        <v>84</v>
      </c>
      <c r="C32" s="197" t="s">
        <v>13</v>
      </c>
      <c r="D32" s="198" t="str">
        <f t="shared" si="19"/>
        <v>C</v>
      </c>
      <c r="E32" s="199">
        <v>44502.017361111109</v>
      </c>
      <c r="F32" s="200" t="s">
        <v>80</v>
      </c>
      <c r="G32" s="201">
        <v>60766.5</v>
      </c>
      <c r="H32" s="201">
        <v>63071.31</v>
      </c>
      <c r="I32" s="202">
        <f t="shared" si="20"/>
        <v>2304.8099999999977</v>
      </c>
      <c r="J32" s="201">
        <v>26194.33</v>
      </c>
      <c r="K32" s="199">
        <v>44502.333333333336</v>
      </c>
      <c r="L32" s="201">
        <v>61509</v>
      </c>
      <c r="M32" s="203">
        <f t="shared" si="21"/>
        <v>-742.5</v>
      </c>
      <c r="N32" s="204">
        <f t="shared" si="22"/>
        <v>-0.32</v>
      </c>
      <c r="O32" s="205">
        <f t="shared" si="23"/>
        <v>0</v>
      </c>
      <c r="P32" s="206">
        <f t="shared" si="24"/>
        <v>0</v>
      </c>
      <c r="Q32" s="206">
        <f t="shared" si="25"/>
        <v>-0.32</v>
      </c>
      <c r="R3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136820</v>
      </c>
      <c r="T3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2" s="208">
        <f ca="1">IF(Tabla336106734825[[#This Row],[Equity]]&lt;Tabla336106734825[[#This Row],[Equity Peak]],(Tabla336106734825[[#This Row],[Equity Peak]]-Tabla336106734825[[#This Row],[Equity]])/Tabla336106734825[[#This Row],[Equity Peak]],"")</f>
        <v>2.1386166940848293E-2</v>
      </c>
      <c r="V32" s="209">
        <f t="shared" si="26"/>
        <v>0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-0.32</v>
      </c>
      <c r="AC32" s="205">
        <f t="shared" si="33"/>
        <v>0</v>
      </c>
      <c r="AD32" s="210">
        <f t="shared" si="34"/>
        <v>0.31597222222626442</v>
      </c>
      <c r="AE32" s="210">
        <f t="shared" si="35"/>
        <v>0</v>
      </c>
      <c r="AF32" s="210">
        <f t="shared" si="36"/>
        <v>0.31597222222626442</v>
      </c>
      <c r="AG32" s="210">
        <f t="shared" si="37"/>
        <v>0</v>
      </c>
    </row>
    <row r="33" spans="2:33" ht="15" customHeight="1" x14ac:dyDescent="0.3">
      <c r="B33" s="196" t="s">
        <v>84</v>
      </c>
      <c r="C33" s="197" t="s">
        <v>15</v>
      </c>
      <c r="D33" s="198" t="str">
        <f t="shared" si="19"/>
        <v>C</v>
      </c>
      <c r="E33" s="199">
        <v>44501.5</v>
      </c>
      <c r="F33" s="200" t="s">
        <v>80</v>
      </c>
      <c r="G33" s="201">
        <v>61990.77</v>
      </c>
      <c r="H33" s="201">
        <v>59776.3</v>
      </c>
      <c r="I33" s="202">
        <f t="shared" si="20"/>
        <v>2214.4699999999939</v>
      </c>
      <c r="J33" s="201">
        <v>95207.76</v>
      </c>
      <c r="K33" s="199">
        <v>44502.017361111109</v>
      </c>
      <c r="L33" s="201">
        <v>60766.5</v>
      </c>
      <c r="M33" s="203">
        <f t="shared" si="21"/>
        <v>-1224.27</v>
      </c>
      <c r="N33" s="204">
        <f t="shared" si="22"/>
        <v>-0.55000000000000004</v>
      </c>
      <c r="O33" s="205">
        <f t="shared" si="23"/>
        <v>0</v>
      </c>
      <c r="P33" s="206">
        <f t="shared" si="24"/>
        <v>0</v>
      </c>
      <c r="Q33" s="206">
        <f t="shared" si="25"/>
        <v>-0.55000000000000004</v>
      </c>
      <c r="R3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137140</v>
      </c>
      <c r="T3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3" s="208">
        <f ca="1">IF(Tabla336106734825[[#This Row],[Equity]]&lt;Tabla336106734825[[#This Row],[Equity Peak]],(Tabla336106734825[[#This Row],[Equity Peak]]-Tabla336106734825[[#This Row],[Equity]])/Tabla336106734825[[#This Row],[Equity Peak]],"")</f>
        <v>1.9097346398683927E-2</v>
      </c>
      <c r="V33" s="209">
        <f t="shared" si="26"/>
        <v>0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-0.55000000000000004</v>
      </c>
      <c r="AC33" s="205">
        <f t="shared" si="33"/>
        <v>0</v>
      </c>
      <c r="AD33" s="210">
        <f t="shared" si="34"/>
        <v>0.51736111110949423</v>
      </c>
      <c r="AE33" s="210">
        <f t="shared" si="35"/>
        <v>0</v>
      </c>
      <c r="AF33" s="210">
        <f t="shared" si="36"/>
        <v>0.51736111110949423</v>
      </c>
      <c r="AG33" s="210">
        <f t="shared" si="37"/>
        <v>0</v>
      </c>
    </row>
    <row r="34" spans="2:33" ht="15" customHeight="1" x14ac:dyDescent="0.3">
      <c r="B34" s="196" t="s">
        <v>84</v>
      </c>
      <c r="C34" s="197" t="s">
        <v>13</v>
      </c>
      <c r="D34" s="198" t="str">
        <f t="shared" si="19"/>
        <v>C</v>
      </c>
      <c r="E34" s="199">
        <v>44500.666666666664</v>
      </c>
      <c r="F34" s="200" t="s">
        <v>80</v>
      </c>
      <c r="G34" s="201">
        <v>60324.5</v>
      </c>
      <c r="H34" s="201">
        <v>62454.22</v>
      </c>
      <c r="I34" s="202">
        <f t="shared" si="20"/>
        <v>2129.7200000000012</v>
      </c>
      <c r="J34" s="201">
        <v>28378.74</v>
      </c>
      <c r="K34" s="199">
        <v>44501.42291666667</v>
      </c>
      <c r="L34" s="201">
        <v>61923.79</v>
      </c>
      <c r="M34" s="203">
        <f t="shared" si="21"/>
        <v>-1599.29</v>
      </c>
      <c r="N34" s="204">
        <f t="shared" si="22"/>
        <v>-0.75</v>
      </c>
      <c r="O34" s="205">
        <f t="shared" si="23"/>
        <v>0</v>
      </c>
      <c r="P34" s="206">
        <f t="shared" si="24"/>
        <v>0</v>
      </c>
      <c r="Q34" s="206">
        <f t="shared" si="25"/>
        <v>-0.75</v>
      </c>
      <c r="R3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137690</v>
      </c>
      <c r="T3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4" s="208">
        <f ca="1">IF(Tabla336106734825[[#This Row],[Equity]]&lt;Tabla336106734825[[#This Row],[Equity Peak]],(Tabla336106734825[[#This Row],[Equity Peak]]-Tabla336106734825[[#This Row],[Equity]])/Tabla336106734825[[#This Row],[Equity Peak]],"")</f>
        <v>1.5163436091838924E-2</v>
      </c>
      <c r="V34" s="209">
        <f t="shared" si="26"/>
        <v>0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-0.75</v>
      </c>
      <c r="AC34" s="205">
        <f t="shared" si="33"/>
        <v>0</v>
      </c>
      <c r="AD34" s="210">
        <f t="shared" si="34"/>
        <v>0.75625000000582077</v>
      </c>
      <c r="AE34" s="210">
        <f t="shared" si="35"/>
        <v>0</v>
      </c>
      <c r="AF34" s="210">
        <f t="shared" si="36"/>
        <v>0.75625000000582077</v>
      </c>
      <c r="AG34" s="210">
        <f t="shared" si="37"/>
        <v>0</v>
      </c>
    </row>
    <row r="35" spans="2:33" ht="15" customHeight="1" x14ac:dyDescent="0.3">
      <c r="B35" s="196" t="s">
        <v>84</v>
      </c>
      <c r="C35" s="197" t="s">
        <v>15</v>
      </c>
      <c r="D35" s="198" t="str">
        <f t="shared" si="19"/>
        <v>C</v>
      </c>
      <c r="E35" s="199">
        <v>44498.333333333336</v>
      </c>
      <c r="F35" s="200" t="s">
        <v>80</v>
      </c>
      <c r="G35" s="201">
        <v>61574.5</v>
      </c>
      <c r="H35" s="201">
        <v>58603.56</v>
      </c>
      <c r="I35" s="202">
        <f t="shared" si="20"/>
        <v>2970.9400000000023</v>
      </c>
      <c r="J35" s="201">
        <v>106138.66</v>
      </c>
      <c r="K35" s="199">
        <v>44500.489583333336</v>
      </c>
      <c r="L35" s="201">
        <v>60688.42</v>
      </c>
      <c r="M35" s="203">
        <f t="shared" si="21"/>
        <v>-886.08</v>
      </c>
      <c r="N35" s="204">
        <f t="shared" si="22"/>
        <v>-0.3</v>
      </c>
      <c r="O35" s="205">
        <f t="shared" si="23"/>
        <v>0</v>
      </c>
      <c r="P35" s="206">
        <f t="shared" si="24"/>
        <v>0</v>
      </c>
      <c r="Q35" s="206">
        <f t="shared" si="25"/>
        <v>-0.3</v>
      </c>
      <c r="R3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138440</v>
      </c>
      <c r="T3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5" s="208">
        <f ca="1">IF(Tabla336106734825[[#This Row],[Equity]]&lt;Tabla336106734825[[#This Row],[Equity Peak]],(Tabla336106734825[[#This Row],[Equity Peak]]-Tabla336106734825[[#This Row],[Equity]])/Tabla336106734825[[#This Row],[Equity Peak]],"")</f>
        <v>9.7990129461411925E-3</v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-0.3</v>
      </c>
      <c r="AC35" s="205">
        <f t="shared" si="33"/>
        <v>0</v>
      </c>
      <c r="AD35" s="210">
        <f t="shared" si="34"/>
        <v>2.15625</v>
      </c>
      <c r="AE35" s="210">
        <f t="shared" si="35"/>
        <v>0</v>
      </c>
      <c r="AF35" s="210">
        <f t="shared" si="36"/>
        <v>2.15625</v>
      </c>
      <c r="AG35" s="210">
        <f t="shared" si="37"/>
        <v>0</v>
      </c>
    </row>
    <row r="36" spans="2:33" ht="15" customHeight="1" x14ac:dyDescent="0.3">
      <c r="B36" s="196" t="s">
        <v>84</v>
      </c>
      <c r="C36" s="197" t="s">
        <v>13</v>
      </c>
      <c r="D36" s="198" t="str">
        <f t="shared" si="19"/>
        <v>C</v>
      </c>
      <c r="E36" s="199">
        <v>44496.5</v>
      </c>
      <c r="F36" s="200" t="s">
        <v>80</v>
      </c>
      <c r="G36" s="201">
        <v>59268.74</v>
      </c>
      <c r="H36" s="201">
        <v>61558.33</v>
      </c>
      <c r="I36" s="202">
        <f t="shared" si="20"/>
        <v>2289.5900000000038</v>
      </c>
      <c r="J36" s="201">
        <v>24924.83</v>
      </c>
      <c r="K36" s="199">
        <v>44497.48333333333</v>
      </c>
      <c r="L36" s="201">
        <v>60086.93</v>
      </c>
      <c r="M36" s="203">
        <f t="shared" si="21"/>
        <v>-818.19</v>
      </c>
      <c r="N36" s="204">
        <f t="shared" si="22"/>
        <v>-0.36</v>
      </c>
      <c r="O36" s="205">
        <f t="shared" si="23"/>
        <v>0</v>
      </c>
      <c r="P36" s="206">
        <f t="shared" si="24"/>
        <v>0</v>
      </c>
      <c r="Q36" s="206">
        <f t="shared" si="25"/>
        <v>-0.36</v>
      </c>
      <c r="R3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138740</v>
      </c>
      <c r="T3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6" s="208">
        <f ca="1">IF(Tabla336106734825[[#This Row],[Equity]]&lt;Tabla336106734825[[#This Row],[Equity Peak]],(Tabla336106734825[[#This Row],[Equity Peak]]-Tabla336106734825[[#This Row],[Equity]])/Tabla336106734825[[#This Row],[Equity Peak]],"")</f>
        <v>7.6532436878620986E-3</v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-0.36</v>
      </c>
      <c r="AC36" s="205">
        <f t="shared" si="33"/>
        <v>0</v>
      </c>
      <c r="AD36" s="210">
        <f t="shared" si="34"/>
        <v>0.98333333332993789</v>
      </c>
      <c r="AE36" s="210">
        <f t="shared" si="35"/>
        <v>0</v>
      </c>
      <c r="AF36" s="210">
        <f t="shared" si="36"/>
        <v>0.98333333332993789</v>
      </c>
      <c r="AG36" s="210">
        <f t="shared" si="37"/>
        <v>0</v>
      </c>
    </row>
    <row r="37" spans="2:33" ht="15" customHeight="1" x14ac:dyDescent="0.3">
      <c r="B37" s="196" t="s">
        <v>84</v>
      </c>
      <c r="C37" s="197" t="s">
        <v>13</v>
      </c>
      <c r="D37" s="198" t="str">
        <f t="shared" si="19"/>
        <v>C</v>
      </c>
      <c r="E37" s="199">
        <v>44493.5</v>
      </c>
      <c r="F37" s="200" t="s">
        <v>80</v>
      </c>
      <c r="G37" s="201">
        <v>60534</v>
      </c>
      <c r="H37" s="201">
        <v>62697.14</v>
      </c>
      <c r="I37" s="202">
        <f t="shared" si="20"/>
        <v>2163.1399999999994</v>
      </c>
      <c r="J37" s="201">
        <v>28086.9</v>
      </c>
      <c r="K37" s="199">
        <v>44494.171527777777</v>
      </c>
      <c r="L37" s="201">
        <v>62064.800000000003</v>
      </c>
      <c r="M37" s="203">
        <f t="shared" si="21"/>
        <v>-1530.8</v>
      </c>
      <c r="N37" s="204">
        <f t="shared" si="22"/>
        <v>-0.71</v>
      </c>
      <c r="O37" s="205">
        <f t="shared" si="23"/>
        <v>0</v>
      </c>
      <c r="P37" s="206">
        <f t="shared" si="24"/>
        <v>0</v>
      </c>
      <c r="Q37" s="206">
        <f t="shared" si="25"/>
        <v>-0.71</v>
      </c>
      <c r="R3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139100</v>
      </c>
      <c r="T3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7" s="208">
        <f ca="1">IF(Tabla336106734825[[#This Row],[Equity]]&lt;Tabla336106734825[[#This Row],[Equity Peak]],(Tabla336106734825[[#This Row],[Equity Peak]]-Tabla336106734825[[#This Row],[Equity]])/Tabla336106734825[[#This Row],[Equity Peak]],"")</f>
        <v>5.0783205779271869E-3</v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-0.71</v>
      </c>
      <c r="AC37" s="205">
        <f t="shared" si="33"/>
        <v>0</v>
      </c>
      <c r="AD37" s="210">
        <f t="shared" si="34"/>
        <v>0.67152777777664596</v>
      </c>
      <c r="AE37" s="210">
        <f t="shared" si="35"/>
        <v>0</v>
      </c>
      <c r="AF37" s="210">
        <f t="shared" si="36"/>
        <v>0.67152777777664596</v>
      </c>
      <c r="AG37" s="210">
        <f t="shared" si="37"/>
        <v>0</v>
      </c>
    </row>
    <row r="38" spans="2:33" ht="15" customHeight="1" x14ac:dyDescent="0.3">
      <c r="B38" s="196" t="s">
        <v>84</v>
      </c>
      <c r="C38" s="197" t="s">
        <v>15</v>
      </c>
      <c r="D38" s="198" t="str">
        <f t="shared" si="19"/>
        <v>C</v>
      </c>
      <c r="E38" s="199">
        <v>44470.166666666664</v>
      </c>
      <c r="F38" s="200" t="s">
        <v>80</v>
      </c>
      <c r="G38" s="201">
        <v>43689.5</v>
      </c>
      <c r="H38" s="201">
        <v>41722.93</v>
      </c>
      <c r="I38" s="202">
        <f t="shared" si="20"/>
        <v>1966.5699999999997</v>
      </c>
      <c r="J38" s="201">
        <v>73188.070000000007</v>
      </c>
      <c r="K38" s="199">
        <v>44481.964583333334</v>
      </c>
      <c r="L38" s="201">
        <v>54151.32</v>
      </c>
      <c r="M38" s="203">
        <f t="shared" si="21"/>
        <v>10461.82</v>
      </c>
      <c r="N38" s="204">
        <f t="shared" si="22"/>
        <v>5.32</v>
      </c>
      <c r="O38" s="205">
        <f t="shared" si="23"/>
        <v>0</v>
      </c>
      <c r="P38" s="206">
        <f t="shared" si="24"/>
        <v>5.32</v>
      </c>
      <c r="Q38" s="206">
        <f t="shared" si="25"/>
        <v>0</v>
      </c>
      <c r="R3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139810</v>
      </c>
      <c r="T3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139810</v>
      </c>
      <c r="U38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5.32</v>
      </c>
      <c r="AC38" s="205">
        <f t="shared" si="33"/>
        <v>0</v>
      </c>
      <c r="AD38" s="210">
        <f t="shared" si="34"/>
        <v>11.797916666670062</v>
      </c>
      <c r="AE38" s="210">
        <f t="shared" si="35"/>
        <v>11.797916666670062</v>
      </c>
      <c r="AF38" s="210">
        <f t="shared" si="36"/>
        <v>0</v>
      </c>
      <c r="AG38" s="210">
        <f t="shared" si="37"/>
        <v>0</v>
      </c>
    </row>
    <row r="39" spans="2:33" ht="15" customHeight="1" x14ac:dyDescent="0.3">
      <c r="B39" s="196" t="s">
        <v>84</v>
      </c>
      <c r="C39" s="197" t="s">
        <v>13</v>
      </c>
      <c r="D39" s="198" t="str">
        <f t="shared" si="19"/>
        <v>C</v>
      </c>
      <c r="E39" s="199">
        <v>44459.333333333336</v>
      </c>
      <c r="F39" s="200" t="s">
        <v>80</v>
      </c>
      <c r="G39" s="201">
        <v>45648</v>
      </c>
      <c r="H39" s="201">
        <v>47206.14</v>
      </c>
      <c r="I39" s="202">
        <f t="shared" si="20"/>
        <v>1558.1399999999994</v>
      </c>
      <c r="J39" s="201">
        <v>22275.86</v>
      </c>
      <c r="K39" s="199">
        <v>44469.902083333334</v>
      </c>
      <c r="L39" s="201">
        <v>43976.89</v>
      </c>
      <c r="M39" s="203">
        <f t="shared" si="21"/>
        <v>1671.11</v>
      </c>
      <c r="N39" s="204">
        <f t="shared" si="22"/>
        <v>1.07</v>
      </c>
      <c r="O39" s="205">
        <f t="shared" si="23"/>
        <v>0</v>
      </c>
      <c r="P39" s="206">
        <f t="shared" si="24"/>
        <v>1.07</v>
      </c>
      <c r="Q39" s="206">
        <f t="shared" si="25"/>
        <v>0</v>
      </c>
      <c r="R3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134490</v>
      </c>
      <c r="T3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134490</v>
      </c>
      <c r="U39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39" s="209">
        <f t="shared" si="26"/>
        <v>0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1.07</v>
      </c>
      <c r="AC39" s="205">
        <f t="shared" si="33"/>
        <v>0</v>
      </c>
      <c r="AD39" s="210">
        <f t="shared" si="34"/>
        <v>10.568749999998545</v>
      </c>
      <c r="AE39" s="210">
        <f t="shared" si="35"/>
        <v>10.568749999998545</v>
      </c>
      <c r="AF39" s="210">
        <f t="shared" si="36"/>
        <v>0</v>
      </c>
      <c r="AG39" s="210">
        <f t="shared" si="37"/>
        <v>0</v>
      </c>
    </row>
    <row r="40" spans="2:33" ht="15" customHeight="1" x14ac:dyDescent="0.3">
      <c r="B40" s="196" t="s">
        <v>84</v>
      </c>
      <c r="C40" s="197" t="s">
        <v>15</v>
      </c>
      <c r="D40" s="198" t="str">
        <f t="shared" si="19"/>
        <v>C</v>
      </c>
      <c r="E40" s="199">
        <v>44454.5</v>
      </c>
      <c r="F40" s="200" t="s">
        <v>80</v>
      </c>
      <c r="G40" s="201">
        <v>47079</v>
      </c>
      <c r="H40" s="201">
        <v>44917.79</v>
      </c>
      <c r="I40" s="202">
        <f t="shared" si="20"/>
        <v>2161.2099999999991</v>
      </c>
      <c r="J40" s="201">
        <v>79497.210000000006</v>
      </c>
      <c r="K40" s="199">
        <v>44456.683333333334</v>
      </c>
      <c r="L40" s="201">
        <v>46966.32</v>
      </c>
      <c r="M40" s="203">
        <f t="shared" si="21"/>
        <v>-112.68</v>
      </c>
      <c r="N40" s="204">
        <f t="shared" si="22"/>
        <v>-0.05</v>
      </c>
      <c r="O40" s="205">
        <f t="shared" si="23"/>
        <v>0</v>
      </c>
      <c r="P40" s="206">
        <f t="shared" si="24"/>
        <v>0</v>
      </c>
      <c r="Q40" s="206">
        <f t="shared" si="25"/>
        <v>-0.05</v>
      </c>
      <c r="R4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133420</v>
      </c>
      <c r="T4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134230</v>
      </c>
      <c r="U40" s="208">
        <f ca="1">IF(Tabla336106734825[[#This Row],[Equity]]&lt;Tabla336106734825[[#This Row],[Equity Peak]],(Tabla336106734825[[#This Row],[Equity Peak]]-Tabla336106734825[[#This Row],[Equity]])/Tabla336106734825[[#This Row],[Equity Peak]],"")</f>
        <v>6.0344185353497729E-3</v>
      </c>
      <c r="V40" s="209">
        <f t="shared" si="26"/>
        <v>0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-0.05</v>
      </c>
      <c r="AC40" s="205">
        <f t="shared" si="33"/>
        <v>0</v>
      </c>
      <c r="AD40" s="210">
        <f t="shared" si="34"/>
        <v>2.1833333333343035</v>
      </c>
      <c r="AE40" s="210">
        <f t="shared" si="35"/>
        <v>0</v>
      </c>
      <c r="AF40" s="210">
        <f t="shared" si="36"/>
        <v>2.1833333333343035</v>
      </c>
      <c r="AG40" s="210">
        <f t="shared" si="37"/>
        <v>0</v>
      </c>
    </row>
    <row r="41" spans="2:33" ht="15" customHeight="1" x14ac:dyDescent="0.3">
      <c r="B41" s="196" t="s">
        <v>84</v>
      </c>
      <c r="C41" s="197" t="s">
        <v>13</v>
      </c>
      <c r="D41" s="198" t="str">
        <f t="shared" si="19"/>
        <v>C</v>
      </c>
      <c r="E41" s="199">
        <v>44447.017361111109</v>
      </c>
      <c r="F41" s="200" t="s">
        <v>80</v>
      </c>
      <c r="G41" s="201">
        <v>46074.5</v>
      </c>
      <c r="H41" s="201">
        <v>48942.57</v>
      </c>
      <c r="I41" s="202">
        <f t="shared" si="20"/>
        <v>2868.0699999999997</v>
      </c>
      <c r="J41" s="201">
        <v>3053.43</v>
      </c>
      <c r="K41" s="199">
        <v>44451.689583333333</v>
      </c>
      <c r="L41" s="201">
        <v>46267.25</v>
      </c>
      <c r="M41" s="203">
        <f t="shared" si="21"/>
        <v>-192.75</v>
      </c>
      <c r="N41" s="204">
        <f t="shared" si="22"/>
        <v>-7.0000000000000007E-2</v>
      </c>
      <c r="O41" s="205">
        <f t="shared" si="23"/>
        <v>0</v>
      </c>
      <c r="P41" s="206">
        <f t="shared" si="24"/>
        <v>0</v>
      </c>
      <c r="Q41" s="206">
        <f t="shared" si="25"/>
        <v>-7.0000000000000007E-2</v>
      </c>
      <c r="R4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133470</v>
      </c>
      <c r="T4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134230</v>
      </c>
      <c r="U41" s="208">
        <f ca="1">IF(Tabla336106734825[[#This Row],[Equity]]&lt;Tabla336106734825[[#This Row],[Equity Peak]],(Tabla336106734825[[#This Row],[Equity Peak]]-Tabla336106734825[[#This Row],[Equity]])/Tabla336106734825[[#This Row],[Equity Peak]],"")</f>
        <v>5.6619235640318856E-3</v>
      </c>
      <c r="V41" s="209">
        <f t="shared" si="26"/>
        <v>0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-7.0000000000000007E-2</v>
      </c>
      <c r="AC41" s="205">
        <f t="shared" si="33"/>
        <v>0</v>
      </c>
      <c r="AD41" s="210">
        <f t="shared" si="34"/>
        <v>4.672222222223354</v>
      </c>
      <c r="AE41" s="210">
        <f t="shared" si="35"/>
        <v>0</v>
      </c>
      <c r="AF41" s="210">
        <f t="shared" si="36"/>
        <v>4.672222222223354</v>
      </c>
      <c r="AG41" s="210">
        <f t="shared" si="37"/>
        <v>0</v>
      </c>
    </row>
    <row r="42" spans="2:33" ht="15" customHeight="1" x14ac:dyDescent="0.3">
      <c r="B42" s="196" t="s">
        <v>84</v>
      </c>
      <c r="C42" s="197" t="s">
        <v>15</v>
      </c>
      <c r="D42" s="198" t="str">
        <f t="shared" si="19"/>
        <v>C</v>
      </c>
      <c r="E42" s="199">
        <v>44440.833333333336</v>
      </c>
      <c r="F42" s="200" t="s">
        <v>80</v>
      </c>
      <c r="G42" s="201">
        <v>48535.5</v>
      </c>
      <c r="H42" s="201">
        <v>46758.58</v>
      </c>
      <c r="I42" s="202">
        <f t="shared" si="20"/>
        <v>1776.9199999999983</v>
      </c>
      <c r="J42" s="201">
        <v>75189.34</v>
      </c>
      <c r="K42" s="199">
        <v>44442.189583333333</v>
      </c>
      <c r="L42" s="201">
        <v>48342.21</v>
      </c>
      <c r="M42" s="203">
        <f t="shared" si="21"/>
        <v>-193.29</v>
      </c>
      <c r="N42" s="204">
        <f t="shared" si="22"/>
        <v>-0.11</v>
      </c>
      <c r="O42" s="205">
        <f t="shared" si="23"/>
        <v>0</v>
      </c>
      <c r="P42" s="206">
        <f t="shared" si="24"/>
        <v>0</v>
      </c>
      <c r="Q42" s="206">
        <f t="shared" si="25"/>
        <v>-0.11</v>
      </c>
      <c r="R4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133540</v>
      </c>
      <c r="T4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134230</v>
      </c>
      <c r="U42" s="208">
        <f ca="1">IF(Tabla336106734825[[#This Row],[Equity]]&lt;Tabla336106734825[[#This Row],[Equity Peak]],(Tabla336106734825[[#This Row],[Equity Peak]]-Tabla336106734825[[#This Row],[Equity]])/Tabla336106734825[[#This Row],[Equity Peak]],"")</f>
        <v>5.1404306041868434E-3</v>
      </c>
      <c r="V42" s="209">
        <f t="shared" si="26"/>
        <v>0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-0.11</v>
      </c>
      <c r="AC42" s="205">
        <f t="shared" si="33"/>
        <v>0</v>
      </c>
      <c r="AD42" s="210">
        <f t="shared" si="34"/>
        <v>1.3562499999970896</v>
      </c>
      <c r="AE42" s="210">
        <f t="shared" si="35"/>
        <v>0</v>
      </c>
      <c r="AF42" s="210">
        <f t="shared" si="36"/>
        <v>1.3562499999970896</v>
      </c>
      <c r="AG42" s="210">
        <f t="shared" si="37"/>
        <v>0</v>
      </c>
    </row>
    <row r="43" spans="2:33" ht="15" customHeight="1" x14ac:dyDescent="0.3">
      <c r="B43" s="196" t="s">
        <v>84</v>
      </c>
      <c r="C43" s="197" t="s">
        <v>13</v>
      </c>
      <c r="D43" s="198" t="str">
        <f t="shared" si="19"/>
        <v>C</v>
      </c>
      <c r="E43" s="199">
        <v>44439.333333333336</v>
      </c>
      <c r="F43" s="200" t="s">
        <v>80</v>
      </c>
      <c r="G43" s="201">
        <v>47059.5</v>
      </c>
      <c r="H43" s="201">
        <v>48882.71</v>
      </c>
      <c r="I43" s="202">
        <f t="shared" si="20"/>
        <v>1823.2099999999991</v>
      </c>
      <c r="J43" s="201">
        <v>19711.29</v>
      </c>
      <c r="K43" s="199">
        <v>44440.817361111112</v>
      </c>
      <c r="L43" s="201">
        <v>48116.59</v>
      </c>
      <c r="M43" s="203">
        <f t="shared" si="21"/>
        <v>-1057.0899999999999</v>
      </c>
      <c r="N43" s="204">
        <f t="shared" si="22"/>
        <v>-0.57999999999999996</v>
      </c>
      <c r="O43" s="205">
        <f t="shared" si="23"/>
        <v>0</v>
      </c>
      <c r="P43" s="206">
        <f t="shared" si="24"/>
        <v>0</v>
      </c>
      <c r="Q43" s="206">
        <f t="shared" si="25"/>
        <v>-0.57999999999999996</v>
      </c>
      <c r="R4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133650</v>
      </c>
      <c r="T4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134230</v>
      </c>
      <c r="U43" s="208">
        <f ca="1">IF(Tabla336106734825[[#This Row],[Equity]]&lt;Tabla336106734825[[#This Row],[Equity Peak]],(Tabla336106734825[[#This Row],[Equity Peak]]-Tabla336106734825[[#This Row],[Equity]])/Tabla336106734825[[#This Row],[Equity Peak]],"")</f>
        <v>4.3209416672874918E-3</v>
      </c>
      <c r="V43" s="209">
        <f t="shared" si="26"/>
        <v>0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-0.57999999999999996</v>
      </c>
      <c r="AC43" s="205">
        <f t="shared" si="33"/>
        <v>0</v>
      </c>
      <c r="AD43" s="210">
        <f t="shared" si="34"/>
        <v>1.484027777776646</v>
      </c>
      <c r="AE43" s="210">
        <f t="shared" si="35"/>
        <v>0</v>
      </c>
      <c r="AF43" s="210">
        <f t="shared" si="36"/>
        <v>1.484027777776646</v>
      </c>
      <c r="AG43" s="210">
        <f t="shared" si="37"/>
        <v>0</v>
      </c>
    </row>
    <row r="44" spans="2:33" ht="15" customHeight="1" x14ac:dyDescent="0.3">
      <c r="B44" s="196" t="s">
        <v>84</v>
      </c>
      <c r="C44" s="197" t="s">
        <v>15</v>
      </c>
      <c r="D44" s="198" t="str">
        <f t="shared" si="19"/>
        <v>C</v>
      </c>
      <c r="E44" s="199">
        <v>44399.666666666664</v>
      </c>
      <c r="F44" s="200" t="s">
        <v>80</v>
      </c>
      <c r="G44" s="201">
        <v>32197.919999999998</v>
      </c>
      <c r="H44" s="201">
        <v>30863.49</v>
      </c>
      <c r="I44" s="202">
        <f t="shared" si="20"/>
        <v>1334.4299999999967</v>
      </c>
      <c r="J44" s="201">
        <v>52214.35</v>
      </c>
      <c r="K44" s="199">
        <v>44411.631249999999</v>
      </c>
      <c r="L44" s="201">
        <v>37845.089999999997</v>
      </c>
      <c r="M44" s="203">
        <f t="shared" si="21"/>
        <v>5647.17</v>
      </c>
      <c r="N44" s="204">
        <f t="shared" si="22"/>
        <v>4.2300000000000004</v>
      </c>
      <c r="O44" s="205">
        <f t="shared" si="23"/>
        <v>0</v>
      </c>
      <c r="P44" s="206">
        <f t="shared" si="24"/>
        <v>4.2300000000000004</v>
      </c>
      <c r="Q44" s="206">
        <f t="shared" si="25"/>
        <v>0</v>
      </c>
      <c r="R4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134230</v>
      </c>
      <c r="T4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134230</v>
      </c>
      <c r="U44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44" s="209">
        <f t="shared" si="26"/>
        <v>0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4.2300000000000004</v>
      </c>
      <c r="AC44" s="205">
        <f t="shared" si="33"/>
        <v>0</v>
      </c>
      <c r="AD44" s="210">
        <f t="shared" si="34"/>
        <v>11.964583333334303</v>
      </c>
      <c r="AE44" s="210">
        <f t="shared" si="35"/>
        <v>11.964583333334303</v>
      </c>
      <c r="AF44" s="210">
        <f t="shared" si="36"/>
        <v>0</v>
      </c>
      <c r="AG44" s="210">
        <f t="shared" si="37"/>
        <v>0</v>
      </c>
    </row>
    <row r="45" spans="2:33" ht="15" customHeight="1" x14ac:dyDescent="0.3">
      <c r="B45" s="196" t="s">
        <v>84</v>
      </c>
      <c r="C45" s="197" t="s">
        <v>13</v>
      </c>
      <c r="D45" s="198" t="str">
        <f t="shared" si="19"/>
        <v>C</v>
      </c>
      <c r="E45" s="199">
        <v>44385.166666666664</v>
      </c>
      <c r="F45" s="200" t="s">
        <v>80</v>
      </c>
      <c r="G45" s="201">
        <v>33205.919999999998</v>
      </c>
      <c r="H45" s="201">
        <v>34755.730000000003</v>
      </c>
      <c r="I45" s="202">
        <f t="shared" si="20"/>
        <v>1549.8100000000049</v>
      </c>
      <c r="J45" s="201">
        <v>9958.75</v>
      </c>
      <c r="K45" s="199">
        <v>44386.69027777778</v>
      </c>
      <c r="L45" s="201">
        <v>33438.81</v>
      </c>
      <c r="M45" s="203">
        <f t="shared" si="21"/>
        <v>-232.89</v>
      </c>
      <c r="N45" s="204">
        <f t="shared" si="22"/>
        <v>-0.15</v>
      </c>
      <c r="O45" s="205">
        <f t="shared" si="23"/>
        <v>0</v>
      </c>
      <c r="P45" s="206">
        <f t="shared" si="24"/>
        <v>0</v>
      </c>
      <c r="Q45" s="206">
        <f t="shared" si="25"/>
        <v>-0.15</v>
      </c>
      <c r="R4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130000</v>
      </c>
      <c r="T4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131370</v>
      </c>
      <c r="U45" s="208">
        <f ca="1">IF(Tabla336106734825[[#This Row],[Equity]]&lt;Tabla336106734825[[#This Row],[Equity Peak]],(Tabla336106734825[[#This Row],[Equity Peak]]-Tabla336106734825[[#This Row],[Equity]])/Tabla336106734825[[#This Row],[Equity Peak]],"")</f>
        <v>1.0428560554160006E-2</v>
      </c>
      <c r="V45" s="209">
        <f t="shared" si="26"/>
        <v>0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-0.15</v>
      </c>
      <c r="AC45" s="205">
        <f t="shared" si="33"/>
        <v>0</v>
      </c>
      <c r="AD45" s="210">
        <f t="shared" si="34"/>
        <v>1.523611111115315</v>
      </c>
      <c r="AE45" s="210">
        <f t="shared" si="35"/>
        <v>0</v>
      </c>
      <c r="AF45" s="210">
        <f t="shared" si="36"/>
        <v>1.523611111115315</v>
      </c>
      <c r="AG45" s="210">
        <f t="shared" si="37"/>
        <v>0</v>
      </c>
    </row>
    <row r="46" spans="2:33" ht="15" customHeight="1" x14ac:dyDescent="0.3">
      <c r="B46" s="196" t="s">
        <v>84</v>
      </c>
      <c r="C46" s="197" t="s">
        <v>15</v>
      </c>
      <c r="D46" s="198" t="str">
        <f t="shared" si="19"/>
        <v>C</v>
      </c>
      <c r="E46" s="199">
        <v>44384.5</v>
      </c>
      <c r="F46" s="200" t="s">
        <v>80</v>
      </c>
      <c r="G46" s="201">
        <v>34800.92</v>
      </c>
      <c r="H46" s="201">
        <v>33254.54</v>
      </c>
      <c r="I46" s="202">
        <f t="shared" si="20"/>
        <v>1546.3799999999974</v>
      </c>
      <c r="J46" s="201">
        <v>57996.58</v>
      </c>
      <c r="K46" s="199">
        <v>44385.131249999999</v>
      </c>
      <c r="L46" s="201">
        <v>33729.31</v>
      </c>
      <c r="M46" s="203">
        <f t="shared" si="21"/>
        <v>-1071.6099999999999</v>
      </c>
      <c r="N46" s="204">
        <f t="shared" si="22"/>
        <v>-0.69</v>
      </c>
      <c r="O46" s="205">
        <f t="shared" si="23"/>
        <v>0</v>
      </c>
      <c r="P46" s="206">
        <f t="shared" si="24"/>
        <v>0</v>
      </c>
      <c r="Q46" s="206">
        <f t="shared" si="25"/>
        <v>-0.69</v>
      </c>
      <c r="R4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130150</v>
      </c>
      <c r="T4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131370</v>
      </c>
      <c r="U46" s="208">
        <f ca="1">IF(Tabla336106734825[[#This Row],[Equity]]&lt;Tabla336106734825[[#This Row],[Equity Peak]],(Tabla336106734825[[#This Row],[Equity Peak]]-Tabla336106734825[[#This Row],[Equity]])/Tabla336106734825[[#This Row],[Equity Peak]],"")</f>
        <v>9.2867473547994222E-3</v>
      </c>
      <c r="V46" s="209">
        <f t="shared" si="26"/>
        <v>0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-0.69</v>
      </c>
      <c r="AC46" s="205">
        <f t="shared" si="33"/>
        <v>0</v>
      </c>
      <c r="AD46" s="210">
        <f t="shared" si="34"/>
        <v>0.63124999999854481</v>
      </c>
      <c r="AE46" s="210">
        <f t="shared" si="35"/>
        <v>0</v>
      </c>
      <c r="AF46" s="210">
        <f t="shared" si="36"/>
        <v>0.63124999999854481</v>
      </c>
      <c r="AG46" s="210">
        <f t="shared" si="37"/>
        <v>0</v>
      </c>
    </row>
    <row r="47" spans="2:33" ht="15" customHeight="1" x14ac:dyDescent="0.3">
      <c r="B47" s="196" t="s">
        <v>84</v>
      </c>
      <c r="C47" s="197" t="s">
        <v>13</v>
      </c>
      <c r="D47" s="198" t="str">
        <f t="shared" si="19"/>
        <v>C</v>
      </c>
      <c r="E47" s="199">
        <v>44377.666666666664</v>
      </c>
      <c r="F47" s="200" t="s">
        <v>80</v>
      </c>
      <c r="G47" s="201">
        <v>34652.92</v>
      </c>
      <c r="H47" s="201">
        <v>36388.06</v>
      </c>
      <c r="I47" s="202">
        <f t="shared" si="20"/>
        <v>1735.1399999999994</v>
      </c>
      <c r="J47" s="201">
        <v>8625.7800000000007</v>
      </c>
      <c r="K47" s="199">
        <v>44382</v>
      </c>
      <c r="L47" s="201">
        <v>34670.81</v>
      </c>
      <c r="M47" s="203">
        <f t="shared" si="21"/>
        <v>-17.89</v>
      </c>
      <c r="N47" s="204">
        <f t="shared" si="22"/>
        <v>-0.01</v>
      </c>
      <c r="O47" s="205">
        <f t="shared" si="23"/>
        <v>0</v>
      </c>
      <c r="P47" s="206">
        <f t="shared" si="24"/>
        <v>0</v>
      </c>
      <c r="Q47" s="206">
        <f t="shared" si="25"/>
        <v>-0.01</v>
      </c>
      <c r="R4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130840</v>
      </c>
      <c r="T4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131370</v>
      </c>
      <c r="U47" s="208">
        <f ca="1">IF(Tabla336106734825[[#This Row],[Equity]]&lt;Tabla336106734825[[#This Row],[Equity Peak]],(Tabla336106734825[[#This Row],[Equity Peak]]-Tabla336106734825[[#This Row],[Equity]])/Tabla336106734825[[#This Row],[Equity Peak]],"")</f>
        <v>4.0344066377407325E-3</v>
      </c>
      <c r="V47" s="209">
        <f t="shared" si="26"/>
        <v>0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-0.01</v>
      </c>
      <c r="AC47" s="205">
        <f t="shared" si="33"/>
        <v>0</v>
      </c>
      <c r="AD47" s="210">
        <f t="shared" si="34"/>
        <v>4.3333333333357587</v>
      </c>
      <c r="AE47" s="210">
        <f t="shared" si="35"/>
        <v>0</v>
      </c>
      <c r="AF47" s="210">
        <f t="shared" si="36"/>
        <v>4.3333333333357587</v>
      </c>
      <c r="AG47" s="210">
        <f t="shared" si="37"/>
        <v>0</v>
      </c>
    </row>
    <row r="48" spans="2:33" ht="15" customHeight="1" x14ac:dyDescent="0.3">
      <c r="B48" s="196" t="s">
        <v>84</v>
      </c>
      <c r="C48" s="197" t="s">
        <v>15</v>
      </c>
      <c r="D48" s="198" t="str">
        <f t="shared" si="19"/>
        <v>C</v>
      </c>
      <c r="E48" s="199">
        <v>44376.666666666664</v>
      </c>
      <c r="F48" s="200" t="s">
        <v>80</v>
      </c>
      <c r="G48" s="201">
        <v>35827.919999999998</v>
      </c>
      <c r="H48" s="201">
        <v>33517.919999999998</v>
      </c>
      <c r="I48" s="202">
        <f t="shared" si="20"/>
        <v>2310</v>
      </c>
      <c r="J48" s="201">
        <v>70477.919999999998</v>
      </c>
      <c r="K48" s="199">
        <v>44377.494444444441</v>
      </c>
      <c r="L48" s="201">
        <v>34635.46</v>
      </c>
      <c r="M48" s="203">
        <f t="shared" si="21"/>
        <v>-1192.46</v>
      </c>
      <c r="N48" s="204">
        <f t="shared" si="22"/>
        <v>-0.52</v>
      </c>
      <c r="O48" s="205">
        <f t="shared" si="23"/>
        <v>0</v>
      </c>
      <c r="P48" s="206">
        <f t="shared" si="24"/>
        <v>0</v>
      </c>
      <c r="Q48" s="206">
        <f t="shared" si="25"/>
        <v>-0.52</v>
      </c>
      <c r="R4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130850</v>
      </c>
      <c r="T4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131370</v>
      </c>
      <c r="U48" s="208">
        <f ca="1">IF(Tabla336106734825[[#This Row],[Equity]]&lt;Tabla336106734825[[#This Row],[Equity Peak]],(Tabla336106734825[[#This Row],[Equity Peak]]-Tabla336106734825[[#This Row],[Equity]])/Tabla336106734825[[#This Row],[Equity Peak]],"")</f>
        <v>3.9582857577833601E-3</v>
      </c>
      <c r="V48" s="209">
        <f t="shared" si="26"/>
        <v>0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-0.52</v>
      </c>
      <c r="AC48" s="205">
        <f t="shared" si="33"/>
        <v>0</v>
      </c>
      <c r="AD48" s="210">
        <f t="shared" si="34"/>
        <v>0.82777777777664596</v>
      </c>
      <c r="AE48" s="210">
        <f t="shared" si="35"/>
        <v>0</v>
      </c>
      <c r="AF48" s="210">
        <f t="shared" si="36"/>
        <v>0.82777777777664596</v>
      </c>
      <c r="AG48" s="210">
        <f t="shared" si="37"/>
        <v>0</v>
      </c>
    </row>
    <row r="49" spans="2:33" ht="15" customHeight="1" x14ac:dyDescent="0.3">
      <c r="B49" s="196" t="s">
        <v>84</v>
      </c>
      <c r="C49" s="197" t="s">
        <v>13</v>
      </c>
      <c r="D49" s="198" t="str">
        <f t="shared" si="19"/>
        <v>C</v>
      </c>
      <c r="E49" s="199">
        <v>44365.333333333336</v>
      </c>
      <c r="F49" s="200" t="s">
        <v>80</v>
      </c>
      <c r="G49" s="201">
        <v>37918.92</v>
      </c>
      <c r="H49" s="201">
        <v>39681.660000000003</v>
      </c>
      <c r="I49" s="202">
        <f t="shared" si="20"/>
        <v>1762.7400000000052</v>
      </c>
      <c r="J49" s="201">
        <v>11477.88</v>
      </c>
      <c r="K49" s="199">
        <v>44370.17291666667</v>
      </c>
      <c r="L49" s="201">
        <v>34330.35</v>
      </c>
      <c r="M49" s="203">
        <f t="shared" si="21"/>
        <v>3588.57</v>
      </c>
      <c r="N49" s="204">
        <f t="shared" si="22"/>
        <v>2.04</v>
      </c>
      <c r="O49" s="205">
        <f t="shared" si="23"/>
        <v>0</v>
      </c>
      <c r="P49" s="206">
        <f t="shared" si="24"/>
        <v>2.04</v>
      </c>
      <c r="Q49" s="206">
        <f t="shared" si="25"/>
        <v>0</v>
      </c>
      <c r="R4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4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131370</v>
      </c>
      <c r="T4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131370</v>
      </c>
      <c r="U49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49" s="209">
        <f t="shared" si="26"/>
        <v>0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2.04</v>
      </c>
      <c r="AC49" s="205">
        <f t="shared" si="33"/>
        <v>0</v>
      </c>
      <c r="AD49" s="210">
        <f t="shared" si="34"/>
        <v>4.8395833333343035</v>
      </c>
      <c r="AE49" s="210">
        <f t="shared" si="35"/>
        <v>4.8395833333343035</v>
      </c>
      <c r="AF49" s="210">
        <f t="shared" si="36"/>
        <v>0</v>
      </c>
      <c r="AG49" s="210">
        <f t="shared" si="37"/>
        <v>0</v>
      </c>
    </row>
    <row r="50" spans="2:33" ht="15" customHeight="1" x14ac:dyDescent="0.3">
      <c r="B50" s="196" t="s">
        <v>84</v>
      </c>
      <c r="C50" s="197" t="s">
        <v>15</v>
      </c>
      <c r="D50" s="198" t="str">
        <f t="shared" si="19"/>
        <v>C</v>
      </c>
      <c r="E50" s="199">
        <v>44357.666666666664</v>
      </c>
      <c r="F50" s="200" t="s">
        <v>80</v>
      </c>
      <c r="G50" s="201">
        <v>37761.39</v>
      </c>
      <c r="H50" s="201">
        <v>35022.230000000003</v>
      </c>
      <c r="I50" s="202">
        <f t="shared" si="20"/>
        <v>2739.1599999999962</v>
      </c>
      <c r="J50" s="201">
        <v>78848.75</v>
      </c>
      <c r="K50" s="199">
        <v>44364.856249999997</v>
      </c>
      <c r="L50" s="201">
        <v>37638.1</v>
      </c>
      <c r="M50" s="203">
        <f t="shared" si="21"/>
        <v>-123.29</v>
      </c>
      <c r="N50" s="204">
        <f t="shared" si="22"/>
        <v>-0.05</v>
      </c>
      <c r="O50" s="205">
        <f t="shared" si="23"/>
        <v>0</v>
      </c>
      <c r="P50" s="206">
        <f t="shared" si="24"/>
        <v>0</v>
      </c>
      <c r="Q50" s="206">
        <f t="shared" si="25"/>
        <v>-0.05</v>
      </c>
      <c r="R5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129330</v>
      </c>
      <c r="T5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129380</v>
      </c>
      <c r="U50" s="208">
        <f ca="1">IF(Tabla336106734825[[#This Row],[Equity]]&lt;Tabla336106734825[[#This Row],[Equity Peak]],(Tabla336106734825[[#This Row],[Equity Peak]]-Tabla336106734825[[#This Row],[Equity]])/Tabla336106734825[[#This Row],[Equity Peak]],"")</f>
        <v>3.8645849435770598E-4</v>
      </c>
      <c r="V50" s="209">
        <f t="shared" si="26"/>
        <v>0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-0.05</v>
      </c>
      <c r="AC50" s="205">
        <f t="shared" si="33"/>
        <v>0</v>
      </c>
      <c r="AD50" s="210">
        <f t="shared" si="34"/>
        <v>7.1895833333328483</v>
      </c>
      <c r="AE50" s="210">
        <f t="shared" si="35"/>
        <v>0</v>
      </c>
      <c r="AF50" s="210">
        <f t="shared" si="36"/>
        <v>7.1895833333328483</v>
      </c>
      <c r="AG50" s="210">
        <f t="shared" si="37"/>
        <v>0</v>
      </c>
    </row>
    <row r="51" spans="2:33" ht="15" customHeight="1" x14ac:dyDescent="0.3">
      <c r="B51" s="196" t="s">
        <v>84</v>
      </c>
      <c r="C51" s="197" t="s">
        <v>13</v>
      </c>
      <c r="D51" s="198" t="str">
        <f t="shared" si="19"/>
        <v>C</v>
      </c>
      <c r="E51" s="199">
        <v>44328.833333333336</v>
      </c>
      <c r="F51" s="200" t="s">
        <v>80</v>
      </c>
      <c r="G51" s="201">
        <v>55019.92</v>
      </c>
      <c r="H51" s="201">
        <v>58195.63</v>
      </c>
      <c r="I51" s="202">
        <f t="shared" si="20"/>
        <v>3175.7099999999991</v>
      </c>
      <c r="J51" s="201">
        <v>7384.21</v>
      </c>
      <c r="K51" s="199">
        <v>44336.681250000001</v>
      </c>
      <c r="L51" s="201">
        <v>42183.48</v>
      </c>
      <c r="M51" s="203">
        <f t="shared" si="21"/>
        <v>12836.44</v>
      </c>
      <c r="N51" s="204">
        <f t="shared" si="22"/>
        <v>4.04</v>
      </c>
      <c r="O51" s="205">
        <f t="shared" si="23"/>
        <v>0</v>
      </c>
      <c r="P51" s="206">
        <f t="shared" si="24"/>
        <v>4.04</v>
      </c>
      <c r="Q51" s="206">
        <f t="shared" si="25"/>
        <v>0</v>
      </c>
      <c r="R5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129380</v>
      </c>
      <c r="T5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129380</v>
      </c>
      <c r="U51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51" s="209">
        <f t="shared" si="26"/>
        <v>0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4.04</v>
      </c>
      <c r="AC51" s="205">
        <f t="shared" si="33"/>
        <v>0</v>
      </c>
      <c r="AD51" s="210">
        <f t="shared" si="34"/>
        <v>7.8479166666656965</v>
      </c>
      <c r="AE51" s="210">
        <f t="shared" si="35"/>
        <v>7.8479166666656965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84</v>
      </c>
      <c r="C52" s="197" t="s">
        <v>15</v>
      </c>
      <c r="D52" s="198" t="str">
        <f t="shared" si="19"/>
        <v>C</v>
      </c>
      <c r="E52" s="199">
        <v>44328.166666666664</v>
      </c>
      <c r="F52" s="200" t="s">
        <v>80</v>
      </c>
      <c r="G52" s="201">
        <v>57412.92</v>
      </c>
      <c r="H52" s="201">
        <v>54370.21</v>
      </c>
      <c r="I52" s="202">
        <f t="shared" si="20"/>
        <v>3042.7099999999991</v>
      </c>
      <c r="J52" s="201">
        <v>103053.63</v>
      </c>
      <c r="K52" s="199">
        <v>44328.79791666667</v>
      </c>
      <c r="L52" s="201">
        <v>55141.85</v>
      </c>
      <c r="M52" s="203">
        <f t="shared" si="21"/>
        <v>-2271.0700000000002</v>
      </c>
      <c r="N52" s="204">
        <f t="shared" si="22"/>
        <v>-0.75</v>
      </c>
      <c r="O52" s="205">
        <f t="shared" si="23"/>
        <v>0</v>
      </c>
      <c r="P52" s="206">
        <f t="shared" si="24"/>
        <v>0</v>
      </c>
      <c r="Q52" s="206">
        <f t="shared" si="25"/>
        <v>-0.75</v>
      </c>
      <c r="R5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125340</v>
      </c>
      <c r="T5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128380</v>
      </c>
      <c r="U52" s="208">
        <f ca="1">IF(Tabla336106734825[[#This Row],[Equity]]&lt;Tabla336106734825[[#This Row],[Equity Peak]],(Tabla336106734825[[#This Row],[Equity Peak]]-Tabla336106734825[[#This Row],[Equity]])/Tabla336106734825[[#This Row],[Equity Peak]],"")</f>
        <v>2.3679700887988785E-2</v>
      </c>
      <c r="V52" s="209">
        <f t="shared" si="26"/>
        <v>0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-0.75</v>
      </c>
      <c r="AC52" s="205">
        <f t="shared" si="33"/>
        <v>0</v>
      </c>
      <c r="AD52" s="210">
        <f t="shared" si="34"/>
        <v>0.63125000000582077</v>
      </c>
      <c r="AE52" s="210">
        <f t="shared" si="35"/>
        <v>0</v>
      </c>
      <c r="AF52" s="210">
        <f t="shared" si="36"/>
        <v>0.63125000000582077</v>
      </c>
      <c r="AG52" s="210">
        <f t="shared" si="37"/>
        <v>0</v>
      </c>
    </row>
    <row r="53" spans="2:33" ht="15" customHeight="1" x14ac:dyDescent="0.3">
      <c r="B53" s="196" t="s">
        <v>84</v>
      </c>
      <c r="C53" s="197" t="s">
        <v>13</v>
      </c>
      <c r="D53" s="198" t="str">
        <f t="shared" si="19"/>
        <v>C</v>
      </c>
      <c r="E53" s="199">
        <v>44327.333333333336</v>
      </c>
      <c r="F53" s="200" t="s">
        <v>80</v>
      </c>
      <c r="G53" s="201">
        <v>55370.92</v>
      </c>
      <c r="H53" s="201">
        <v>58408.06</v>
      </c>
      <c r="I53" s="202">
        <f t="shared" si="20"/>
        <v>3037.1399999999994</v>
      </c>
      <c r="J53" s="201">
        <v>9813.7800000000007</v>
      </c>
      <c r="K53" s="199">
        <v>44328.166666666664</v>
      </c>
      <c r="L53" s="201">
        <v>57412.92</v>
      </c>
      <c r="M53" s="203">
        <f t="shared" si="21"/>
        <v>-2042</v>
      </c>
      <c r="N53" s="204">
        <f t="shared" si="22"/>
        <v>-0.67</v>
      </c>
      <c r="O53" s="205">
        <f t="shared" si="23"/>
        <v>0</v>
      </c>
      <c r="P53" s="206">
        <f t="shared" si="24"/>
        <v>0</v>
      </c>
      <c r="Q53" s="206">
        <f t="shared" si="25"/>
        <v>-0.67</v>
      </c>
      <c r="R5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126090</v>
      </c>
      <c r="T5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128380</v>
      </c>
      <c r="U53" s="208">
        <f ca="1">IF(Tabla336106734825[[#This Row],[Equity]]&lt;Tabla336106734825[[#This Row],[Equity Peak]],(Tabla336106734825[[#This Row],[Equity Peak]]-Tabla336106734825[[#This Row],[Equity]])/Tabla336106734825[[#This Row],[Equity Peak]],"")</f>
        <v>1.7837669418912603E-2</v>
      </c>
      <c r="V53" s="209">
        <f t="shared" si="26"/>
        <v>0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-0.67</v>
      </c>
      <c r="AC53" s="205">
        <f t="shared" si="33"/>
        <v>0</v>
      </c>
      <c r="AD53" s="210">
        <f t="shared" si="34"/>
        <v>0.83333333332848269</v>
      </c>
      <c r="AE53" s="210">
        <f t="shared" si="35"/>
        <v>0</v>
      </c>
      <c r="AF53" s="210">
        <f t="shared" si="36"/>
        <v>0.83333333332848269</v>
      </c>
      <c r="AG53" s="210">
        <f t="shared" si="37"/>
        <v>0</v>
      </c>
    </row>
    <row r="54" spans="2:33" ht="15" customHeight="1" x14ac:dyDescent="0.3">
      <c r="B54" s="196" t="s">
        <v>84</v>
      </c>
      <c r="C54" s="197" t="s">
        <v>15</v>
      </c>
      <c r="D54" s="198" t="str">
        <f t="shared" si="19"/>
        <v>C</v>
      </c>
      <c r="E54" s="199">
        <v>44321.833333333336</v>
      </c>
      <c r="F54" s="200" t="s">
        <v>80</v>
      </c>
      <c r="G54" s="201">
        <v>57470.92</v>
      </c>
      <c r="H54" s="201">
        <v>54409.49</v>
      </c>
      <c r="I54" s="202">
        <f t="shared" si="20"/>
        <v>3061.4300000000003</v>
      </c>
      <c r="J54" s="201">
        <v>103392.35</v>
      </c>
      <c r="K54" s="199">
        <v>44322.902083333334</v>
      </c>
      <c r="L54" s="201">
        <v>55619.53</v>
      </c>
      <c r="M54" s="203">
        <f t="shared" si="21"/>
        <v>-1851.39</v>
      </c>
      <c r="N54" s="204">
        <f t="shared" si="22"/>
        <v>-0.6</v>
      </c>
      <c r="O54" s="205">
        <f t="shared" si="23"/>
        <v>0</v>
      </c>
      <c r="P54" s="206">
        <f t="shared" si="24"/>
        <v>0</v>
      </c>
      <c r="Q54" s="206">
        <f t="shared" si="25"/>
        <v>-0.6</v>
      </c>
      <c r="R5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126760</v>
      </c>
      <c r="T5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128380</v>
      </c>
      <c r="U54" s="208">
        <f ca="1">IF(Tabla336106734825[[#This Row],[Equity]]&lt;Tabla336106734825[[#This Row],[Equity Peak]],(Tabla336106734825[[#This Row],[Equity Peak]]-Tabla336106734825[[#This Row],[Equity]])/Tabla336106734825[[#This Row],[Equity Peak]],"")</f>
        <v>1.2618787973204549E-2</v>
      </c>
      <c r="V54" s="209">
        <f t="shared" si="26"/>
        <v>0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-0.6</v>
      </c>
      <c r="AC54" s="205">
        <f t="shared" si="33"/>
        <v>0</v>
      </c>
      <c r="AD54" s="210">
        <f t="shared" si="34"/>
        <v>1.0687499999985448</v>
      </c>
      <c r="AE54" s="210">
        <f t="shared" si="35"/>
        <v>0</v>
      </c>
      <c r="AF54" s="210">
        <f t="shared" si="36"/>
        <v>1.0687499999985448</v>
      </c>
      <c r="AG54" s="210">
        <f t="shared" si="37"/>
        <v>0</v>
      </c>
    </row>
    <row r="55" spans="2:33" ht="15" customHeight="1" x14ac:dyDescent="0.3">
      <c r="B55" s="196" t="s">
        <v>84</v>
      </c>
      <c r="C55" s="197" t="s">
        <v>13</v>
      </c>
      <c r="D55" s="198" t="str">
        <f t="shared" si="19"/>
        <v>C</v>
      </c>
      <c r="E55" s="199">
        <v>44320.833333333336</v>
      </c>
      <c r="F55" s="200" t="s">
        <v>80</v>
      </c>
      <c r="G55" s="201">
        <v>53842.92</v>
      </c>
      <c r="H55" s="201">
        <v>56819.78</v>
      </c>
      <c r="I55" s="202">
        <f t="shared" si="20"/>
        <v>2976.8600000000006</v>
      </c>
      <c r="J55" s="201">
        <v>9190.06</v>
      </c>
      <c r="K55" s="199">
        <v>44321.683333333334</v>
      </c>
      <c r="L55" s="201">
        <v>56074.559999999998</v>
      </c>
      <c r="M55" s="203">
        <f t="shared" si="21"/>
        <v>-2231.64</v>
      </c>
      <c r="N55" s="204">
        <f t="shared" si="22"/>
        <v>-0.75</v>
      </c>
      <c r="O55" s="205">
        <f t="shared" si="23"/>
        <v>0</v>
      </c>
      <c r="P55" s="206">
        <f t="shared" si="24"/>
        <v>0</v>
      </c>
      <c r="Q55" s="206">
        <f t="shared" si="25"/>
        <v>-0.75</v>
      </c>
      <c r="R5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127360</v>
      </c>
      <c r="T5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128380</v>
      </c>
      <c r="U55" s="208">
        <f ca="1">IF(Tabla336106734825[[#This Row],[Equity]]&lt;Tabla336106734825[[#This Row],[Equity Peak]],(Tabla336106734825[[#This Row],[Equity Peak]]-Tabla336106734825[[#This Row],[Equity]])/Tabla336106734825[[#This Row],[Equity Peak]],"")</f>
        <v>7.9451627979436057E-3</v>
      </c>
      <c r="V55" s="209">
        <f t="shared" si="26"/>
        <v>0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-0.75</v>
      </c>
      <c r="AC55" s="205">
        <f t="shared" si="33"/>
        <v>0</v>
      </c>
      <c r="AD55" s="210">
        <f t="shared" si="34"/>
        <v>0.84999999999854481</v>
      </c>
      <c r="AE55" s="210">
        <f t="shared" si="35"/>
        <v>0</v>
      </c>
      <c r="AF55" s="210">
        <f t="shared" si="36"/>
        <v>0.84999999999854481</v>
      </c>
      <c r="AG55" s="210">
        <f t="shared" si="37"/>
        <v>0</v>
      </c>
    </row>
    <row r="56" spans="2:33" ht="15" customHeight="1" x14ac:dyDescent="0.3">
      <c r="B56" s="196" t="s">
        <v>84</v>
      </c>
      <c r="C56" s="197" t="s">
        <v>15</v>
      </c>
      <c r="D56" s="198" t="str">
        <f t="shared" ref="D56:D70" si="38">IF(E56&lt;&gt;"",IF(K56&lt;&gt;"","C","O"),"")</f>
        <v>C</v>
      </c>
      <c r="E56" s="199">
        <v>44316.833333333336</v>
      </c>
      <c r="F56" s="200" t="s">
        <v>80</v>
      </c>
      <c r="G56" s="201">
        <v>56738.92</v>
      </c>
      <c r="H56" s="201">
        <v>54178.92</v>
      </c>
      <c r="I56" s="202">
        <f t="shared" ref="I56:I70" si="39">ABS(G56-H56)</f>
        <v>2560</v>
      </c>
      <c r="J56" s="201">
        <v>95138.92</v>
      </c>
      <c r="K56" s="199">
        <v>44320.15902777778</v>
      </c>
      <c r="L56" s="201">
        <v>56045.63</v>
      </c>
      <c r="M56" s="203">
        <f t="shared" ref="M56:M70" si="40">ROUND(IF(C56="L",(L56-G56),(G56-L56)),4)</f>
        <v>-693.29</v>
      </c>
      <c r="N56" s="204">
        <f t="shared" ref="N56:N70" si="41">IFERROR(ROUND((M56/I56),2),"")</f>
        <v>-0.27</v>
      </c>
      <c r="O56" s="205">
        <f t="shared" ref="O56:O70" si="42">IF(D56="O",IF(N56&lt;0,N56,0),0)</f>
        <v>0</v>
      </c>
      <c r="P56" s="206">
        <f t="shared" ref="P56:P70" si="43">IF(N56&gt;= 0,N56,0)</f>
        <v>0</v>
      </c>
      <c r="Q56" s="206">
        <f t="shared" ref="Q56:Q70" si="44">IF(N56&lt;0,N56,0)</f>
        <v>-0.27</v>
      </c>
      <c r="R5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128110</v>
      </c>
      <c r="T5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128380</v>
      </c>
      <c r="U56" s="208">
        <f ca="1">IF(Tabla336106734825[[#This Row],[Equity]]&lt;Tabla336106734825[[#This Row],[Equity Peak]],(Tabla336106734825[[#This Row],[Equity Peak]]-Tabla336106734825[[#This Row],[Equity]])/Tabla336106734825[[#This Row],[Equity Peak]],"")</f>
        <v>2.1031313288674249E-3</v>
      </c>
      <c r="V56" s="209">
        <f t="shared" ref="V56:V70" si="45">IF(B56="FX",N56,0)</f>
        <v>0</v>
      </c>
      <c r="W56" s="209">
        <f t="shared" ref="W56:W70" si="46">IF(D56="O",IF(V56&lt;0,V56,0),0)</f>
        <v>0</v>
      </c>
      <c r="X56" s="209">
        <f t="shared" ref="X56:X70" si="47">IF(B56="COM",N56,0)</f>
        <v>0</v>
      </c>
      <c r="Y56" s="209">
        <f t="shared" ref="Y56:Y70" si="48">IF(D56="O",IF(X56&lt;0,X56,0),0)</f>
        <v>0</v>
      </c>
      <c r="Z56" s="209">
        <f t="shared" ref="Z56:Z70" si="49">IF(B56="IND",N56,0)</f>
        <v>0</v>
      </c>
      <c r="AA56" s="205">
        <f t="shared" ref="AA56:AA70" si="50">IF(D56="O",IF(Z56&lt;0,Z56,0),0)</f>
        <v>0</v>
      </c>
      <c r="AB56" s="209">
        <f t="shared" ref="AB56:AB70" si="51">IF(B56="CRYPTO",N56,0)</f>
        <v>-0.27</v>
      </c>
      <c r="AC56" s="205">
        <f t="shared" ref="AC56:AC70" si="52">IF(D56="O",IF(AB56&lt;0,AB56,0),0)</f>
        <v>0</v>
      </c>
      <c r="AD56" s="210">
        <f t="shared" ref="AD56:AD70" si="53">IF(K56&lt;&gt;"",K56-E56,0)</f>
        <v>3.3256944444437977</v>
      </c>
      <c r="AE56" s="210">
        <f t="shared" ref="AE56:AE70" si="54">IF(N56&gt;0,AD56,0)</f>
        <v>0</v>
      </c>
      <c r="AF56" s="210">
        <f t="shared" ref="AF56:AF70" si="55">IF(N56&lt;0,AD56,0)</f>
        <v>3.3256944444437977</v>
      </c>
      <c r="AG56" s="210">
        <f t="shared" ref="AG56:AG70" si="56">IF(N56=0,AD56,0)</f>
        <v>0</v>
      </c>
    </row>
    <row r="57" spans="2:33" ht="15" customHeight="1" x14ac:dyDescent="0.3">
      <c r="B57" s="196" t="s">
        <v>84</v>
      </c>
      <c r="C57" s="197" t="s">
        <v>13</v>
      </c>
      <c r="D57" s="198" t="str">
        <f t="shared" si="38"/>
        <v>C</v>
      </c>
      <c r="E57" s="199">
        <v>44305.166666666664</v>
      </c>
      <c r="F57" s="200" t="s">
        <v>80</v>
      </c>
      <c r="G57" s="201">
        <v>56876.92</v>
      </c>
      <c r="H57" s="201">
        <v>60067.06</v>
      </c>
      <c r="I57" s="202">
        <f t="shared" si="39"/>
        <v>3190.1399999999994</v>
      </c>
      <c r="J57" s="201">
        <v>9024.7800000000007</v>
      </c>
      <c r="K57" s="199">
        <v>44312.869444444441</v>
      </c>
      <c r="L57" s="201">
        <v>54293.99</v>
      </c>
      <c r="M57" s="203">
        <f t="shared" si="40"/>
        <v>2582.9299999999998</v>
      </c>
      <c r="N57" s="204">
        <f t="shared" si="41"/>
        <v>0.81</v>
      </c>
      <c r="O57" s="205">
        <f t="shared" si="42"/>
        <v>0</v>
      </c>
      <c r="P57" s="206">
        <f t="shared" si="43"/>
        <v>0.81</v>
      </c>
      <c r="Q57" s="206">
        <f t="shared" si="44"/>
        <v>0</v>
      </c>
      <c r="R5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128380</v>
      </c>
      <c r="T5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128380</v>
      </c>
      <c r="U57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57" s="209">
        <f t="shared" si="45"/>
        <v>0</v>
      </c>
      <c r="W57" s="209">
        <f t="shared" si="46"/>
        <v>0</v>
      </c>
      <c r="X57" s="209">
        <f t="shared" si="47"/>
        <v>0</v>
      </c>
      <c r="Y57" s="209">
        <f t="shared" si="48"/>
        <v>0</v>
      </c>
      <c r="Z57" s="209">
        <f t="shared" si="49"/>
        <v>0</v>
      </c>
      <c r="AA57" s="205">
        <f t="shared" si="50"/>
        <v>0</v>
      </c>
      <c r="AB57" s="209">
        <f t="shared" si="51"/>
        <v>0.81</v>
      </c>
      <c r="AC57" s="205">
        <f t="shared" si="52"/>
        <v>0</v>
      </c>
      <c r="AD57" s="210">
        <f t="shared" si="53"/>
        <v>7.702777777776646</v>
      </c>
      <c r="AE57" s="210">
        <f t="shared" si="54"/>
        <v>7.702777777776646</v>
      </c>
      <c r="AF57" s="210">
        <f t="shared" si="55"/>
        <v>0</v>
      </c>
      <c r="AG57" s="210">
        <f t="shared" si="56"/>
        <v>0</v>
      </c>
    </row>
    <row r="58" spans="2:33" ht="15" customHeight="1" x14ac:dyDescent="0.3">
      <c r="B58" s="196" t="s">
        <v>84</v>
      </c>
      <c r="C58" s="197" t="s">
        <v>15</v>
      </c>
      <c r="D58" s="198" t="str">
        <f t="shared" si="38"/>
        <v>C</v>
      </c>
      <c r="E58" s="199">
        <v>44295.017361111109</v>
      </c>
      <c r="F58" s="200" t="s">
        <v>80</v>
      </c>
      <c r="G58" s="201">
        <v>57560.46</v>
      </c>
      <c r="H58" s="201">
        <v>55634.89</v>
      </c>
      <c r="I58" s="202">
        <f t="shared" si="39"/>
        <v>1925.5699999999997</v>
      </c>
      <c r="J58" s="201">
        <v>86444.03</v>
      </c>
      <c r="K58" s="199">
        <v>44302.576388888891</v>
      </c>
      <c r="L58" s="201">
        <v>60693.919999999998</v>
      </c>
      <c r="M58" s="203">
        <f t="shared" si="40"/>
        <v>3133.46</v>
      </c>
      <c r="N58" s="204">
        <f t="shared" si="41"/>
        <v>1.63</v>
      </c>
      <c r="O58" s="205">
        <f t="shared" si="42"/>
        <v>0</v>
      </c>
      <c r="P58" s="206">
        <f t="shared" si="43"/>
        <v>1.63</v>
      </c>
      <c r="Q58" s="206">
        <f t="shared" si="44"/>
        <v>0</v>
      </c>
      <c r="R5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127570</v>
      </c>
      <c r="T5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58" s="208">
        <f ca="1">IF(Tabla336106734825[[#This Row],[Equity]]&lt;Tabla336106734825[[#This Row],[Equity Peak]],(Tabla336106734825[[#This Row],[Equity Peak]]-Tabla336106734825[[#This Row],[Equity]])/Tabla336106734825[[#This Row],[Equity Peak]],"")</f>
        <v>3.2815063676849754E-3</v>
      </c>
      <c r="V58" s="209">
        <f t="shared" si="45"/>
        <v>0</v>
      </c>
      <c r="W58" s="209">
        <f t="shared" si="46"/>
        <v>0</v>
      </c>
      <c r="X58" s="209">
        <f t="shared" si="47"/>
        <v>0</v>
      </c>
      <c r="Y58" s="209">
        <f t="shared" si="48"/>
        <v>0</v>
      </c>
      <c r="Z58" s="209">
        <f t="shared" si="49"/>
        <v>0</v>
      </c>
      <c r="AA58" s="205">
        <f t="shared" si="50"/>
        <v>0</v>
      </c>
      <c r="AB58" s="209">
        <f t="shared" si="51"/>
        <v>1.63</v>
      </c>
      <c r="AC58" s="205">
        <f t="shared" si="52"/>
        <v>0</v>
      </c>
      <c r="AD58" s="210">
        <f t="shared" si="53"/>
        <v>7.5590277777810115</v>
      </c>
      <c r="AE58" s="210">
        <f t="shared" si="54"/>
        <v>7.5590277777810115</v>
      </c>
      <c r="AF58" s="210">
        <f t="shared" si="55"/>
        <v>0</v>
      </c>
      <c r="AG58" s="210">
        <f t="shared" si="56"/>
        <v>0</v>
      </c>
    </row>
    <row r="59" spans="2:33" ht="15" customHeight="1" x14ac:dyDescent="0.3">
      <c r="B59" s="196" t="s">
        <v>84</v>
      </c>
      <c r="C59" s="197" t="s">
        <v>13</v>
      </c>
      <c r="D59" s="198" t="str">
        <f t="shared" si="38"/>
        <v>C</v>
      </c>
      <c r="E59" s="199">
        <v>44293.666666666664</v>
      </c>
      <c r="F59" s="200" t="s">
        <v>80</v>
      </c>
      <c r="G59" s="201">
        <v>56477.919999999998</v>
      </c>
      <c r="H59" s="201">
        <v>58451.21</v>
      </c>
      <c r="I59" s="202">
        <f t="shared" si="39"/>
        <v>1973.2900000000009</v>
      </c>
      <c r="J59" s="201">
        <v>26878.63</v>
      </c>
      <c r="K59" s="199">
        <v>44294.743055555555</v>
      </c>
      <c r="L59" s="201">
        <v>57658.46</v>
      </c>
      <c r="M59" s="203">
        <f t="shared" si="40"/>
        <v>-1180.54</v>
      </c>
      <c r="N59" s="204">
        <f t="shared" si="41"/>
        <v>-0.6</v>
      </c>
      <c r="O59" s="205">
        <f t="shared" si="42"/>
        <v>0</v>
      </c>
      <c r="P59" s="206">
        <f t="shared" si="43"/>
        <v>0</v>
      </c>
      <c r="Q59" s="206">
        <f t="shared" si="44"/>
        <v>-0.6</v>
      </c>
      <c r="R5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5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125940</v>
      </c>
      <c r="T5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59" s="208">
        <f ca="1">IF(Tabla336106734825[[#This Row],[Equity]]&lt;Tabla336106734825[[#This Row],[Equity Peak]],(Tabla336106734825[[#This Row],[Equity Peak]]-Tabla336106734825[[#This Row],[Equity]])/Tabla336106734825[[#This Row],[Equity Peak]],"")</f>
        <v>1.6016876318462381E-2</v>
      </c>
      <c r="V59" s="209">
        <f t="shared" si="45"/>
        <v>0</v>
      </c>
      <c r="W59" s="209">
        <f t="shared" si="46"/>
        <v>0</v>
      </c>
      <c r="X59" s="209">
        <f t="shared" si="47"/>
        <v>0</v>
      </c>
      <c r="Y59" s="209">
        <f t="shared" si="48"/>
        <v>0</v>
      </c>
      <c r="Z59" s="209">
        <f t="shared" si="49"/>
        <v>0</v>
      </c>
      <c r="AA59" s="205">
        <f t="shared" si="50"/>
        <v>0</v>
      </c>
      <c r="AB59" s="209">
        <f t="shared" si="51"/>
        <v>-0.6</v>
      </c>
      <c r="AC59" s="205">
        <f t="shared" si="52"/>
        <v>0</v>
      </c>
      <c r="AD59" s="210">
        <f t="shared" si="53"/>
        <v>1.0763888888905058</v>
      </c>
      <c r="AE59" s="210">
        <f t="shared" si="54"/>
        <v>0</v>
      </c>
      <c r="AF59" s="210">
        <f t="shared" si="55"/>
        <v>1.0763888888905058</v>
      </c>
      <c r="AG59" s="210">
        <f t="shared" si="56"/>
        <v>0</v>
      </c>
    </row>
    <row r="60" spans="2:33" ht="15" customHeight="1" x14ac:dyDescent="0.3">
      <c r="B60" s="196" t="s">
        <v>84</v>
      </c>
      <c r="C60" s="197" t="s">
        <v>15</v>
      </c>
      <c r="D60" s="198" t="str">
        <f t="shared" si="38"/>
        <v>C</v>
      </c>
      <c r="E60" s="199">
        <v>44284.5</v>
      </c>
      <c r="F60" s="200" t="s">
        <v>80</v>
      </c>
      <c r="G60" s="201">
        <v>57098.92</v>
      </c>
      <c r="H60" s="201">
        <v>54151.78</v>
      </c>
      <c r="I60" s="202">
        <f t="shared" si="39"/>
        <v>2947.1399999999994</v>
      </c>
      <c r="J60" s="201">
        <v>101306.06</v>
      </c>
      <c r="K60" s="199">
        <v>44286.441666666666</v>
      </c>
      <c r="L60" s="201">
        <v>57083.6</v>
      </c>
      <c r="M60" s="203">
        <f t="shared" si="40"/>
        <v>-15.32</v>
      </c>
      <c r="N60" s="204">
        <f t="shared" si="41"/>
        <v>-0.01</v>
      </c>
      <c r="O60" s="205">
        <f t="shared" si="42"/>
        <v>0</v>
      </c>
      <c r="P60" s="206">
        <f t="shared" si="43"/>
        <v>0</v>
      </c>
      <c r="Q60" s="206">
        <f t="shared" si="44"/>
        <v>-0.01</v>
      </c>
      <c r="R6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126540</v>
      </c>
      <c r="T6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60" s="208">
        <f ca="1">IF(Tabla336106734825[[#This Row],[Equity]]&lt;Tabla336106734825[[#This Row],[Equity Peak]],(Tabla336106734825[[#This Row],[Equity Peak]]-Tabla336106734825[[#This Row],[Equity]])/Tabla336106734825[[#This Row],[Equity Peak]],"")</f>
        <v>1.1329010078912415E-2</v>
      </c>
      <c r="V60" s="209">
        <f t="shared" si="45"/>
        <v>0</v>
      </c>
      <c r="W60" s="209">
        <f t="shared" si="46"/>
        <v>0</v>
      </c>
      <c r="X60" s="209">
        <f t="shared" si="47"/>
        <v>0</v>
      </c>
      <c r="Y60" s="209">
        <f t="shared" si="48"/>
        <v>0</v>
      </c>
      <c r="Z60" s="209">
        <f t="shared" si="49"/>
        <v>0</v>
      </c>
      <c r="AA60" s="205">
        <f t="shared" si="50"/>
        <v>0</v>
      </c>
      <c r="AB60" s="209">
        <f t="shared" si="51"/>
        <v>-0.01</v>
      </c>
      <c r="AC60" s="205">
        <f t="shared" si="52"/>
        <v>0</v>
      </c>
      <c r="AD60" s="210">
        <f t="shared" si="53"/>
        <v>1.9416666666656965</v>
      </c>
      <c r="AE60" s="210">
        <f t="shared" si="54"/>
        <v>0</v>
      </c>
      <c r="AF60" s="210">
        <f t="shared" si="55"/>
        <v>1.9416666666656965</v>
      </c>
      <c r="AG60" s="210">
        <f t="shared" si="56"/>
        <v>0</v>
      </c>
    </row>
    <row r="61" spans="2:33" ht="15" customHeight="1" x14ac:dyDescent="0.3">
      <c r="B61" s="196" t="s">
        <v>84</v>
      </c>
      <c r="C61" s="197" t="s">
        <v>13</v>
      </c>
      <c r="D61" s="198" t="str">
        <f t="shared" si="38"/>
        <v>C</v>
      </c>
      <c r="E61" s="199">
        <v>44280.017361111109</v>
      </c>
      <c r="F61" s="200" t="s">
        <v>80</v>
      </c>
      <c r="G61" s="201">
        <v>53916.32</v>
      </c>
      <c r="H61" s="201">
        <v>57142.03</v>
      </c>
      <c r="I61" s="202">
        <f t="shared" si="39"/>
        <v>3225.7099999999991</v>
      </c>
      <c r="J61" s="201">
        <v>5530.61</v>
      </c>
      <c r="K61" s="199">
        <v>44284</v>
      </c>
      <c r="L61" s="201">
        <v>54551.42</v>
      </c>
      <c r="M61" s="203">
        <f t="shared" si="40"/>
        <v>-635.1</v>
      </c>
      <c r="N61" s="204">
        <f t="shared" si="41"/>
        <v>-0.2</v>
      </c>
      <c r="O61" s="205">
        <f t="shared" si="42"/>
        <v>0</v>
      </c>
      <c r="P61" s="206">
        <f t="shared" si="43"/>
        <v>0</v>
      </c>
      <c r="Q61" s="206">
        <f t="shared" si="44"/>
        <v>-0.2</v>
      </c>
      <c r="R6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126550</v>
      </c>
      <c r="T6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61" s="208">
        <f ca="1">IF(Tabla336106734825[[#This Row],[Equity]]&lt;Tabla336106734825[[#This Row],[Equity Peak]],(Tabla336106734825[[#This Row],[Equity Peak]]-Tabla336106734825[[#This Row],[Equity]])/Tabla336106734825[[#This Row],[Equity Peak]],"")</f>
        <v>1.1250878974919916E-2</v>
      </c>
      <c r="V61" s="209">
        <f t="shared" si="45"/>
        <v>0</v>
      </c>
      <c r="W61" s="209">
        <f t="shared" si="46"/>
        <v>0</v>
      </c>
      <c r="X61" s="209">
        <f t="shared" si="47"/>
        <v>0</v>
      </c>
      <c r="Y61" s="209">
        <f t="shared" si="48"/>
        <v>0</v>
      </c>
      <c r="Z61" s="209">
        <f t="shared" si="49"/>
        <v>0</v>
      </c>
      <c r="AA61" s="205">
        <f t="shared" si="50"/>
        <v>0</v>
      </c>
      <c r="AB61" s="209">
        <f t="shared" si="51"/>
        <v>-0.2</v>
      </c>
      <c r="AC61" s="205">
        <f t="shared" si="52"/>
        <v>0</v>
      </c>
      <c r="AD61" s="210">
        <f t="shared" si="53"/>
        <v>3.9826388888905058</v>
      </c>
      <c r="AE61" s="210">
        <f t="shared" si="54"/>
        <v>0</v>
      </c>
      <c r="AF61" s="210">
        <f t="shared" si="55"/>
        <v>3.9826388888905058</v>
      </c>
      <c r="AG61" s="210">
        <f t="shared" si="56"/>
        <v>0</v>
      </c>
    </row>
    <row r="62" spans="2:33" ht="15" customHeight="1" x14ac:dyDescent="0.3">
      <c r="B62" s="196" t="s">
        <v>84</v>
      </c>
      <c r="C62" s="197" t="s">
        <v>15</v>
      </c>
      <c r="D62" s="198" t="str">
        <f t="shared" si="38"/>
        <v>C</v>
      </c>
      <c r="E62" s="199">
        <v>44279.666666666664</v>
      </c>
      <c r="F62" s="200" t="s">
        <v>80</v>
      </c>
      <c r="G62" s="201">
        <v>56913.919999999998</v>
      </c>
      <c r="H62" s="201">
        <v>54011.78</v>
      </c>
      <c r="I62" s="202">
        <f t="shared" si="39"/>
        <v>2902.1399999999994</v>
      </c>
      <c r="J62" s="201">
        <v>100446.06</v>
      </c>
      <c r="K62" s="199">
        <v>44279.911805555559</v>
      </c>
      <c r="L62" s="201">
        <v>54712.31</v>
      </c>
      <c r="M62" s="203">
        <f t="shared" si="40"/>
        <v>-2201.61</v>
      </c>
      <c r="N62" s="204">
        <f t="shared" si="41"/>
        <v>-0.76</v>
      </c>
      <c r="O62" s="205">
        <f t="shared" si="42"/>
        <v>0</v>
      </c>
      <c r="P62" s="206">
        <f t="shared" si="43"/>
        <v>0</v>
      </c>
      <c r="Q62" s="206">
        <f t="shared" si="44"/>
        <v>-0.76</v>
      </c>
      <c r="R6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126750</v>
      </c>
      <c r="T6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62" s="208">
        <f ca="1">IF(Tabla336106734825[[#This Row],[Equity]]&lt;Tabla336106734825[[#This Row],[Equity Peak]],(Tabla336106734825[[#This Row],[Equity Peak]]-Tabla336106734825[[#This Row],[Equity]])/Tabla336106734825[[#This Row],[Equity Peak]],"")</f>
        <v>9.6882568950699272E-3</v>
      </c>
      <c r="V62" s="209">
        <f t="shared" si="45"/>
        <v>0</v>
      </c>
      <c r="W62" s="209">
        <f t="shared" si="46"/>
        <v>0</v>
      </c>
      <c r="X62" s="209">
        <f t="shared" si="47"/>
        <v>0</v>
      </c>
      <c r="Y62" s="209">
        <f t="shared" si="48"/>
        <v>0</v>
      </c>
      <c r="Z62" s="209">
        <f t="shared" si="49"/>
        <v>0</v>
      </c>
      <c r="AA62" s="205">
        <f t="shared" si="50"/>
        <v>0</v>
      </c>
      <c r="AB62" s="209">
        <f t="shared" si="51"/>
        <v>-0.76</v>
      </c>
      <c r="AC62" s="205">
        <f t="shared" si="52"/>
        <v>0</v>
      </c>
      <c r="AD62" s="210">
        <f t="shared" si="53"/>
        <v>0.24513888889487134</v>
      </c>
      <c r="AE62" s="210">
        <f t="shared" si="54"/>
        <v>0</v>
      </c>
      <c r="AF62" s="210">
        <f t="shared" si="55"/>
        <v>0.24513888889487134</v>
      </c>
      <c r="AG62" s="210">
        <f t="shared" si="56"/>
        <v>0</v>
      </c>
    </row>
    <row r="63" spans="2:33" ht="15" customHeight="1" x14ac:dyDescent="0.3">
      <c r="B63" s="196" t="s">
        <v>84</v>
      </c>
      <c r="C63" s="197" t="s">
        <v>13</v>
      </c>
      <c r="D63" s="198" t="str">
        <f t="shared" si="38"/>
        <v>C</v>
      </c>
      <c r="E63" s="199">
        <v>44278.333333333336</v>
      </c>
      <c r="F63" s="200" t="s">
        <v>80</v>
      </c>
      <c r="G63" s="201">
        <v>54423.92</v>
      </c>
      <c r="H63" s="201">
        <v>57403.06</v>
      </c>
      <c r="I63" s="202">
        <f t="shared" si="39"/>
        <v>2979.1399999999994</v>
      </c>
      <c r="J63" s="201">
        <v>9736.7800000000007</v>
      </c>
      <c r="K63" s="199">
        <v>44279.436805555553</v>
      </c>
      <c r="L63" s="201">
        <v>55865.21</v>
      </c>
      <c r="M63" s="203">
        <f t="shared" si="40"/>
        <v>-1441.29</v>
      </c>
      <c r="N63" s="204">
        <f t="shared" si="41"/>
        <v>-0.48</v>
      </c>
      <c r="O63" s="205">
        <f t="shared" si="42"/>
        <v>0</v>
      </c>
      <c r="P63" s="206">
        <f t="shared" si="43"/>
        <v>0</v>
      </c>
      <c r="Q63" s="206">
        <f t="shared" si="44"/>
        <v>-0.48</v>
      </c>
      <c r="R6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127510</v>
      </c>
      <c r="T6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63" s="208">
        <f ca="1">IF(Tabla336106734825[[#This Row],[Equity]]&lt;Tabla336106734825[[#This Row],[Equity Peak]],(Tabla336106734825[[#This Row],[Equity Peak]]-Tabla336106734825[[#This Row],[Equity]])/Tabla336106734825[[#This Row],[Equity Peak]],"")</f>
        <v>3.7502929916399721E-3</v>
      </c>
      <c r="V63" s="209">
        <f t="shared" si="45"/>
        <v>0</v>
      </c>
      <c r="W63" s="209">
        <f t="shared" si="46"/>
        <v>0</v>
      </c>
      <c r="X63" s="209">
        <f t="shared" si="47"/>
        <v>0</v>
      </c>
      <c r="Y63" s="209">
        <f t="shared" si="48"/>
        <v>0</v>
      </c>
      <c r="Z63" s="209">
        <f t="shared" si="49"/>
        <v>0</v>
      </c>
      <c r="AA63" s="205">
        <f t="shared" si="50"/>
        <v>0</v>
      </c>
      <c r="AB63" s="209">
        <f t="shared" si="51"/>
        <v>-0.48</v>
      </c>
      <c r="AC63" s="205">
        <f t="shared" si="52"/>
        <v>0</v>
      </c>
      <c r="AD63" s="210">
        <f t="shared" si="53"/>
        <v>1.1034722222175333</v>
      </c>
      <c r="AE63" s="210">
        <f t="shared" si="54"/>
        <v>0</v>
      </c>
      <c r="AF63" s="210">
        <f t="shared" si="55"/>
        <v>1.1034722222175333</v>
      </c>
      <c r="AG63" s="210">
        <f t="shared" si="56"/>
        <v>0</v>
      </c>
    </row>
    <row r="64" spans="2:33" ht="15" customHeight="1" x14ac:dyDescent="0.3">
      <c r="B64" s="196" t="s">
        <v>84</v>
      </c>
      <c r="C64" s="197" t="s">
        <v>15</v>
      </c>
      <c r="D64" s="198" t="str">
        <f t="shared" si="38"/>
        <v>C</v>
      </c>
      <c r="E64" s="199">
        <v>44263.166666666664</v>
      </c>
      <c r="F64" s="200" t="s">
        <v>80</v>
      </c>
      <c r="G64" s="201">
        <v>51561.919999999998</v>
      </c>
      <c r="H64" s="201">
        <v>48103.28</v>
      </c>
      <c r="I64" s="202">
        <f t="shared" si="39"/>
        <v>3458.6399999999994</v>
      </c>
      <c r="J64" s="201">
        <v>103441.56</v>
      </c>
      <c r="K64" s="199">
        <v>44271.106249999997</v>
      </c>
      <c r="L64" s="201">
        <v>54411.71</v>
      </c>
      <c r="M64" s="203">
        <f t="shared" si="40"/>
        <v>2849.79</v>
      </c>
      <c r="N64" s="204">
        <f t="shared" si="41"/>
        <v>0.82</v>
      </c>
      <c r="O64" s="205">
        <f t="shared" si="42"/>
        <v>0</v>
      </c>
      <c r="P64" s="206">
        <f t="shared" si="43"/>
        <v>0.82</v>
      </c>
      <c r="Q64" s="206">
        <f t="shared" si="44"/>
        <v>0</v>
      </c>
      <c r="R6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127990</v>
      </c>
      <c r="T6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127990</v>
      </c>
      <c r="U64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64" s="209">
        <f t="shared" si="45"/>
        <v>0</v>
      </c>
      <c r="W64" s="209">
        <f t="shared" si="46"/>
        <v>0</v>
      </c>
      <c r="X64" s="209">
        <f t="shared" si="47"/>
        <v>0</v>
      </c>
      <c r="Y64" s="209">
        <f t="shared" si="48"/>
        <v>0</v>
      </c>
      <c r="Z64" s="209">
        <f t="shared" si="49"/>
        <v>0</v>
      </c>
      <c r="AA64" s="205">
        <f t="shared" si="50"/>
        <v>0</v>
      </c>
      <c r="AB64" s="209">
        <f t="shared" si="51"/>
        <v>0.82</v>
      </c>
      <c r="AC64" s="205">
        <f t="shared" si="52"/>
        <v>0</v>
      </c>
      <c r="AD64" s="210">
        <f t="shared" si="53"/>
        <v>7.9395833333328483</v>
      </c>
      <c r="AE64" s="210">
        <f t="shared" si="54"/>
        <v>7.9395833333328483</v>
      </c>
      <c r="AF64" s="210">
        <f t="shared" si="55"/>
        <v>0</v>
      </c>
      <c r="AG64" s="210">
        <f t="shared" si="56"/>
        <v>0</v>
      </c>
    </row>
    <row r="65" spans="2:33" ht="15" customHeight="1" x14ac:dyDescent="0.3">
      <c r="B65" s="196" t="s">
        <v>84</v>
      </c>
      <c r="C65" s="197" t="s">
        <v>15</v>
      </c>
      <c r="D65" s="198" t="str">
        <f t="shared" si="38"/>
        <v>C</v>
      </c>
      <c r="E65" s="199">
        <v>44258.333333333336</v>
      </c>
      <c r="F65" s="200" t="s">
        <v>80</v>
      </c>
      <c r="G65" s="201">
        <v>49054.65</v>
      </c>
      <c r="H65" s="201">
        <v>46341.15</v>
      </c>
      <c r="I65" s="202">
        <f t="shared" si="39"/>
        <v>2713.5</v>
      </c>
      <c r="J65" s="201">
        <v>89757.15</v>
      </c>
      <c r="K65" s="199">
        <v>44263.166666666664</v>
      </c>
      <c r="L65" s="201">
        <v>51561.919999999998</v>
      </c>
      <c r="M65" s="203">
        <f t="shared" si="40"/>
        <v>2507.27</v>
      </c>
      <c r="N65" s="204">
        <f t="shared" si="41"/>
        <v>0.92</v>
      </c>
      <c r="O65" s="205">
        <f t="shared" si="42"/>
        <v>0</v>
      </c>
      <c r="P65" s="206">
        <f t="shared" si="43"/>
        <v>0.92</v>
      </c>
      <c r="Q65" s="206">
        <f t="shared" si="44"/>
        <v>0</v>
      </c>
      <c r="R6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127170</v>
      </c>
      <c r="T6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127170</v>
      </c>
      <c r="U65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65" s="209">
        <f t="shared" si="45"/>
        <v>0</v>
      </c>
      <c r="W65" s="209">
        <f t="shared" si="46"/>
        <v>0</v>
      </c>
      <c r="X65" s="209">
        <f t="shared" si="47"/>
        <v>0</v>
      </c>
      <c r="Y65" s="209">
        <f t="shared" si="48"/>
        <v>0</v>
      </c>
      <c r="Z65" s="209">
        <f t="shared" si="49"/>
        <v>0</v>
      </c>
      <c r="AA65" s="205">
        <f t="shared" si="50"/>
        <v>0</v>
      </c>
      <c r="AB65" s="209">
        <f t="shared" si="51"/>
        <v>0.92</v>
      </c>
      <c r="AC65" s="205">
        <f t="shared" si="52"/>
        <v>0</v>
      </c>
      <c r="AD65" s="210">
        <f t="shared" si="53"/>
        <v>4.8333333333284827</v>
      </c>
      <c r="AE65" s="210">
        <f t="shared" si="54"/>
        <v>4.8333333333284827</v>
      </c>
      <c r="AF65" s="210">
        <f t="shared" si="55"/>
        <v>0</v>
      </c>
      <c r="AG65" s="210">
        <f t="shared" si="56"/>
        <v>0</v>
      </c>
    </row>
    <row r="66" spans="2:33" ht="15" customHeight="1" x14ac:dyDescent="0.3">
      <c r="B66" s="196" t="s">
        <v>84</v>
      </c>
      <c r="C66" s="197" t="s">
        <v>13</v>
      </c>
      <c r="D66" s="198" t="str">
        <f t="shared" si="38"/>
        <v>C</v>
      </c>
      <c r="E66" s="199">
        <v>44257.833333333336</v>
      </c>
      <c r="F66" s="200" t="s">
        <v>80</v>
      </c>
      <c r="G66" s="201">
        <v>47825.55</v>
      </c>
      <c r="H66" s="201">
        <v>50970.28</v>
      </c>
      <c r="I66" s="202">
        <f t="shared" si="39"/>
        <v>3144.7299999999959</v>
      </c>
      <c r="J66" s="201">
        <v>654.62</v>
      </c>
      <c r="K66" s="199">
        <v>44258.333333333336</v>
      </c>
      <c r="L66" s="201">
        <v>49054.65</v>
      </c>
      <c r="M66" s="203">
        <f t="shared" si="40"/>
        <v>-1229.0999999999999</v>
      </c>
      <c r="N66" s="204">
        <f t="shared" si="41"/>
        <v>-0.39</v>
      </c>
      <c r="O66" s="205">
        <f t="shared" si="42"/>
        <v>0</v>
      </c>
      <c r="P66" s="206">
        <f t="shared" si="43"/>
        <v>0</v>
      </c>
      <c r="Q66" s="206">
        <f t="shared" si="44"/>
        <v>-0.39</v>
      </c>
      <c r="R6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126250</v>
      </c>
      <c r="T6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126870</v>
      </c>
      <c r="U66" s="208">
        <f ca="1">IF(Tabla336106734825[[#This Row],[Equity]]&lt;Tabla336106734825[[#This Row],[Equity Peak]],(Tabla336106734825[[#This Row],[Equity Peak]]-Tabla336106734825[[#This Row],[Equity]])/Tabla336106734825[[#This Row],[Equity Peak]],"")</f>
        <v>4.8868920942697252E-3</v>
      </c>
      <c r="V66" s="209">
        <f t="shared" si="45"/>
        <v>0</v>
      </c>
      <c r="W66" s="209">
        <f t="shared" si="46"/>
        <v>0</v>
      </c>
      <c r="X66" s="209">
        <f t="shared" si="47"/>
        <v>0</v>
      </c>
      <c r="Y66" s="209">
        <f t="shared" si="48"/>
        <v>0</v>
      </c>
      <c r="Z66" s="209">
        <f t="shared" si="49"/>
        <v>0</v>
      </c>
      <c r="AA66" s="205">
        <f t="shared" si="50"/>
        <v>0</v>
      </c>
      <c r="AB66" s="209">
        <f t="shared" si="51"/>
        <v>-0.39</v>
      </c>
      <c r="AC66" s="205">
        <f t="shared" si="52"/>
        <v>0</v>
      </c>
      <c r="AD66" s="210">
        <f t="shared" si="53"/>
        <v>0.5</v>
      </c>
      <c r="AE66" s="210">
        <f t="shared" si="54"/>
        <v>0</v>
      </c>
      <c r="AF66" s="210">
        <f t="shared" si="55"/>
        <v>0.5</v>
      </c>
      <c r="AG66" s="210">
        <f t="shared" si="56"/>
        <v>0</v>
      </c>
    </row>
    <row r="67" spans="2:33" ht="15" customHeight="1" x14ac:dyDescent="0.3">
      <c r="B67" s="196" t="s">
        <v>84</v>
      </c>
      <c r="C67" s="197" t="s">
        <v>15</v>
      </c>
      <c r="D67" s="198" t="str">
        <f t="shared" si="38"/>
        <v>C</v>
      </c>
      <c r="E67" s="199">
        <v>44257.333333333336</v>
      </c>
      <c r="F67" s="200" t="s">
        <v>80</v>
      </c>
      <c r="G67" s="201">
        <v>48659.65</v>
      </c>
      <c r="H67" s="201">
        <v>45029.48</v>
      </c>
      <c r="I67" s="202">
        <f t="shared" si="39"/>
        <v>3630.1699999999983</v>
      </c>
      <c r="J67" s="201">
        <v>103112.22</v>
      </c>
      <c r="K67" s="199">
        <v>44257.833333333336</v>
      </c>
      <c r="L67" s="201">
        <v>47825.55</v>
      </c>
      <c r="M67" s="203">
        <f t="shared" si="40"/>
        <v>-834.1</v>
      </c>
      <c r="N67" s="204">
        <f t="shared" si="41"/>
        <v>-0.23</v>
      </c>
      <c r="O67" s="205">
        <f t="shared" si="42"/>
        <v>0</v>
      </c>
      <c r="P67" s="206">
        <f t="shared" si="43"/>
        <v>0</v>
      </c>
      <c r="Q67" s="206">
        <f t="shared" si="44"/>
        <v>-0.23</v>
      </c>
      <c r="R6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126640</v>
      </c>
      <c r="T6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126870</v>
      </c>
      <c r="U67" s="208">
        <f ca="1">IF(Tabla336106734825[[#This Row],[Equity]]&lt;Tabla336106734825[[#This Row],[Equity Peak]],(Tabla336106734825[[#This Row],[Equity Peak]]-Tabla336106734825[[#This Row],[Equity]])/Tabla336106734825[[#This Row],[Equity Peak]],"")</f>
        <v>1.8128793252936077E-3</v>
      </c>
      <c r="V67" s="209">
        <f t="shared" si="45"/>
        <v>0</v>
      </c>
      <c r="W67" s="209">
        <f t="shared" si="46"/>
        <v>0</v>
      </c>
      <c r="X67" s="209">
        <f t="shared" si="47"/>
        <v>0</v>
      </c>
      <c r="Y67" s="209">
        <f t="shared" si="48"/>
        <v>0</v>
      </c>
      <c r="Z67" s="209">
        <f t="shared" si="49"/>
        <v>0</v>
      </c>
      <c r="AA67" s="205">
        <f t="shared" si="50"/>
        <v>0</v>
      </c>
      <c r="AB67" s="209">
        <f t="shared" si="51"/>
        <v>-0.23</v>
      </c>
      <c r="AC67" s="205">
        <f t="shared" si="52"/>
        <v>0</v>
      </c>
      <c r="AD67" s="210">
        <f t="shared" si="53"/>
        <v>0.5</v>
      </c>
      <c r="AE67" s="210">
        <f t="shared" si="54"/>
        <v>0</v>
      </c>
      <c r="AF67" s="210">
        <f t="shared" si="55"/>
        <v>0.5</v>
      </c>
      <c r="AG67" s="210">
        <f t="shared" si="56"/>
        <v>0</v>
      </c>
    </row>
    <row r="68" spans="2:33" ht="15" customHeight="1" x14ac:dyDescent="0.3">
      <c r="B68" s="196" t="s">
        <v>84</v>
      </c>
      <c r="C68" s="197" t="s">
        <v>15</v>
      </c>
      <c r="D68" s="198" t="str">
        <f t="shared" si="38"/>
        <v>C</v>
      </c>
      <c r="E68" s="199">
        <v>44235.666666666664</v>
      </c>
      <c r="F68" s="200" t="s">
        <v>80</v>
      </c>
      <c r="G68" s="201">
        <v>42965.15</v>
      </c>
      <c r="H68" s="201">
        <v>40260.75</v>
      </c>
      <c r="I68" s="202">
        <f t="shared" si="39"/>
        <v>2704.4000000000015</v>
      </c>
      <c r="J68" s="201">
        <v>83531.149999999994</v>
      </c>
      <c r="K68" s="199">
        <v>44257.333333333336</v>
      </c>
      <c r="L68" s="201">
        <v>48659.65</v>
      </c>
      <c r="M68" s="203">
        <f t="shared" si="40"/>
        <v>5694.5</v>
      </c>
      <c r="N68" s="204">
        <f t="shared" si="41"/>
        <v>2.11</v>
      </c>
      <c r="O68" s="205">
        <f t="shared" si="42"/>
        <v>0</v>
      </c>
      <c r="P68" s="206">
        <f t="shared" si="43"/>
        <v>2.11</v>
      </c>
      <c r="Q68" s="206">
        <f t="shared" si="44"/>
        <v>0</v>
      </c>
      <c r="R6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126870</v>
      </c>
      <c r="T6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126870</v>
      </c>
      <c r="U68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68" s="209">
        <f t="shared" si="45"/>
        <v>0</v>
      </c>
      <c r="W68" s="209">
        <f t="shared" si="46"/>
        <v>0</v>
      </c>
      <c r="X68" s="209">
        <f t="shared" si="47"/>
        <v>0</v>
      </c>
      <c r="Y68" s="209">
        <f t="shared" si="48"/>
        <v>0</v>
      </c>
      <c r="Z68" s="209">
        <f t="shared" si="49"/>
        <v>0</v>
      </c>
      <c r="AA68" s="205">
        <f t="shared" si="50"/>
        <v>0</v>
      </c>
      <c r="AB68" s="209">
        <f t="shared" si="51"/>
        <v>2.11</v>
      </c>
      <c r="AC68" s="205">
        <f t="shared" si="52"/>
        <v>0</v>
      </c>
      <c r="AD68" s="210">
        <f t="shared" si="53"/>
        <v>21.666666666671517</v>
      </c>
      <c r="AE68" s="210">
        <f t="shared" si="54"/>
        <v>21.666666666671517</v>
      </c>
      <c r="AF68" s="210">
        <f t="shared" si="55"/>
        <v>0</v>
      </c>
      <c r="AG68" s="210">
        <f t="shared" si="56"/>
        <v>0</v>
      </c>
    </row>
    <row r="69" spans="2:33" ht="15" customHeight="1" x14ac:dyDescent="0.3">
      <c r="B69" s="196" t="s">
        <v>84</v>
      </c>
      <c r="C69" s="197" t="s">
        <v>15</v>
      </c>
      <c r="D69" s="198" t="str">
        <f t="shared" si="38"/>
        <v>C</v>
      </c>
      <c r="E69" s="199">
        <v>44225.5</v>
      </c>
      <c r="F69" s="200" t="s">
        <v>80</v>
      </c>
      <c r="G69" s="201">
        <v>36966.949999999997</v>
      </c>
      <c r="H69" s="201">
        <v>33821.019999999997</v>
      </c>
      <c r="I69" s="202">
        <f t="shared" si="39"/>
        <v>3145.9300000000003</v>
      </c>
      <c r="J69" s="201">
        <v>84155.88</v>
      </c>
      <c r="K69" s="199">
        <v>44225.775000000001</v>
      </c>
      <c r="L69" s="201">
        <v>35740.959999999999</v>
      </c>
      <c r="M69" s="203">
        <f t="shared" si="40"/>
        <v>-1225.99</v>
      </c>
      <c r="N69" s="204">
        <f t="shared" si="41"/>
        <v>-0.39</v>
      </c>
      <c r="O69" s="205">
        <f t="shared" si="42"/>
        <v>0</v>
      </c>
      <c r="P69" s="206">
        <f t="shared" si="43"/>
        <v>0</v>
      </c>
      <c r="Q69" s="206">
        <f t="shared" si="44"/>
        <v>-0.39</v>
      </c>
      <c r="R6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6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124760</v>
      </c>
      <c r="T6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125150</v>
      </c>
      <c r="U69" s="208">
        <f ca="1">IF(Tabla336106734825[[#This Row],[Equity]]&lt;Tabla336106734825[[#This Row],[Equity Peak]],(Tabla336106734825[[#This Row],[Equity Peak]]-Tabla336106734825[[#This Row],[Equity]])/Tabla336106734825[[#This Row],[Equity Peak]],"")</f>
        <v>3.1162604874151018E-3</v>
      </c>
      <c r="V69" s="209">
        <f t="shared" si="45"/>
        <v>0</v>
      </c>
      <c r="W69" s="209">
        <f t="shared" si="46"/>
        <v>0</v>
      </c>
      <c r="X69" s="209">
        <f t="shared" si="47"/>
        <v>0</v>
      </c>
      <c r="Y69" s="209">
        <f t="shared" si="48"/>
        <v>0</v>
      </c>
      <c r="Z69" s="209">
        <f t="shared" si="49"/>
        <v>0</v>
      </c>
      <c r="AA69" s="205">
        <f t="shared" si="50"/>
        <v>0</v>
      </c>
      <c r="AB69" s="209">
        <f t="shared" si="51"/>
        <v>-0.39</v>
      </c>
      <c r="AC69" s="205">
        <f t="shared" si="52"/>
        <v>0</v>
      </c>
      <c r="AD69" s="210">
        <f t="shared" si="53"/>
        <v>0.27500000000145519</v>
      </c>
      <c r="AE69" s="210">
        <f t="shared" si="54"/>
        <v>0</v>
      </c>
      <c r="AF69" s="210">
        <f t="shared" si="55"/>
        <v>0.27500000000145519</v>
      </c>
      <c r="AG69" s="210">
        <f t="shared" si="56"/>
        <v>0</v>
      </c>
    </row>
    <row r="70" spans="2:33" ht="15" customHeight="1" x14ac:dyDescent="0.3">
      <c r="B70" s="196" t="s">
        <v>84</v>
      </c>
      <c r="C70" s="197" t="s">
        <v>15</v>
      </c>
      <c r="D70" s="198" t="str">
        <f t="shared" si="38"/>
        <v>C</v>
      </c>
      <c r="E70" s="199">
        <v>44179.333333333336</v>
      </c>
      <c r="F70" s="200" t="s">
        <v>80</v>
      </c>
      <c r="G70" s="201">
        <v>19076.04</v>
      </c>
      <c r="H70" s="201">
        <v>18364.669999999998</v>
      </c>
      <c r="I70" s="202">
        <f t="shared" si="39"/>
        <v>711.37000000000262</v>
      </c>
      <c r="J70" s="201">
        <v>29746.63</v>
      </c>
      <c r="K70" s="199">
        <v>44225.5</v>
      </c>
      <c r="L70" s="201">
        <v>36966.949999999997</v>
      </c>
      <c r="M70" s="203">
        <f t="shared" si="40"/>
        <v>17890.91</v>
      </c>
      <c r="N70" s="204">
        <f t="shared" si="41"/>
        <v>25.15</v>
      </c>
      <c r="O70" s="205">
        <f t="shared" si="42"/>
        <v>0</v>
      </c>
      <c r="P70" s="206">
        <f t="shared" si="43"/>
        <v>25.15</v>
      </c>
      <c r="Q70" s="206">
        <f t="shared" si="44"/>
        <v>0</v>
      </c>
      <c r="R7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7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125150</v>
      </c>
      <c r="T7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125150</v>
      </c>
      <c r="U70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70" s="209">
        <f t="shared" si="45"/>
        <v>0</v>
      </c>
      <c r="W70" s="209">
        <f t="shared" si="46"/>
        <v>0</v>
      </c>
      <c r="X70" s="209">
        <f t="shared" si="47"/>
        <v>0</v>
      </c>
      <c r="Y70" s="209">
        <f t="shared" si="48"/>
        <v>0</v>
      </c>
      <c r="Z70" s="209">
        <f t="shared" si="49"/>
        <v>0</v>
      </c>
      <c r="AA70" s="205">
        <f t="shared" si="50"/>
        <v>0</v>
      </c>
      <c r="AB70" s="209">
        <f t="shared" si="51"/>
        <v>25.15</v>
      </c>
      <c r="AC70" s="205">
        <f t="shared" si="52"/>
        <v>0</v>
      </c>
      <c r="AD70" s="210">
        <f t="shared" si="53"/>
        <v>46.166666666664241</v>
      </c>
      <c r="AE70" s="210">
        <f t="shared" si="54"/>
        <v>46.166666666664241</v>
      </c>
      <c r="AF70" s="210">
        <f t="shared" si="55"/>
        <v>0</v>
      </c>
      <c r="AG70" s="210">
        <f t="shared" si="56"/>
        <v>0</v>
      </c>
    </row>
  </sheetData>
  <sheetProtection algorithmName="SHA-512" hashValue="mwxpAR74Vr6hReMRHgMnxlZY5joio76lG0Nx0F7NLEWgiDiiZ9BCX+NVp/j2sQG78ZaVu+UMQ+TQrNX1nZpmcg==" saltValue="B2wRkIPx578J9UVvlugKm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" priority="3" operator="equal">
      <formula>"OK"</formula>
    </cfRule>
    <cfRule type="cellIs" dxfId="82" priority="4" operator="equal">
      <formula>"warning"</formula>
    </cfRule>
  </conditionalFormatting>
  <conditionalFormatting sqref="F13">
    <cfRule type="cellIs" dxfId="81" priority="1" operator="equal">
      <formula>"OK"</formula>
    </cfRule>
    <cfRule type="cellIs" dxfId="80" priority="2" operator="equal">
      <formula>"Error!!"</formula>
    </cfRule>
  </conditionalFormatting>
  <conditionalFormatting sqref="E15:H15 K15:L15">
    <cfRule type="expression" dxfId="79" priority="5">
      <formula>+$D15=#REF!</formula>
    </cfRule>
    <cfRule type="expression" dxfId="78" priority="6">
      <formula>+$D15=#REF!</formula>
    </cfRule>
  </conditionalFormatting>
  <conditionalFormatting sqref="D15 K16:L16 D16:H70 J17:L70">
    <cfRule type="expression" dxfId="77" priority="7">
      <formula>+$D15=$AG$8</formula>
    </cfRule>
    <cfRule type="expression" dxfId="7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BD341AF-A09B-414D-B59A-6E5100F35ABA}">
      <formula1>$AE$4:$AE$6</formula1>
    </dataValidation>
    <dataValidation type="list" allowBlank="1" showInputMessage="1" showErrorMessage="1" promptTitle="Trade Direction" prompt="Select from List" sqref="C15:C16" xr:uid="{7C783AA4-A884-4682-AC1D-F933BA4AA8DA}">
      <formula1>$AG$4:$AG$5</formula1>
    </dataValidation>
    <dataValidation type="list" allowBlank="1" showInputMessage="1" showErrorMessage="1" promptTitle="Instrument Type" prompt="Select Type from List_x000a_" sqref="B17:B70" xr:uid="{23BF98AE-06CC-4D09-B3B8-7D351979740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12A2-AD13-4A6D-9034-F8339B2281EB}">
  <sheetPr codeName="Hoja32">
    <pageSetUpPr fitToPage="1"/>
  </sheetPr>
  <dimension ref="A1:AX39"/>
  <sheetViews>
    <sheetView showGridLines="0" showZeros="0" tabSelected="1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COUNTA(Tabla336106734826[Inst])</f>
        <v>23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44.720000000000006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44.720000000000006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COUNTIF(Tabla336106734826[No. of Rs],"&gt;0")</f>
        <v>6</v>
      </c>
      <c r="G7" s="24">
        <f>IFERROR((F7/$F$6),"")</f>
        <v>0.2608695652173913</v>
      </c>
      <c r="H7" s="78">
        <f>IFERROR((+P13/F7),"")</f>
        <v>8.5566666666666666</v>
      </c>
      <c r="I7" s="227">
        <f>H7/H9</f>
        <v>21.973313192346428</v>
      </c>
      <c r="J7" s="227">
        <f>AVERAGE(Tabla336106734826[No. of Rs])</f>
        <v>1.9443478260869569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OFFSET(Tabla336106734826[[#Headers],[Equity]],1,0)</f>
        <v>144720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COUNTIF(Tabla336106734826[No. of Rs],"&lt;0")</f>
        <v>17</v>
      </c>
      <c r="G9" s="32">
        <f>IFERROR((F9/$F$6),"")</f>
        <v>0.73913043478260865</v>
      </c>
      <c r="H9" s="79">
        <f>IFERROR((-Q13/F9),"")</f>
        <v>0.38941176470588229</v>
      </c>
      <c r="I9" s="229"/>
      <c r="J9" s="229"/>
      <c r="K9" s="149"/>
      <c r="L9" s="230" t="s">
        <v>106</v>
      </c>
      <c r="M9" s="231"/>
      <c r="N9" s="125">
        <f ca="1">MAX(Tabla336106734826[Drawdown])</f>
        <v>2.414025623735671E-2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OFFSET(Tabla336106734826[[#Headers],[Drawdown]],1,0)</f>
        <v>2.414025623735671E-2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IF(COUNTIFS(Tabla336106734826[O/C],"O")&lt;1,"None",COUNTIFS(Tabla336106734826[O/C],"O"))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SUM(Tabla336106734826[No. of Rs])</f>
        <v>44.720000000000006</v>
      </c>
      <c r="O13" s="42">
        <f>SUM(Tabla336106734826[Heat])</f>
        <v>0</v>
      </c>
      <c r="P13" s="43">
        <f>SUM(Tabla336106734826[[ TR WIN]])</f>
        <v>51.34</v>
      </c>
      <c r="Q13" s="43">
        <f>SUM(Tabla336106734826[[ TR LOSS]])</f>
        <v>-6.6199999999999992</v>
      </c>
      <c r="R13" s="114"/>
      <c r="S13" s="115"/>
      <c r="T13" s="115"/>
      <c r="U13" s="121"/>
      <c r="V13" s="44">
        <f>SUM(Tabla336106734826[Currency])</f>
        <v>0</v>
      </c>
      <c r="W13" s="44">
        <f>SUM(Tabla336106734826[Heat3])</f>
        <v>0</v>
      </c>
      <c r="X13" s="44">
        <f>SUM(Tabla336106734826[Commodities])</f>
        <v>0</v>
      </c>
      <c r="Y13" s="44">
        <f>SUM(Tabla336106734826[Heat4])</f>
        <v>0</v>
      </c>
      <c r="Z13" s="44">
        <f>SUM(Tabla336106734826[Index])</f>
        <v>0</v>
      </c>
      <c r="AA13" s="44">
        <f>SUM(Tabla336106734826[Heat5])</f>
        <v>0</v>
      </c>
      <c r="AB13" s="44">
        <f>SUM(Tabla336106734826[Cryptocurrency])</f>
        <v>44.720000000000006</v>
      </c>
      <c r="AC13" s="44">
        <f>SUM(Tabla336106734826[Heat6])</f>
        <v>0</v>
      </c>
      <c r="AD13" s="75">
        <f>AVERAGEIF(Tabla336106734826[Length of 
Trade],"&lt;&gt;0")</f>
        <v>12.761503623188258</v>
      </c>
      <c r="AE13" s="75">
        <f>AVERAGEIF(Tabla336106734826[Win],"&lt;&gt;0")</f>
        <v>43.606018518520919</v>
      </c>
      <c r="AF13" s="75">
        <f>AVERAGEIF(Tabla336106734826[Loss],"&lt;&gt;0")</f>
        <v>1.8752042483649669</v>
      </c>
      <c r="AG13" s="76" t="e">
        <f>AVERAGEIF(Tabla336106734826[Breakeven],"&lt;&gt;0")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84</v>
      </c>
      <c r="C17" s="197" t="s">
        <v>15</v>
      </c>
      <c r="D17" s="198" t="str">
        <f t="shared" ref="D17:D39" si="0">IF(E17&lt;&gt;"",IF(K17&lt;&gt;"","C","O"),"")</f>
        <v>C</v>
      </c>
      <c r="E17" s="199">
        <v>44554.017361111109</v>
      </c>
      <c r="F17" s="200" t="s">
        <v>82</v>
      </c>
      <c r="G17" s="201">
        <v>4122.26</v>
      </c>
      <c r="H17" s="201">
        <v>4008.27</v>
      </c>
      <c r="I17" s="202">
        <f t="shared" ref="I17:I39" si="1">ABS(G17-H17)</f>
        <v>113.99000000000024</v>
      </c>
      <c r="J17" s="201">
        <v>6250.16</v>
      </c>
      <c r="K17" s="199">
        <v>44556.242361111108</v>
      </c>
      <c r="L17" s="201">
        <v>4020.63</v>
      </c>
      <c r="M17" s="203">
        <f t="shared" ref="M17:M39" si="2">ROUND(IF(C17="L",(L17-G17),(G17-L17)),4)</f>
        <v>-101.63</v>
      </c>
      <c r="N17" s="204">
        <f t="shared" ref="N17:N39" si="3">IFERROR(ROUND((M17/I17),2),"")</f>
        <v>-0.89</v>
      </c>
      <c r="O17" s="205">
        <f t="shared" ref="O17:O39" si="4">IF(D17="O",IF(N17&lt;0,N17,0),0)</f>
        <v>0</v>
      </c>
      <c r="P17" s="206">
        <f t="shared" ref="P17:P39" si="5">IF(N17&gt;= 0,N17,0)</f>
        <v>0</v>
      </c>
      <c r="Q17" s="206">
        <f t="shared" ref="Q17:Q39" si="6">IF(N17&lt;0,N17,0)</f>
        <v>-0.89</v>
      </c>
      <c r="R1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144720</v>
      </c>
      <c r="T1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17" s="208">
        <f ca="1">IF(Tabla336106734826[[#This Row],[Equity]]&lt;Tabla336106734826[[#This Row],[Equity Peak]],(Tabla336106734826[[#This Row],[Equity Peak]]-Tabla336106734826[[#This Row],[Equity]])/Tabla336106734826[[#This Row],[Equity Peak]],"")</f>
        <v>2.414025623735671E-2</v>
      </c>
      <c r="V17" s="209">
        <f t="shared" ref="V17:V39" si="7">IF(B17="FX",N17,0)</f>
        <v>0</v>
      </c>
      <c r="W17" s="209">
        <f t="shared" ref="W17:W39" si="8">IF(D17="O",IF(V17&lt;0,V17,0),0)</f>
        <v>0</v>
      </c>
      <c r="X17" s="209">
        <f t="shared" ref="X17:X39" si="9">IF(B17="COM",N17,0)</f>
        <v>0</v>
      </c>
      <c r="Y17" s="209">
        <f t="shared" ref="Y17:Y39" si="10">IF(D17="O",IF(X17&lt;0,X17,0),0)</f>
        <v>0</v>
      </c>
      <c r="Z17" s="209">
        <f t="shared" ref="Z17:Z39" si="11">IF(B17="IND",N17,0)</f>
        <v>0</v>
      </c>
      <c r="AA17" s="205">
        <f t="shared" ref="AA17:AA39" si="12">IF(D17="O",IF(Z17&lt;0,Z17,0),0)</f>
        <v>0</v>
      </c>
      <c r="AB17" s="209">
        <f t="shared" ref="AB17:AB39" si="13">IF(B17="CRYPTO",N17,0)</f>
        <v>-0.89</v>
      </c>
      <c r="AC17" s="205">
        <f t="shared" ref="AC17:AC39" si="14">IF(D17="O",IF(AB17&lt;0,AB17,0),0)</f>
        <v>0</v>
      </c>
      <c r="AD17" s="210">
        <f t="shared" ref="AD17:AD39" si="15">IF(K17&lt;&gt;"",K17-E17,0)</f>
        <v>2.2249999999985448</v>
      </c>
      <c r="AE17" s="210">
        <f t="shared" ref="AE17:AE39" si="16">IF(N17&gt;0,AD17,0)</f>
        <v>0</v>
      </c>
      <c r="AF17" s="210">
        <f t="shared" ref="AF17:AF39" si="17">IF(N17&lt;0,AD17,0)</f>
        <v>2.2249999999985448</v>
      </c>
      <c r="AG17" s="210">
        <f t="shared" ref="AG17:AG39" si="18">IF(N17=0,AD17,0)</f>
        <v>0</v>
      </c>
    </row>
    <row r="18" spans="2:33" ht="15" customHeight="1" x14ac:dyDescent="0.3">
      <c r="B18" s="196" t="s">
        <v>84</v>
      </c>
      <c r="C18" s="197" t="s">
        <v>13</v>
      </c>
      <c r="D18" s="198" t="str">
        <f t="shared" si="0"/>
        <v>C</v>
      </c>
      <c r="E18" s="199">
        <v>44539.833333333336</v>
      </c>
      <c r="F18" s="200" t="s">
        <v>82</v>
      </c>
      <c r="G18" s="201">
        <v>4165.6499999999996</v>
      </c>
      <c r="H18" s="201">
        <v>4319.9399999999996</v>
      </c>
      <c r="I18" s="202">
        <f t="shared" si="1"/>
        <v>154.28999999999996</v>
      </c>
      <c r="J18" s="201">
        <v>1285.6500000000001</v>
      </c>
      <c r="K18" s="199">
        <v>44542.933333333334</v>
      </c>
      <c r="L18" s="201">
        <v>4175.6499999999996</v>
      </c>
      <c r="M18" s="203">
        <f t="shared" si="2"/>
        <v>-10</v>
      </c>
      <c r="N18" s="204">
        <f t="shared" si="3"/>
        <v>-0.06</v>
      </c>
      <c r="O18" s="205">
        <f t="shared" si="4"/>
        <v>0</v>
      </c>
      <c r="P18" s="206">
        <f t="shared" si="5"/>
        <v>0</v>
      </c>
      <c r="Q18" s="206">
        <f t="shared" si="6"/>
        <v>-0.06</v>
      </c>
      <c r="R1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145610</v>
      </c>
      <c r="T1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18" s="208">
        <f ca="1">IF(Tabla336106734826[[#This Row],[Equity]]&lt;Tabla336106734826[[#This Row],[Equity Peak]],(Tabla336106734826[[#This Row],[Equity Peak]]-Tabla336106734826[[#This Row],[Equity]])/Tabla336106734826[[#This Row],[Equity Peak]],"")</f>
        <v>1.813890761968982E-2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-0.06</v>
      </c>
      <c r="AC18" s="205">
        <f t="shared" si="14"/>
        <v>0</v>
      </c>
      <c r="AD18" s="210">
        <f t="shared" si="15"/>
        <v>3.0999999999985448</v>
      </c>
      <c r="AE18" s="210">
        <f t="shared" si="16"/>
        <v>0</v>
      </c>
      <c r="AF18" s="210">
        <f t="shared" si="17"/>
        <v>3.0999999999985448</v>
      </c>
      <c r="AG18" s="210">
        <f t="shared" si="18"/>
        <v>0</v>
      </c>
    </row>
    <row r="19" spans="2:33" ht="15" customHeight="1" x14ac:dyDescent="0.3">
      <c r="B19" s="196" t="s">
        <v>84</v>
      </c>
      <c r="C19" s="197" t="s">
        <v>15</v>
      </c>
      <c r="D19" s="198" t="str">
        <f t="shared" si="0"/>
        <v>C</v>
      </c>
      <c r="E19" s="199">
        <v>44537.5</v>
      </c>
      <c r="F19" s="200" t="s">
        <v>82</v>
      </c>
      <c r="G19" s="201">
        <v>4401.3100000000004</v>
      </c>
      <c r="H19" s="201">
        <v>4212.34</v>
      </c>
      <c r="I19" s="202">
        <f t="shared" si="1"/>
        <v>188.97000000000025</v>
      </c>
      <c r="J19" s="201">
        <v>7928.81</v>
      </c>
      <c r="K19" s="199">
        <v>44539.693749999999</v>
      </c>
      <c r="L19" s="201">
        <v>4260.93</v>
      </c>
      <c r="M19" s="203">
        <f t="shared" si="2"/>
        <v>-140.38</v>
      </c>
      <c r="N19" s="204">
        <f t="shared" si="3"/>
        <v>-0.74</v>
      </c>
      <c r="O19" s="205">
        <f t="shared" si="4"/>
        <v>0</v>
      </c>
      <c r="P19" s="206">
        <f t="shared" si="5"/>
        <v>0</v>
      </c>
      <c r="Q19" s="206">
        <f t="shared" si="6"/>
        <v>-0.74</v>
      </c>
      <c r="R1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145670</v>
      </c>
      <c r="T1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19" s="208">
        <f ca="1">IF(Tabla336106734826[[#This Row],[Equity]]&lt;Tabla336106734826[[#This Row],[Equity Peak]],(Tabla336106734826[[#This Row],[Equity Peak]]-Tabla336106734826[[#This Row],[Equity]])/Tabla336106734826[[#This Row],[Equity Peak]],"")</f>
        <v>1.7734322319622388E-2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-0.74</v>
      </c>
      <c r="AC19" s="205">
        <f t="shared" si="14"/>
        <v>0</v>
      </c>
      <c r="AD19" s="210">
        <f t="shared" si="15"/>
        <v>2.1937499999985448</v>
      </c>
      <c r="AE19" s="210">
        <f t="shared" si="16"/>
        <v>0</v>
      </c>
      <c r="AF19" s="210">
        <f t="shared" si="17"/>
        <v>2.1937499999985448</v>
      </c>
      <c r="AG19" s="210">
        <f t="shared" si="18"/>
        <v>0</v>
      </c>
    </row>
    <row r="20" spans="2:33" ht="15" customHeight="1" x14ac:dyDescent="0.3">
      <c r="B20" s="196" t="s">
        <v>84</v>
      </c>
      <c r="C20" s="197" t="s">
        <v>13</v>
      </c>
      <c r="D20" s="198" t="str">
        <f t="shared" si="0"/>
        <v>C</v>
      </c>
      <c r="E20" s="199">
        <v>44534.166666666664</v>
      </c>
      <c r="F20" s="200" t="s">
        <v>82</v>
      </c>
      <c r="G20" s="201">
        <v>4170.6499999999996</v>
      </c>
      <c r="H20" s="201">
        <v>4387.75</v>
      </c>
      <c r="I20" s="202">
        <f t="shared" si="1"/>
        <v>217.10000000000036</v>
      </c>
      <c r="J20" s="201">
        <v>118.15</v>
      </c>
      <c r="K20" s="199">
        <v>44535.32916666667</v>
      </c>
      <c r="L20" s="201">
        <v>4212.51</v>
      </c>
      <c r="M20" s="203">
        <f t="shared" si="2"/>
        <v>-41.86</v>
      </c>
      <c r="N20" s="204">
        <f t="shared" si="3"/>
        <v>-0.19</v>
      </c>
      <c r="O20" s="205">
        <f t="shared" si="4"/>
        <v>0</v>
      </c>
      <c r="P20" s="206">
        <f t="shared" si="5"/>
        <v>0</v>
      </c>
      <c r="Q20" s="206">
        <f t="shared" si="6"/>
        <v>-0.19</v>
      </c>
      <c r="R20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0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146410</v>
      </c>
      <c r="T20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20" s="208">
        <f ca="1">IF(Tabla336106734826[[#This Row],[Equity]]&lt;Tabla336106734826[[#This Row],[Equity Peak]],(Tabla336106734826[[#This Row],[Equity Peak]]-Tabla336106734826[[#This Row],[Equity]])/Tabla336106734826[[#This Row],[Equity Peak]],"")</f>
        <v>1.2744436952124074E-2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-0.19</v>
      </c>
      <c r="AC20" s="205">
        <f t="shared" si="14"/>
        <v>0</v>
      </c>
      <c r="AD20" s="210">
        <f t="shared" si="15"/>
        <v>1.1625000000058208</v>
      </c>
      <c r="AE20" s="210">
        <f t="shared" si="16"/>
        <v>0</v>
      </c>
      <c r="AF20" s="210">
        <f t="shared" si="17"/>
        <v>1.1625000000058208</v>
      </c>
      <c r="AG20" s="210">
        <f t="shared" si="18"/>
        <v>0</v>
      </c>
    </row>
    <row r="21" spans="2:33" ht="15" customHeight="1" x14ac:dyDescent="0.3">
      <c r="B21" s="196" t="s">
        <v>84</v>
      </c>
      <c r="C21" s="197" t="s">
        <v>15</v>
      </c>
      <c r="D21" s="198" t="str">
        <f t="shared" si="0"/>
        <v>C</v>
      </c>
      <c r="E21" s="199">
        <v>44529.666666666664</v>
      </c>
      <c r="F21" s="200" t="s">
        <v>82</v>
      </c>
      <c r="G21" s="201">
        <v>4351.96</v>
      </c>
      <c r="H21" s="201">
        <v>4207.21</v>
      </c>
      <c r="I21" s="202">
        <f t="shared" si="1"/>
        <v>144.75</v>
      </c>
      <c r="J21" s="201">
        <v>7053.96</v>
      </c>
      <c r="K21" s="199">
        <v>44533.786111111112</v>
      </c>
      <c r="L21" s="201">
        <v>4342.3500000000004</v>
      </c>
      <c r="M21" s="203">
        <f t="shared" si="2"/>
        <v>-9.61</v>
      </c>
      <c r="N21" s="204">
        <f t="shared" si="3"/>
        <v>-7.0000000000000007E-2</v>
      </c>
      <c r="O21" s="205">
        <f t="shared" si="4"/>
        <v>0</v>
      </c>
      <c r="P21" s="206">
        <f t="shared" si="5"/>
        <v>0</v>
      </c>
      <c r="Q21" s="206">
        <f t="shared" si="6"/>
        <v>-7.0000000000000007E-2</v>
      </c>
      <c r="R21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1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146600</v>
      </c>
      <c r="T21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21" s="208">
        <f ca="1">IF(Tabla336106734826[[#This Row],[Equity]]&lt;Tabla336106734826[[#This Row],[Equity Peak]],(Tabla336106734826[[#This Row],[Equity Peak]]-Tabla336106734826[[#This Row],[Equity]])/Tabla336106734826[[#This Row],[Equity Peak]],"")</f>
        <v>1.1463250168577209E-2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-7.0000000000000007E-2</v>
      </c>
      <c r="AC21" s="205">
        <f t="shared" si="14"/>
        <v>0</v>
      </c>
      <c r="AD21" s="210">
        <f t="shared" si="15"/>
        <v>4.1194444444481633</v>
      </c>
      <c r="AE21" s="210">
        <f t="shared" si="16"/>
        <v>0</v>
      </c>
      <c r="AF21" s="210">
        <f t="shared" si="17"/>
        <v>4.1194444444481633</v>
      </c>
      <c r="AG21" s="210">
        <f t="shared" si="18"/>
        <v>0</v>
      </c>
    </row>
    <row r="22" spans="2:33" ht="15" customHeight="1" x14ac:dyDescent="0.3">
      <c r="B22" s="196" t="s">
        <v>84</v>
      </c>
      <c r="C22" s="197" t="s">
        <v>13</v>
      </c>
      <c r="D22" s="198" t="str">
        <f t="shared" si="0"/>
        <v>C</v>
      </c>
      <c r="E22" s="199">
        <v>44526.5</v>
      </c>
      <c r="F22" s="200" t="s">
        <v>82</v>
      </c>
      <c r="G22" s="201">
        <v>4071.85</v>
      </c>
      <c r="H22" s="201">
        <v>4252.62</v>
      </c>
      <c r="I22" s="202">
        <f t="shared" si="1"/>
        <v>180.76999999999998</v>
      </c>
      <c r="J22" s="201">
        <v>697.55</v>
      </c>
      <c r="K22" s="199">
        <v>44528.972916666666</v>
      </c>
      <c r="L22" s="201">
        <v>4166.54</v>
      </c>
      <c r="M22" s="203">
        <f t="shared" si="2"/>
        <v>-94.69</v>
      </c>
      <c r="N22" s="204">
        <f t="shared" si="3"/>
        <v>-0.52</v>
      </c>
      <c r="O22" s="205">
        <f t="shared" si="4"/>
        <v>0</v>
      </c>
      <c r="P22" s="206">
        <f t="shared" si="5"/>
        <v>0</v>
      </c>
      <c r="Q22" s="206">
        <f t="shared" si="6"/>
        <v>-0.52</v>
      </c>
      <c r="R22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2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146670</v>
      </c>
      <c r="T22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22" s="208">
        <f ca="1">IF(Tabla336106734826[[#This Row],[Equity]]&lt;Tabla336106734826[[#This Row],[Equity Peak]],(Tabla336106734826[[#This Row],[Equity Peak]]-Tabla336106734826[[#This Row],[Equity]])/Tabla336106734826[[#This Row],[Equity Peak]],"")</f>
        <v>1.0991233985165206E-2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-0.52</v>
      </c>
      <c r="AC22" s="205">
        <f t="shared" si="14"/>
        <v>0</v>
      </c>
      <c r="AD22" s="210">
        <f t="shared" si="15"/>
        <v>2.4729166666656965</v>
      </c>
      <c r="AE22" s="210">
        <f t="shared" si="16"/>
        <v>0</v>
      </c>
      <c r="AF22" s="210">
        <f t="shared" si="17"/>
        <v>2.4729166666656965</v>
      </c>
      <c r="AG22" s="210">
        <f t="shared" si="18"/>
        <v>0</v>
      </c>
    </row>
    <row r="23" spans="2:33" ht="15" customHeight="1" x14ac:dyDescent="0.3">
      <c r="B23" s="196" t="s">
        <v>84</v>
      </c>
      <c r="C23" s="197" t="s">
        <v>15</v>
      </c>
      <c r="D23" s="198" t="str">
        <f t="shared" si="0"/>
        <v>C</v>
      </c>
      <c r="E23" s="199">
        <v>44525.833333333336</v>
      </c>
      <c r="F23" s="200" t="s">
        <v>82</v>
      </c>
      <c r="G23" s="201">
        <v>4525.76</v>
      </c>
      <c r="H23" s="201">
        <v>4368.75</v>
      </c>
      <c r="I23" s="202">
        <f t="shared" si="1"/>
        <v>157.01000000000022</v>
      </c>
      <c r="J23" s="201">
        <v>7456.66</v>
      </c>
      <c r="K23" s="199">
        <v>44526.400694444441</v>
      </c>
      <c r="L23" s="201">
        <v>4368.75</v>
      </c>
      <c r="M23" s="203">
        <f t="shared" si="2"/>
        <v>-157.01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3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147190</v>
      </c>
      <c r="T23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23" s="208">
        <f ca="1">IF(Tabla336106734826[[#This Row],[Equity]]&lt;Tabla336106734826[[#This Row],[Equity Peak]],(Tabla336106734826[[#This Row],[Equity Peak]]-Tabla336106734826[[#This Row],[Equity]])/Tabla336106734826[[#This Row],[Equity Peak]],"")</f>
        <v>7.4848280512474713E-3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-1</v>
      </c>
      <c r="AC23" s="205">
        <f t="shared" si="14"/>
        <v>0</v>
      </c>
      <c r="AD23" s="210">
        <f t="shared" si="15"/>
        <v>0.56736111110512866</v>
      </c>
      <c r="AE23" s="210">
        <f t="shared" si="16"/>
        <v>0</v>
      </c>
      <c r="AF23" s="210">
        <f t="shared" si="17"/>
        <v>0.56736111110512866</v>
      </c>
      <c r="AG23" s="210">
        <f t="shared" si="18"/>
        <v>0</v>
      </c>
    </row>
    <row r="24" spans="2:33" ht="15" customHeight="1" x14ac:dyDescent="0.3">
      <c r="B24" s="196" t="s">
        <v>84</v>
      </c>
      <c r="C24" s="197" t="s">
        <v>13</v>
      </c>
      <c r="D24" s="198" t="str">
        <f t="shared" si="0"/>
        <v>C</v>
      </c>
      <c r="E24" s="199">
        <v>44516.333333333336</v>
      </c>
      <c r="F24" s="200" t="s">
        <v>82</v>
      </c>
      <c r="G24" s="201">
        <v>4337.55</v>
      </c>
      <c r="H24" s="201">
        <v>4492.53</v>
      </c>
      <c r="I24" s="202">
        <f t="shared" si="1"/>
        <v>154.97999999999956</v>
      </c>
      <c r="J24" s="201">
        <v>1444.55</v>
      </c>
      <c r="K24" s="199">
        <v>44520.848611111112</v>
      </c>
      <c r="L24" s="201">
        <v>4354.41</v>
      </c>
      <c r="M24" s="203">
        <f t="shared" si="2"/>
        <v>-16.86</v>
      </c>
      <c r="N24" s="204">
        <f t="shared" si="3"/>
        <v>-0.11</v>
      </c>
      <c r="O24" s="205">
        <f t="shared" si="4"/>
        <v>0</v>
      </c>
      <c r="P24" s="206">
        <f t="shared" si="5"/>
        <v>0</v>
      </c>
      <c r="Q24" s="206">
        <f t="shared" si="6"/>
        <v>-0.11</v>
      </c>
      <c r="R24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4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148190</v>
      </c>
      <c r="T24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24" s="208">
        <f ca="1">IF(Tabla336106734826[[#This Row],[Equity]]&lt;Tabla336106734826[[#This Row],[Equity Peak]],(Tabla336106734826[[#This Row],[Equity Peak]]-Tabla336106734826[[#This Row],[Equity]])/Tabla336106734826[[#This Row],[Equity Peak]],"")</f>
        <v>7.4173971679028993E-4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-0.11</v>
      </c>
      <c r="AC24" s="205">
        <f t="shared" si="14"/>
        <v>0</v>
      </c>
      <c r="AD24" s="210">
        <f t="shared" si="15"/>
        <v>4.515277777776646</v>
      </c>
      <c r="AE24" s="210">
        <f t="shared" si="16"/>
        <v>0</v>
      </c>
      <c r="AF24" s="210">
        <f t="shared" si="17"/>
        <v>4.515277777776646</v>
      </c>
      <c r="AG24" s="210">
        <f t="shared" si="18"/>
        <v>0</v>
      </c>
    </row>
    <row r="25" spans="2:33" ht="15" customHeight="1" x14ac:dyDescent="0.3">
      <c r="B25" s="196" t="s">
        <v>84</v>
      </c>
      <c r="C25" s="197" t="s">
        <v>15</v>
      </c>
      <c r="D25" s="198" t="str">
        <f t="shared" si="0"/>
        <v>C</v>
      </c>
      <c r="E25" s="199">
        <v>44470.666666666664</v>
      </c>
      <c r="F25" s="200" t="s">
        <v>82</v>
      </c>
      <c r="G25" s="201">
        <v>3224.86</v>
      </c>
      <c r="H25" s="201">
        <v>3084.55</v>
      </c>
      <c r="I25" s="202">
        <f t="shared" si="1"/>
        <v>140.30999999999995</v>
      </c>
      <c r="J25" s="201">
        <v>5843.96</v>
      </c>
      <c r="K25" s="199">
        <v>44516.12777777778</v>
      </c>
      <c r="L25" s="201">
        <v>4391</v>
      </c>
      <c r="M25" s="203">
        <f t="shared" si="2"/>
        <v>1166.1400000000001</v>
      </c>
      <c r="N25" s="204">
        <f t="shared" si="3"/>
        <v>8.31</v>
      </c>
      <c r="O25" s="205">
        <f t="shared" si="4"/>
        <v>0</v>
      </c>
      <c r="P25" s="206">
        <f t="shared" si="5"/>
        <v>8.31</v>
      </c>
      <c r="Q25" s="206">
        <f t="shared" si="6"/>
        <v>0</v>
      </c>
      <c r="R25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5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148300</v>
      </c>
      <c r="T25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148300</v>
      </c>
      <c r="U25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8.31</v>
      </c>
      <c r="AC25" s="205">
        <f t="shared" si="14"/>
        <v>0</v>
      </c>
      <c r="AD25" s="210">
        <f t="shared" si="15"/>
        <v>45.461111111115315</v>
      </c>
      <c r="AE25" s="210">
        <f t="shared" si="16"/>
        <v>45.461111111115315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84</v>
      </c>
      <c r="C26" s="197" t="s">
        <v>13</v>
      </c>
      <c r="D26" s="198" t="str">
        <f t="shared" si="0"/>
        <v>C</v>
      </c>
      <c r="E26" s="199">
        <v>44458.017361111109</v>
      </c>
      <c r="F26" s="200" t="s">
        <v>82</v>
      </c>
      <c r="G26" s="201">
        <v>3391.75</v>
      </c>
      <c r="H26" s="201">
        <v>3522.51</v>
      </c>
      <c r="I26" s="202">
        <f t="shared" si="1"/>
        <v>130.76000000000022</v>
      </c>
      <c r="J26" s="201">
        <v>950.95</v>
      </c>
      <c r="K26" s="199">
        <v>44470.666666666664</v>
      </c>
      <c r="L26" s="201">
        <v>3224.86</v>
      </c>
      <c r="M26" s="203">
        <f t="shared" si="2"/>
        <v>166.89</v>
      </c>
      <c r="N26" s="204">
        <f t="shared" si="3"/>
        <v>1.28</v>
      </c>
      <c r="O26" s="205">
        <f t="shared" si="4"/>
        <v>0</v>
      </c>
      <c r="P26" s="206">
        <f t="shared" si="5"/>
        <v>1.28</v>
      </c>
      <c r="Q26" s="206">
        <f t="shared" si="6"/>
        <v>0</v>
      </c>
      <c r="R26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6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139990</v>
      </c>
      <c r="T26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139990</v>
      </c>
      <c r="U26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1.28</v>
      </c>
      <c r="AC26" s="205">
        <f t="shared" si="14"/>
        <v>0</v>
      </c>
      <c r="AD26" s="210">
        <f t="shared" si="15"/>
        <v>12.649305555554747</v>
      </c>
      <c r="AE26" s="210">
        <f t="shared" si="16"/>
        <v>12.649305555554747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84</v>
      </c>
      <c r="C27" s="197" t="s">
        <v>15</v>
      </c>
      <c r="D27" s="198" t="str">
        <f t="shared" si="0"/>
        <v>C</v>
      </c>
      <c r="E27" s="199">
        <v>44457.333333333336</v>
      </c>
      <c r="F27" s="200" t="s">
        <v>82</v>
      </c>
      <c r="G27" s="201">
        <v>3482.56</v>
      </c>
      <c r="H27" s="201">
        <v>3342.68</v>
      </c>
      <c r="I27" s="202">
        <f t="shared" si="1"/>
        <v>139.88000000000011</v>
      </c>
      <c r="J27" s="201">
        <v>6093.56</v>
      </c>
      <c r="K27" s="199">
        <v>44458.017361111109</v>
      </c>
      <c r="L27" s="201">
        <v>3391.75</v>
      </c>
      <c r="M27" s="203">
        <f t="shared" si="2"/>
        <v>-90.81</v>
      </c>
      <c r="N27" s="204">
        <f t="shared" si="3"/>
        <v>-0.65</v>
      </c>
      <c r="O27" s="205">
        <f t="shared" si="4"/>
        <v>0</v>
      </c>
      <c r="P27" s="206">
        <f t="shared" si="5"/>
        <v>0</v>
      </c>
      <c r="Q27" s="206">
        <f t="shared" si="6"/>
        <v>-0.65</v>
      </c>
      <c r="R2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138710</v>
      </c>
      <c r="T2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139920</v>
      </c>
      <c r="U27" s="208">
        <f ca="1">IF(Tabla336106734826[[#This Row],[Equity]]&lt;Tabla336106734826[[#This Row],[Equity Peak]],(Tabla336106734826[[#This Row],[Equity Peak]]-Tabla336106734826[[#This Row],[Equity]])/Tabla336106734826[[#This Row],[Equity Peak]],"")</f>
        <v>8.6477987421383646E-3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-0.65</v>
      </c>
      <c r="AC27" s="205">
        <f t="shared" si="14"/>
        <v>0</v>
      </c>
      <c r="AD27" s="210">
        <f t="shared" si="15"/>
        <v>0.68402777777373558</v>
      </c>
      <c r="AE27" s="210">
        <f t="shared" si="16"/>
        <v>0</v>
      </c>
      <c r="AF27" s="210">
        <f t="shared" si="17"/>
        <v>0.68402777777373558</v>
      </c>
      <c r="AG27" s="210">
        <f t="shared" si="18"/>
        <v>0</v>
      </c>
    </row>
    <row r="28" spans="2:33" ht="15" customHeight="1" x14ac:dyDescent="0.3">
      <c r="B28" s="196" t="s">
        <v>84</v>
      </c>
      <c r="C28" s="197" t="s">
        <v>13</v>
      </c>
      <c r="D28" s="198" t="str">
        <f t="shared" si="0"/>
        <v>C</v>
      </c>
      <c r="E28" s="199">
        <v>44457.166666666664</v>
      </c>
      <c r="F28" s="200" t="s">
        <v>82</v>
      </c>
      <c r="G28" s="201">
        <v>3409.3</v>
      </c>
      <c r="H28" s="201">
        <v>3546.41</v>
      </c>
      <c r="I28" s="202">
        <f t="shared" si="1"/>
        <v>137.10999999999967</v>
      </c>
      <c r="J28" s="201">
        <v>849.9</v>
      </c>
      <c r="K28" s="199">
        <v>44457.333333333336</v>
      </c>
      <c r="L28" s="201">
        <v>3482.56</v>
      </c>
      <c r="M28" s="203">
        <f t="shared" si="2"/>
        <v>-73.260000000000005</v>
      </c>
      <c r="N28" s="204">
        <f t="shared" si="3"/>
        <v>-0.53</v>
      </c>
      <c r="O28" s="205">
        <f t="shared" si="4"/>
        <v>0</v>
      </c>
      <c r="P28" s="206">
        <f t="shared" si="5"/>
        <v>0</v>
      </c>
      <c r="Q28" s="206">
        <f t="shared" si="6"/>
        <v>-0.53</v>
      </c>
      <c r="R2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139360</v>
      </c>
      <c r="T2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139920</v>
      </c>
      <c r="U28" s="208">
        <f ca="1">IF(Tabla336106734826[[#This Row],[Equity]]&lt;Tabla336106734826[[#This Row],[Equity Peak]],(Tabla336106734826[[#This Row],[Equity Peak]]-Tabla336106734826[[#This Row],[Equity]])/Tabla336106734826[[#This Row],[Equity Peak]],"")</f>
        <v>4.0022870211549461E-3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-0.53</v>
      </c>
      <c r="AC28" s="205">
        <f t="shared" si="14"/>
        <v>0</v>
      </c>
      <c r="AD28" s="210">
        <f t="shared" si="15"/>
        <v>0.16666666667151731</v>
      </c>
      <c r="AE28" s="210">
        <f t="shared" si="16"/>
        <v>0</v>
      </c>
      <c r="AF28" s="210">
        <f t="shared" si="17"/>
        <v>0.16666666667151731</v>
      </c>
      <c r="AG28" s="210">
        <f t="shared" si="18"/>
        <v>0</v>
      </c>
    </row>
    <row r="29" spans="2:33" ht="15" customHeight="1" x14ac:dyDescent="0.3">
      <c r="B29" s="196" t="s">
        <v>84</v>
      </c>
      <c r="C29" s="197" t="s">
        <v>15</v>
      </c>
      <c r="D29" s="198" t="str">
        <f t="shared" si="0"/>
        <v>C</v>
      </c>
      <c r="E29" s="199">
        <v>44454.833333333336</v>
      </c>
      <c r="F29" s="200" t="s">
        <v>82</v>
      </c>
      <c r="G29" s="201">
        <v>3512.01</v>
      </c>
      <c r="H29" s="201">
        <v>3370.85</v>
      </c>
      <c r="I29" s="202">
        <f t="shared" si="1"/>
        <v>141.16000000000031</v>
      </c>
      <c r="J29" s="201">
        <v>6147.01</v>
      </c>
      <c r="K29" s="199">
        <v>44455.994444444441</v>
      </c>
      <c r="L29" s="201">
        <v>3508.01</v>
      </c>
      <c r="M29" s="203">
        <f t="shared" si="2"/>
        <v>-4</v>
      </c>
      <c r="N29" s="204">
        <f t="shared" si="3"/>
        <v>-0.03</v>
      </c>
      <c r="O29" s="205">
        <f t="shared" si="4"/>
        <v>0</v>
      </c>
      <c r="P29" s="206">
        <f t="shared" si="5"/>
        <v>0</v>
      </c>
      <c r="Q29" s="206">
        <f t="shared" si="6"/>
        <v>-0.03</v>
      </c>
      <c r="R2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139890</v>
      </c>
      <c r="T2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139920</v>
      </c>
      <c r="U29" s="208">
        <f ca="1">IF(Tabla336106734826[[#This Row],[Equity]]&lt;Tabla336106734826[[#This Row],[Equity Peak]],(Tabla336106734826[[#This Row],[Equity Peak]]-Tabla336106734826[[#This Row],[Equity]])/Tabla336106734826[[#This Row],[Equity Peak]],"")</f>
        <v>2.144082332761578E-4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-0.03</v>
      </c>
      <c r="AC29" s="205">
        <f t="shared" si="14"/>
        <v>0</v>
      </c>
      <c r="AD29" s="210">
        <f t="shared" si="15"/>
        <v>1.1611111111051287</v>
      </c>
      <c r="AE29" s="210">
        <f t="shared" si="16"/>
        <v>0</v>
      </c>
      <c r="AF29" s="210">
        <f t="shared" si="17"/>
        <v>1.1611111111051287</v>
      </c>
      <c r="AG29" s="210">
        <f t="shared" si="18"/>
        <v>0</v>
      </c>
    </row>
    <row r="30" spans="2:33" ht="15" customHeight="1" x14ac:dyDescent="0.3">
      <c r="B30" s="196" t="s">
        <v>84</v>
      </c>
      <c r="C30" s="197" t="s">
        <v>15</v>
      </c>
      <c r="D30" s="198" t="str">
        <f t="shared" si="0"/>
        <v>C</v>
      </c>
      <c r="E30" s="199">
        <v>44400.333333333336</v>
      </c>
      <c r="F30" s="200" t="s">
        <v>82</v>
      </c>
      <c r="G30" s="201">
        <v>2077.56</v>
      </c>
      <c r="H30" s="201">
        <v>1978.91</v>
      </c>
      <c r="I30" s="202">
        <f t="shared" si="1"/>
        <v>98.649999999999864</v>
      </c>
      <c r="J30" s="201">
        <v>3918.96</v>
      </c>
      <c r="K30" s="199">
        <v>44454.833333333336</v>
      </c>
      <c r="L30" s="201">
        <v>3512.01</v>
      </c>
      <c r="M30" s="203">
        <f t="shared" si="2"/>
        <v>1434.45</v>
      </c>
      <c r="N30" s="204">
        <f t="shared" si="3"/>
        <v>14.54</v>
      </c>
      <c r="O30" s="205">
        <f t="shared" si="4"/>
        <v>0</v>
      </c>
      <c r="P30" s="206">
        <f t="shared" si="5"/>
        <v>14.54</v>
      </c>
      <c r="Q30" s="206">
        <f t="shared" si="6"/>
        <v>0</v>
      </c>
      <c r="R30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0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139920</v>
      </c>
      <c r="T30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139920</v>
      </c>
      <c r="U30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14.54</v>
      </c>
      <c r="AC30" s="205">
        <f t="shared" si="14"/>
        <v>0</v>
      </c>
      <c r="AD30" s="210">
        <f t="shared" si="15"/>
        <v>54.5</v>
      </c>
      <c r="AE30" s="210">
        <f t="shared" si="16"/>
        <v>54.5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84</v>
      </c>
      <c r="C31" s="197" t="s">
        <v>13</v>
      </c>
      <c r="D31" s="198" t="str">
        <f t="shared" si="0"/>
        <v>C</v>
      </c>
      <c r="E31" s="199">
        <v>44397.333333333336</v>
      </c>
      <c r="F31" s="200" t="s">
        <v>82</v>
      </c>
      <c r="G31" s="201">
        <v>1739.05</v>
      </c>
      <c r="H31" s="201">
        <v>1819.5</v>
      </c>
      <c r="I31" s="202">
        <f t="shared" si="1"/>
        <v>80.450000000000045</v>
      </c>
      <c r="J31" s="201">
        <v>237.25</v>
      </c>
      <c r="K31" s="199">
        <v>44397.791666666664</v>
      </c>
      <c r="L31" s="201">
        <v>1815.6</v>
      </c>
      <c r="M31" s="203">
        <f t="shared" si="2"/>
        <v>-76.55</v>
      </c>
      <c r="N31" s="204">
        <f t="shared" si="3"/>
        <v>-0.95</v>
      </c>
      <c r="O31" s="205">
        <f t="shared" si="4"/>
        <v>0</v>
      </c>
      <c r="P31" s="206">
        <f t="shared" si="5"/>
        <v>0</v>
      </c>
      <c r="Q31" s="206">
        <f t="shared" si="6"/>
        <v>-0.95</v>
      </c>
      <c r="R31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1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125380</v>
      </c>
      <c r="T31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126730</v>
      </c>
      <c r="U31" s="208">
        <f ca="1">IF(Tabla336106734826[[#This Row],[Equity]]&lt;Tabla336106734826[[#This Row],[Equity Peak]],(Tabla336106734826[[#This Row],[Equity Peak]]-Tabla336106734826[[#This Row],[Equity]])/Tabla336106734826[[#This Row],[Equity Peak]],"")</f>
        <v>1.0652568452615797E-2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-0.95</v>
      </c>
      <c r="AC31" s="205">
        <f t="shared" si="14"/>
        <v>0</v>
      </c>
      <c r="AD31" s="210">
        <f t="shared" si="15"/>
        <v>0.45833333332848269</v>
      </c>
      <c r="AE31" s="210">
        <f t="shared" si="16"/>
        <v>0</v>
      </c>
      <c r="AF31" s="210">
        <f t="shared" si="17"/>
        <v>0.45833333332848269</v>
      </c>
      <c r="AG31" s="210">
        <f t="shared" si="18"/>
        <v>0</v>
      </c>
    </row>
    <row r="32" spans="2:33" ht="15" customHeight="1" x14ac:dyDescent="0.3">
      <c r="B32" s="196" t="s">
        <v>84</v>
      </c>
      <c r="C32" s="197" t="s">
        <v>13</v>
      </c>
      <c r="D32" s="198" t="str">
        <f t="shared" si="0"/>
        <v>C</v>
      </c>
      <c r="E32" s="199">
        <v>44385.666666666664</v>
      </c>
      <c r="F32" s="200" t="s">
        <v>82</v>
      </c>
      <c r="G32" s="201">
        <v>2159.25</v>
      </c>
      <c r="H32" s="201">
        <v>2258.64</v>
      </c>
      <c r="I32" s="202">
        <f t="shared" si="1"/>
        <v>99.389999999999873</v>
      </c>
      <c r="J32" s="201">
        <v>303.99</v>
      </c>
      <c r="K32" s="199">
        <v>44386.724999999999</v>
      </c>
      <c r="L32" s="201">
        <v>2164.73</v>
      </c>
      <c r="M32" s="203">
        <f t="shared" si="2"/>
        <v>-5.48</v>
      </c>
      <c r="N32" s="204">
        <f t="shared" si="3"/>
        <v>-0.06</v>
      </c>
      <c r="O32" s="205">
        <f t="shared" si="4"/>
        <v>0</v>
      </c>
      <c r="P32" s="206">
        <f t="shared" si="5"/>
        <v>0</v>
      </c>
      <c r="Q32" s="206">
        <f t="shared" si="6"/>
        <v>-0.06</v>
      </c>
      <c r="R32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2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126330</v>
      </c>
      <c r="T32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126730</v>
      </c>
      <c r="U32" s="208">
        <f ca="1">IF(Tabla336106734826[[#This Row],[Equity]]&lt;Tabla336106734826[[#This Row],[Equity Peak]],(Tabla336106734826[[#This Row],[Equity Peak]]-Tabla336106734826[[#This Row],[Equity]])/Tabla336106734826[[#This Row],[Equity Peak]],"")</f>
        <v>3.1563165785528291E-3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-0.06</v>
      </c>
      <c r="AC32" s="205">
        <f t="shared" si="14"/>
        <v>0</v>
      </c>
      <c r="AD32" s="210">
        <f t="shared" si="15"/>
        <v>1.0583333333343035</v>
      </c>
      <c r="AE32" s="210">
        <f t="shared" si="16"/>
        <v>0</v>
      </c>
      <c r="AF32" s="210">
        <f t="shared" si="17"/>
        <v>1.0583333333343035</v>
      </c>
      <c r="AG32" s="210">
        <f t="shared" si="18"/>
        <v>0</v>
      </c>
    </row>
    <row r="33" spans="2:33" ht="15" customHeight="1" x14ac:dyDescent="0.3">
      <c r="B33" s="196" t="s">
        <v>84</v>
      </c>
      <c r="C33" s="197" t="s">
        <v>15</v>
      </c>
      <c r="D33" s="198" t="str">
        <f t="shared" si="0"/>
        <v>C</v>
      </c>
      <c r="E33" s="199">
        <v>44383.333333333336</v>
      </c>
      <c r="F33" s="200" t="s">
        <v>82</v>
      </c>
      <c r="G33" s="201">
        <v>2318.56</v>
      </c>
      <c r="H33" s="201">
        <v>2203.34</v>
      </c>
      <c r="I33" s="202">
        <f t="shared" si="1"/>
        <v>115.2199999999998</v>
      </c>
      <c r="J33" s="201">
        <v>4469.3599999999997</v>
      </c>
      <c r="K33" s="199">
        <v>44385.146527777775</v>
      </c>
      <c r="L33" s="201">
        <v>2279.58</v>
      </c>
      <c r="M33" s="203">
        <f t="shared" si="2"/>
        <v>-38.979999999999997</v>
      </c>
      <c r="N33" s="204">
        <f t="shared" si="3"/>
        <v>-0.34</v>
      </c>
      <c r="O33" s="205">
        <f t="shared" si="4"/>
        <v>0</v>
      </c>
      <c r="P33" s="206">
        <f t="shared" si="5"/>
        <v>0</v>
      </c>
      <c r="Q33" s="206">
        <f t="shared" si="6"/>
        <v>-0.34</v>
      </c>
      <c r="R33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3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126390</v>
      </c>
      <c r="T33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126730</v>
      </c>
      <c r="U33" s="208">
        <f ca="1">IF(Tabla336106734826[[#This Row],[Equity]]&lt;Tabla336106734826[[#This Row],[Equity Peak]],(Tabla336106734826[[#This Row],[Equity Peak]]-Tabla336106734826[[#This Row],[Equity]])/Tabla336106734826[[#This Row],[Equity Peak]],"")</f>
        <v>2.6828690917699047E-3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-0.34</v>
      </c>
      <c r="AC33" s="205">
        <f t="shared" si="14"/>
        <v>0</v>
      </c>
      <c r="AD33" s="210">
        <f t="shared" si="15"/>
        <v>1.8131944444394321</v>
      </c>
      <c r="AE33" s="210">
        <f t="shared" si="16"/>
        <v>0</v>
      </c>
      <c r="AF33" s="210">
        <f t="shared" si="17"/>
        <v>1.8131944444394321</v>
      </c>
      <c r="AG33" s="210">
        <f t="shared" si="18"/>
        <v>0</v>
      </c>
    </row>
    <row r="34" spans="2:33" ht="15" customHeight="1" x14ac:dyDescent="0.3">
      <c r="B34" s="196" t="s">
        <v>84</v>
      </c>
      <c r="C34" s="197" t="s">
        <v>15</v>
      </c>
      <c r="D34" s="198" t="str">
        <f t="shared" si="0"/>
        <v>C</v>
      </c>
      <c r="E34" s="199">
        <v>44287.017361111109</v>
      </c>
      <c r="F34" s="200" t="s">
        <v>82</v>
      </c>
      <c r="G34" s="201">
        <v>1944.53</v>
      </c>
      <c r="H34" s="201">
        <v>1882.24</v>
      </c>
      <c r="I34" s="202">
        <f t="shared" si="1"/>
        <v>62.289999999999964</v>
      </c>
      <c r="J34" s="201">
        <v>3107.19</v>
      </c>
      <c r="K34" s="199">
        <v>44383.333333333336</v>
      </c>
      <c r="L34" s="201">
        <v>2318.56</v>
      </c>
      <c r="M34" s="203">
        <f t="shared" si="2"/>
        <v>374.03</v>
      </c>
      <c r="N34" s="204">
        <f t="shared" si="3"/>
        <v>6</v>
      </c>
      <c r="O34" s="205">
        <f t="shared" si="4"/>
        <v>0</v>
      </c>
      <c r="P34" s="206">
        <f t="shared" si="5"/>
        <v>6</v>
      </c>
      <c r="Q34" s="206">
        <f t="shared" si="6"/>
        <v>0</v>
      </c>
      <c r="R34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4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126730</v>
      </c>
      <c r="T34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126730</v>
      </c>
      <c r="U34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6</v>
      </c>
      <c r="AC34" s="205">
        <f t="shared" si="14"/>
        <v>0</v>
      </c>
      <c r="AD34" s="210">
        <f t="shared" si="15"/>
        <v>96.315972222226264</v>
      </c>
      <c r="AE34" s="210">
        <f t="shared" si="16"/>
        <v>96.315972222226264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84</v>
      </c>
      <c r="C35" s="197" t="s">
        <v>15</v>
      </c>
      <c r="D35" s="198" t="str">
        <f t="shared" si="0"/>
        <v>C</v>
      </c>
      <c r="E35" s="199">
        <v>44284.666666666664</v>
      </c>
      <c r="F35" s="200" t="s">
        <v>82</v>
      </c>
      <c r="G35" s="201">
        <v>1774.27</v>
      </c>
      <c r="H35" s="201">
        <v>1718.95</v>
      </c>
      <c r="I35" s="202">
        <f t="shared" si="1"/>
        <v>55.319999999999936</v>
      </c>
      <c r="J35" s="201">
        <v>2806.83</v>
      </c>
      <c r="K35" s="199">
        <v>44286.47152777778</v>
      </c>
      <c r="L35" s="201">
        <v>1771.15</v>
      </c>
      <c r="M35" s="203">
        <f t="shared" si="2"/>
        <v>-3.12</v>
      </c>
      <c r="N35" s="204">
        <f t="shared" si="3"/>
        <v>-0.06</v>
      </c>
      <c r="O35" s="205">
        <f t="shared" si="4"/>
        <v>0</v>
      </c>
      <c r="P35" s="206">
        <f t="shared" si="5"/>
        <v>0</v>
      </c>
      <c r="Q35" s="206">
        <f t="shared" si="6"/>
        <v>-0.06</v>
      </c>
      <c r="R35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5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120730</v>
      </c>
      <c r="T35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121210</v>
      </c>
      <c r="U35" s="208">
        <f ca="1">IF(Tabla336106734826[[#This Row],[Equity]]&lt;Tabla336106734826[[#This Row],[Equity Peak]],(Tabla336106734826[[#This Row],[Equity Peak]]-Tabla336106734826[[#This Row],[Equity]])/Tabla336106734826[[#This Row],[Equity Peak]],"")</f>
        <v>3.960069301212771E-3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-0.06</v>
      </c>
      <c r="AC35" s="205">
        <f t="shared" si="14"/>
        <v>0</v>
      </c>
      <c r="AD35" s="210">
        <f t="shared" si="15"/>
        <v>1.804861111115315</v>
      </c>
      <c r="AE35" s="210">
        <f t="shared" si="16"/>
        <v>0</v>
      </c>
      <c r="AF35" s="210">
        <f t="shared" si="17"/>
        <v>1.804861111115315</v>
      </c>
      <c r="AG35" s="210">
        <f t="shared" si="18"/>
        <v>0</v>
      </c>
    </row>
    <row r="36" spans="2:33" ht="15" customHeight="1" x14ac:dyDescent="0.3">
      <c r="B36" s="196" t="s">
        <v>84</v>
      </c>
      <c r="C36" s="197" t="s">
        <v>13</v>
      </c>
      <c r="D36" s="198" t="str">
        <f t="shared" si="0"/>
        <v>C</v>
      </c>
      <c r="E36" s="199">
        <v>44278.166666666664</v>
      </c>
      <c r="F36" s="200" t="s">
        <v>82</v>
      </c>
      <c r="G36" s="201">
        <v>1689.69</v>
      </c>
      <c r="H36" s="201">
        <v>1754.77</v>
      </c>
      <c r="I36" s="202">
        <f t="shared" si="1"/>
        <v>65.079999999999927</v>
      </c>
      <c r="J36" s="201">
        <v>474.79</v>
      </c>
      <c r="K36" s="199">
        <v>44279.440972222219</v>
      </c>
      <c r="L36" s="201">
        <v>1711.75</v>
      </c>
      <c r="M36" s="203">
        <f t="shared" si="2"/>
        <v>-22.06</v>
      </c>
      <c r="N36" s="204">
        <f t="shared" si="3"/>
        <v>-0.34</v>
      </c>
      <c r="O36" s="205">
        <f t="shared" si="4"/>
        <v>0</v>
      </c>
      <c r="P36" s="206">
        <f t="shared" si="5"/>
        <v>0</v>
      </c>
      <c r="Q36" s="206">
        <f t="shared" si="6"/>
        <v>-0.34</v>
      </c>
      <c r="R36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6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120790</v>
      </c>
      <c r="T36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121210</v>
      </c>
      <c r="U36" s="208">
        <f ca="1">IF(Tabla336106734826[[#This Row],[Equity]]&lt;Tabla336106734826[[#This Row],[Equity Peak]],(Tabla336106734826[[#This Row],[Equity Peak]]-Tabla336106734826[[#This Row],[Equity]])/Tabla336106734826[[#This Row],[Equity Peak]],"")</f>
        <v>3.4650606385611747E-3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-0.34</v>
      </c>
      <c r="AC36" s="205">
        <f t="shared" si="14"/>
        <v>0</v>
      </c>
      <c r="AD36" s="210">
        <f t="shared" si="15"/>
        <v>1.2743055555547471</v>
      </c>
      <c r="AE36" s="210">
        <f t="shared" si="16"/>
        <v>0</v>
      </c>
      <c r="AF36" s="210">
        <f t="shared" si="17"/>
        <v>1.2743055555547471</v>
      </c>
      <c r="AG36" s="210">
        <f t="shared" si="18"/>
        <v>0</v>
      </c>
    </row>
    <row r="37" spans="2:33" ht="15" customHeight="1" x14ac:dyDescent="0.3">
      <c r="B37" s="196" t="s">
        <v>84</v>
      </c>
      <c r="C37" s="197" t="s">
        <v>15</v>
      </c>
      <c r="D37" s="198" t="str">
        <f t="shared" si="0"/>
        <v>C</v>
      </c>
      <c r="E37" s="199">
        <v>44263.333333333336</v>
      </c>
      <c r="F37" s="200" t="s">
        <v>82</v>
      </c>
      <c r="G37" s="201">
        <v>1749.86</v>
      </c>
      <c r="H37" s="201">
        <v>1650.62</v>
      </c>
      <c r="I37" s="202">
        <f t="shared" si="1"/>
        <v>99.240000000000009</v>
      </c>
      <c r="J37" s="201">
        <v>3602.26</v>
      </c>
      <c r="K37" s="199">
        <v>44266.43472222222</v>
      </c>
      <c r="L37" s="201">
        <v>1741.46</v>
      </c>
      <c r="M37" s="203">
        <f t="shared" si="2"/>
        <v>-8.4</v>
      </c>
      <c r="N37" s="204">
        <f t="shared" si="3"/>
        <v>-0.08</v>
      </c>
      <c r="O37" s="205">
        <f t="shared" si="4"/>
        <v>0</v>
      </c>
      <c r="P37" s="206">
        <f t="shared" si="5"/>
        <v>0</v>
      </c>
      <c r="Q37" s="206">
        <f t="shared" si="6"/>
        <v>-0.08</v>
      </c>
      <c r="R3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121130</v>
      </c>
      <c r="T3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121210</v>
      </c>
      <c r="U37" s="208">
        <f ca="1">IF(Tabla336106734826[[#This Row],[Equity]]&lt;Tabla336106734826[[#This Row],[Equity Peak]],(Tabla336106734826[[#This Row],[Equity Peak]]-Tabla336106734826[[#This Row],[Equity]])/Tabla336106734826[[#This Row],[Equity Peak]],"")</f>
        <v>6.6001155020212849E-4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-0.08</v>
      </c>
      <c r="AC37" s="205">
        <f t="shared" si="14"/>
        <v>0</v>
      </c>
      <c r="AD37" s="210">
        <f t="shared" si="15"/>
        <v>3.101388888884685</v>
      </c>
      <c r="AE37" s="210">
        <f t="shared" si="16"/>
        <v>0</v>
      </c>
      <c r="AF37" s="210">
        <f t="shared" si="17"/>
        <v>3.101388888884685</v>
      </c>
      <c r="AG37" s="210">
        <f t="shared" si="18"/>
        <v>0</v>
      </c>
    </row>
    <row r="38" spans="2:33" ht="15" customHeight="1" x14ac:dyDescent="0.3">
      <c r="B38" s="196" t="s">
        <v>84</v>
      </c>
      <c r="C38" s="197" t="s">
        <v>15</v>
      </c>
      <c r="D38" s="198" t="str">
        <f t="shared" si="0"/>
        <v>C</v>
      </c>
      <c r="E38" s="199">
        <v>44230.017361111109</v>
      </c>
      <c r="F38" s="200" t="s">
        <v>82</v>
      </c>
      <c r="G38" s="201">
        <v>1544.92</v>
      </c>
      <c r="H38" s="201">
        <v>1464.35</v>
      </c>
      <c r="I38" s="202">
        <f t="shared" si="1"/>
        <v>80.570000000000164</v>
      </c>
      <c r="J38" s="201">
        <v>3048.88</v>
      </c>
      <c r="K38" s="199">
        <v>44263.333333333336</v>
      </c>
      <c r="L38" s="201">
        <v>1749.86</v>
      </c>
      <c r="M38" s="203">
        <f t="shared" si="2"/>
        <v>204.94</v>
      </c>
      <c r="N38" s="204">
        <f t="shared" si="3"/>
        <v>2.54</v>
      </c>
      <c r="O38" s="205">
        <f t="shared" si="4"/>
        <v>0</v>
      </c>
      <c r="P38" s="206">
        <f t="shared" si="5"/>
        <v>2.54</v>
      </c>
      <c r="Q38" s="206">
        <f t="shared" si="6"/>
        <v>0</v>
      </c>
      <c r="R3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121210</v>
      </c>
      <c r="T3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121210</v>
      </c>
      <c r="U38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2.54</v>
      </c>
      <c r="AC38" s="205">
        <f t="shared" si="14"/>
        <v>0</v>
      </c>
      <c r="AD38" s="210">
        <f t="shared" si="15"/>
        <v>33.315972222226264</v>
      </c>
      <c r="AE38" s="210">
        <f t="shared" si="16"/>
        <v>33.315972222226264</v>
      </c>
      <c r="AF38" s="210">
        <f t="shared" si="17"/>
        <v>0</v>
      </c>
      <c r="AG38" s="210">
        <f t="shared" si="18"/>
        <v>0</v>
      </c>
    </row>
    <row r="39" spans="2:33" ht="15" customHeight="1" x14ac:dyDescent="0.3">
      <c r="B39" s="196" t="s">
        <v>84</v>
      </c>
      <c r="C39" s="197" t="s">
        <v>15</v>
      </c>
      <c r="D39" s="198" t="str">
        <f t="shared" si="0"/>
        <v>C</v>
      </c>
      <c r="E39" s="199">
        <v>44196.017361111109</v>
      </c>
      <c r="F39" s="200" t="s">
        <v>82</v>
      </c>
      <c r="G39" s="201">
        <v>753.04</v>
      </c>
      <c r="H39" s="201">
        <v>720.31</v>
      </c>
      <c r="I39" s="202">
        <f t="shared" si="1"/>
        <v>32.730000000000018</v>
      </c>
      <c r="J39" s="201">
        <v>1364.08</v>
      </c>
      <c r="K39" s="199">
        <v>44215.411111111112</v>
      </c>
      <c r="L39" s="201">
        <v>1364.08</v>
      </c>
      <c r="M39" s="203">
        <f t="shared" si="2"/>
        <v>611.04</v>
      </c>
      <c r="N39" s="204">
        <f t="shared" si="3"/>
        <v>18.670000000000002</v>
      </c>
      <c r="O39" s="205">
        <f t="shared" si="4"/>
        <v>0</v>
      </c>
      <c r="P39" s="206">
        <f t="shared" si="5"/>
        <v>18.670000000000002</v>
      </c>
      <c r="Q39" s="206">
        <f t="shared" si="6"/>
        <v>0</v>
      </c>
      <c r="R3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118670</v>
      </c>
      <c r="T3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118670</v>
      </c>
      <c r="U39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18.670000000000002</v>
      </c>
      <c r="AC39" s="205">
        <f t="shared" si="14"/>
        <v>0</v>
      </c>
      <c r="AD39" s="210">
        <f t="shared" si="15"/>
        <v>19.39375000000291</v>
      </c>
      <c r="AE39" s="210">
        <f t="shared" si="16"/>
        <v>19.39375000000291</v>
      </c>
      <c r="AF39" s="210">
        <f t="shared" si="17"/>
        <v>0</v>
      </c>
      <c r="AG39" s="210">
        <f t="shared" si="18"/>
        <v>0</v>
      </c>
    </row>
  </sheetData>
  <sheetProtection algorithmName="SHA-512" hashValue="oPMW5jdkApo23UPWlTxzykEECl8GRrMH0io7h73skgOeXY10LRLYxqatMMiRe0aZ6vC8Hu4azwb0QHuAVgHgGQ==" saltValue="45H+DhKmRMXzmtr2wxeLq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" priority="3" operator="equal">
      <formula>"OK"</formula>
    </cfRule>
    <cfRule type="cellIs" dxfId="40" priority="4" operator="equal">
      <formula>"warning"</formula>
    </cfRule>
  </conditionalFormatting>
  <conditionalFormatting sqref="F13">
    <cfRule type="cellIs" dxfId="39" priority="1" operator="equal">
      <formula>"OK"</formula>
    </cfRule>
    <cfRule type="cellIs" dxfId="38" priority="2" operator="equal">
      <formula>"Error!!"</formula>
    </cfRule>
  </conditionalFormatting>
  <conditionalFormatting sqref="E15:H15 K15:L15">
    <cfRule type="expression" dxfId="37" priority="5">
      <formula>+$D15=#REF!</formula>
    </cfRule>
    <cfRule type="expression" dxfId="36" priority="6">
      <formula>+$D15=#REF!</formula>
    </cfRule>
  </conditionalFormatting>
  <conditionalFormatting sqref="D15 K16:L16 D16:H39 J17:L39">
    <cfRule type="expression" dxfId="35" priority="7">
      <formula>+$D15=$AG$8</formula>
    </cfRule>
    <cfRule type="expression" dxfId="3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11E20261-54D5-4EED-BDB6-A49E430DE1C2}">
      <formula1>$AE$4:$AE$6</formula1>
    </dataValidation>
    <dataValidation type="list" allowBlank="1" showInputMessage="1" showErrorMessage="1" promptTitle="Trade Direction" prompt="Select from List" sqref="C15:C16" xr:uid="{A51DAB31-91BC-4792-A2C4-CDDA17DD271D}">
      <formula1>$AG$4:$AG$5</formula1>
    </dataValidation>
    <dataValidation type="list" allowBlank="1" showInputMessage="1" showErrorMessage="1" promptTitle="Instrument Type" prompt="Select Type from List_x000a_" sqref="B17:B39" xr:uid="{7244C740-4685-4967-8695-AD2F400F192B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Master</vt:lpstr>
      <vt:lpstr>Profit Summary</vt:lpstr>
      <vt:lpstr>Reference Table</vt:lpstr>
      <vt:lpstr>Template</vt:lpstr>
      <vt:lpstr>AUDJPY</vt:lpstr>
      <vt:lpstr>AUDUSD</vt:lpstr>
      <vt:lpstr>EURAUD</vt:lpstr>
      <vt:lpstr>EURGBP</vt:lpstr>
      <vt:lpstr>EURJPY</vt:lpstr>
      <vt:lpstr>EURUSD</vt:lpstr>
      <vt:lpstr>GBPAUD</vt:lpstr>
      <vt:lpstr>GBPJPY</vt:lpstr>
      <vt:lpstr>GBPUSD</vt:lpstr>
      <vt:lpstr>USDJPY</vt:lpstr>
      <vt:lpstr>XAGUSD</vt:lpstr>
      <vt:lpstr>XAUUSD</vt:lpstr>
      <vt:lpstr>USOUSD</vt:lpstr>
      <vt:lpstr>ASX200</vt:lpstr>
      <vt:lpstr>GER30</vt:lpstr>
      <vt:lpstr>NDX100</vt:lpstr>
      <vt:lpstr>SPX500</vt:lpstr>
      <vt:lpstr>UK100</vt:lpstr>
      <vt:lpstr>US30</vt:lpstr>
      <vt:lpstr>BTCUSD</vt:lpstr>
      <vt:lpstr>ETHUSD</vt:lpstr>
      <vt:lpstr>'ASX200'!Print_Area</vt:lpstr>
      <vt:lpstr>AUDJPY!Print_Area</vt:lpstr>
      <vt:lpstr>AUDUSD!Print_Area</vt:lpstr>
      <vt:lpstr>BTCUSD!Print_Area</vt:lpstr>
      <vt:lpstr>ETHUSD!Print_Area</vt:lpstr>
      <vt:lpstr>EURAUD!Print_Area</vt:lpstr>
      <vt:lpstr>EURGBP!Print_Area</vt:lpstr>
      <vt:lpstr>EURJPY!Print_Area</vt:lpstr>
      <vt:lpstr>EURUSD!Print_Area</vt:lpstr>
      <vt:lpstr>GBPAUD!Print_Area</vt:lpstr>
      <vt:lpstr>GBPJPY!Print_Area</vt:lpstr>
      <vt:lpstr>GBPUSD!Print_Area</vt:lpstr>
      <vt:lpstr>'GER30'!Print_Area</vt:lpstr>
      <vt:lpstr>Master!Print_Area</vt:lpstr>
      <vt:lpstr>'NDX100'!Print_Area</vt:lpstr>
      <vt:lpstr>'SPX500'!Print_Area</vt:lpstr>
      <vt:lpstr>Template!Print_Area</vt:lpstr>
      <vt:lpstr>'UK100'!Print_Area</vt:lpstr>
      <vt:lpstr>'US30'!Print_Area</vt:lpstr>
      <vt:lpstr>USDJPY!Print_Area</vt:lpstr>
      <vt:lpstr>USOUSD!Print_Area</vt:lpstr>
      <vt:lpstr>XAGUSD!Print_Area</vt:lpstr>
      <vt:lpstr>XAUUSD!Print_Area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Simpson;Peter Hunt;Stacey Eaton</dc:creator>
  <cp:lastModifiedBy>Colin Simpson</cp:lastModifiedBy>
  <cp:lastPrinted>2022-10-04T13:08:24Z</cp:lastPrinted>
  <dcterms:created xsi:type="dcterms:W3CDTF">2011-04-10T08:00:21Z</dcterms:created>
  <dcterms:modified xsi:type="dcterms:W3CDTF">2022-11-18T03:45:40Z</dcterms:modified>
</cp:coreProperties>
</file>